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9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na/lamp/carac-repro/"/>
    </mc:Choice>
  </mc:AlternateContent>
  <xr:revisionPtr revIDLastSave="0" documentId="13_ncr:1_{636C18F5-8A23-AF4C-86FB-1ABC81F9D0AA}" xr6:coauthVersionLast="47" xr6:coauthVersionMax="47" xr10:uidLastSave="{00000000-0000-0000-0000-000000000000}"/>
  <bookViews>
    <workbookView xWindow="320" yWindow="760" windowWidth="30240" windowHeight="18880" xr2:uid="{ABCFD0E8-FC3B-524B-9DE9-56DAB07F7026}"/>
  </bookViews>
  <sheets>
    <sheet name="aug13-all-fpj  FIGURES " sheetId="5" r:id="rId1"/>
    <sheet name="Async-Tasty-Worst" sheetId="6" r:id="rId2"/>
    <sheet name="Blocking-Tasty-Worst" sheetId="7" r:id="rId3"/>
    <sheet name="Async-small-worst" sheetId="10" r:id="rId4"/>
    <sheet name="Blocking-small-worst" sheetId="11" r:id="rId5"/>
    <sheet name="Async-All-best" sheetId="8" r:id="rId6"/>
    <sheet name="Blocking-all-best" sheetId="9" r:id="rId7"/>
    <sheet name="sota-chart" sheetId="13" r:id="rId8"/>
    <sheet name="sota-compare" sheetId="20" r:id="rId9"/>
  </sheets>
  <definedNames>
    <definedName name="_xlnm._FilterDatabase" localSheetId="0" hidden="1">'aug13-all-fpj  FIGURES '!$A$2:$DJ$197</definedName>
    <definedName name="_xlnm._FilterDatabase" localSheetId="8" hidden="1">'sota-compare'!$A$1:$D$79</definedName>
    <definedName name="aug10_all_sel35_clean" localSheetId="0">'aug13-all-fpj  FIGURES '!#REF!</definedName>
    <definedName name="aug13_fpj46_clean" localSheetId="0">'aug13-all-fpj  FIGURES '!$A$2:$Q$257</definedName>
    <definedName name="aug13_fpj46_clean_1" localSheetId="0">'aug13-all-fpj  FIGURES '!$A$2:$Q$257</definedName>
    <definedName name="aug23_souffle46" localSheetId="8">'sota-compare'!$A$2:$G$79</definedName>
    <definedName name="aug24_rerun46_bs1046_clean" localSheetId="0">'aug13-all-fpj  FIGURES '!$A$2:$Q$257</definedName>
    <definedName name="aug24_rerun46_bs1046_clean_1" localSheetId="0">'aug13-all-fpj  FIGURES '!$A$2:$Q$257</definedName>
    <definedName name="sep1_souf_preprofile46_clean" localSheetId="8">'sota-compare'!$A$2:$J$79</definedName>
    <definedName name="sep1_souf_preprofile46_clean_1" localSheetId="8">'sota-compare'!$A$2:$J$93</definedName>
    <definedName name="sep1_souf_preprofile46_clean_2" localSheetId="8">'sota-compare'!$A$2:$J$93</definedName>
  </definedNames>
  <calcPr calcId="191029"/>
  <pivotCaches>
    <pivotCache cacheId="6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4" i="20" l="1"/>
  <c r="AK13" i="20"/>
  <c r="O22" i="20"/>
  <c r="P22" i="20"/>
  <c r="Q22" i="20"/>
  <c r="R22" i="20"/>
  <c r="S22" i="20"/>
  <c r="T22" i="20"/>
  <c r="N22" i="20"/>
  <c r="O21" i="20"/>
  <c r="P21" i="20"/>
  <c r="Q21" i="20"/>
  <c r="R21" i="20"/>
  <c r="S21" i="20"/>
  <c r="T21" i="20"/>
  <c r="N21" i="20"/>
  <c r="O20" i="20"/>
  <c r="P20" i="20"/>
  <c r="Q20" i="20"/>
  <c r="R20" i="20"/>
  <c r="S20" i="20"/>
  <c r="T20" i="20"/>
  <c r="N20" i="20"/>
  <c r="O19" i="20"/>
  <c r="P19" i="20"/>
  <c r="Q19" i="20"/>
  <c r="R19" i="20"/>
  <c r="S19" i="20"/>
  <c r="T19" i="20"/>
  <c r="N19" i="20"/>
  <c r="AF3" i="20"/>
  <c r="AF4" i="20"/>
  <c r="AF8" i="20"/>
  <c r="AF5" i="20"/>
  <c r="AF6" i="20"/>
  <c r="AF7" i="20"/>
  <c r="AF9" i="20"/>
  <c r="AE3" i="20"/>
  <c r="AE4" i="20"/>
  <c r="AE5" i="20"/>
  <c r="AE6" i="20"/>
  <c r="AE7" i="20"/>
  <c r="AE8" i="20"/>
  <c r="AE9" i="20"/>
  <c r="W8" i="20"/>
  <c r="AL8" i="20"/>
  <c r="AG9" i="20"/>
  <c r="AM8" i="20"/>
  <c r="AH9" i="20"/>
  <c r="AO8" i="20"/>
  <c r="AI9" i="20"/>
  <c r="AA8" i="20"/>
  <c r="AP8" i="20"/>
  <c r="AK9" i="20"/>
  <c r="AB8" i="20"/>
  <c r="W9" i="20"/>
  <c r="AL9" i="20"/>
  <c r="X9" i="20"/>
  <c r="AM9" i="20"/>
  <c r="AG8" i="20"/>
  <c r="Y9" i="20"/>
  <c r="AO9" i="20"/>
  <c r="AH8" i="20"/>
  <c r="AP9" i="20"/>
  <c r="AI8" i="20"/>
  <c r="AK8" i="20"/>
  <c r="X8" i="20"/>
  <c r="Y8" i="20"/>
  <c r="AA9" i="20"/>
  <c r="AB9" i="20"/>
  <c r="AD9" i="20"/>
  <c r="AD8" i="20"/>
  <c r="W3" i="20"/>
  <c r="AL3" i="20"/>
  <c r="AG4" i="20"/>
  <c r="X3" i="20"/>
  <c r="AM3" i="20"/>
  <c r="AH4" i="20"/>
  <c r="AO3" i="20"/>
  <c r="AI4" i="20"/>
  <c r="AA3" i="20"/>
  <c r="AK4" i="20"/>
  <c r="AB3" i="20"/>
  <c r="AL4" i="20"/>
  <c r="Y4" i="20"/>
  <c r="AH3" i="20"/>
  <c r="AI3" i="20"/>
  <c r="Y3" i="20"/>
  <c r="AP3" i="20"/>
  <c r="W4" i="20"/>
  <c r="AG3" i="20"/>
  <c r="AA4" i="20"/>
  <c r="AB4" i="20"/>
  <c r="AD4" i="20"/>
  <c r="AD3" i="20"/>
  <c r="X4" i="20"/>
  <c r="AM4" i="20"/>
  <c r="AO4" i="20"/>
  <c r="AP4" i="20"/>
  <c r="AK3" i="20"/>
  <c r="W5" i="20"/>
  <c r="X5" i="20"/>
  <c r="Y5" i="20"/>
  <c r="AA5" i="20"/>
  <c r="AB5" i="20"/>
  <c r="W6" i="20"/>
  <c r="X6" i="20"/>
  <c r="Y6" i="20"/>
  <c r="AA6" i="20"/>
  <c r="AB6" i="20"/>
  <c r="AO5" i="20"/>
  <c r="AO6" i="20"/>
  <c r="AO7" i="20"/>
  <c r="AP7" i="20"/>
  <c r="AP5" i="20"/>
  <c r="AP6" i="20"/>
  <c r="AM5" i="20"/>
  <c r="AM7" i="20"/>
  <c r="AM6" i="20"/>
  <c r="AL5" i="20"/>
  <c r="AL6" i="20"/>
  <c r="AL7" i="20"/>
  <c r="AK5" i="20"/>
  <c r="AK6" i="20"/>
  <c r="AK7" i="20"/>
  <c r="AH5" i="20"/>
  <c r="AH6" i="20"/>
  <c r="AH7" i="20"/>
  <c r="AI5" i="20"/>
  <c r="AI6" i="20"/>
  <c r="AI7" i="20"/>
  <c r="AB16" i="20" l="1"/>
  <c r="AB15" i="20"/>
  <c r="AB14" i="20"/>
  <c r="Y10" i="20"/>
  <c r="AB13" i="20"/>
  <c r="AB22" i="20" s="1"/>
  <c r="X10" i="20"/>
  <c r="W10" i="20"/>
  <c r="AB19" i="20"/>
  <c r="AB18" i="20"/>
  <c r="AM14" i="20"/>
  <c r="AM13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3" i="20"/>
  <c r="AD7" i="20"/>
  <c r="AD6" i="20"/>
  <c r="AG6" i="20"/>
  <c r="AD5" i="20"/>
  <c r="AG7" i="20"/>
  <c r="AG5" i="20"/>
  <c r="W7" i="20"/>
  <c r="AB7" i="20"/>
  <c r="AA7" i="20"/>
  <c r="Y7" i="20"/>
  <c r="X7" i="20"/>
  <c r="AB17" i="20" l="1"/>
  <c r="AB10" i="20"/>
  <c r="R240" i="5" l="1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CR26" i="5" l="1" a="1"/>
  <c r="CR26" i="5" s="1"/>
  <c r="CQ26" i="5" a="1"/>
  <c r="CQ26" i="5" s="1"/>
  <c r="CP26" i="5" a="1"/>
  <c r="CP26" i="5" s="1"/>
  <c r="CO26" i="5" a="1"/>
  <c r="CO26" i="5" s="1"/>
  <c r="CH26" i="5" a="1"/>
  <c r="CH26" i="5" s="1"/>
  <c r="CG26" i="5" a="1"/>
  <c r="CG26" i="5" s="1"/>
  <c r="CF26" i="5" a="1"/>
  <c r="CF26" i="5" s="1"/>
  <c r="CE26" i="5" a="1"/>
  <c r="CE26" i="5" s="1"/>
  <c r="BX26" i="5" a="1"/>
  <c r="BX26" i="5" s="1"/>
  <c r="BW26" i="5" a="1"/>
  <c r="BW26" i="5" s="1"/>
  <c r="BV26" i="5" a="1"/>
  <c r="BV26" i="5" s="1"/>
  <c r="BU26" i="5" a="1"/>
  <c r="BU26" i="5" s="1"/>
  <c r="BN26" i="5" a="1"/>
  <c r="BN26" i="5" s="1"/>
  <c r="BM26" i="5" a="1"/>
  <c r="BM26" i="5" s="1"/>
  <c r="BL26" i="5" a="1"/>
  <c r="BL26" i="5" s="1"/>
  <c r="BK26" i="5" a="1"/>
  <c r="BK26" i="5" s="1"/>
  <c r="BD26" i="5" a="1"/>
  <c r="BD26" i="5" s="1"/>
  <c r="BC26" i="5" a="1"/>
  <c r="BC26" i="5" s="1"/>
  <c r="BB26" i="5" a="1"/>
  <c r="BB26" i="5" s="1"/>
  <c r="BA26" i="5" a="1"/>
  <c r="BA26" i="5" s="1"/>
  <c r="AT26" i="5" a="1"/>
  <c r="AT26" i="5" s="1"/>
  <c r="AS26" i="5" a="1"/>
  <c r="AS26" i="5" s="1"/>
  <c r="AR26" i="5" a="1"/>
  <c r="AR26" i="5" s="1"/>
  <c r="AQ26" i="5" a="1"/>
  <c r="AQ26" i="5" s="1"/>
  <c r="AJ26" i="5" a="1"/>
  <c r="AJ26" i="5" s="1"/>
  <c r="AI26" i="5" a="1"/>
  <c r="AI26" i="5" s="1"/>
  <c r="AB26" i="5" a="1"/>
  <c r="AB26" i="5" s="1"/>
  <c r="AA26" i="5" a="1"/>
  <c r="AA26" i="5" s="1"/>
  <c r="Z26" i="5" a="1"/>
  <c r="Z26" i="5" s="1"/>
  <c r="Y26" i="5" a="1"/>
  <c r="Y26" i="5" s="1"/>
  <c r="X26" i="5" a="1"/>
  <c r="X26" i="5" s="1"/>
  <c r="CR25" i="5" a="1"/>
  <c r="CR25" i="5" s="1"/>
  <c r="CQ25" i="5" a="1"/>
  <c r="CQ25" i="5" s="1"/>
  <c r="CP25" i="5" a="1"/>
  <c r="CP25" i="5" s="1"/>
  <c r="CO25" i="5" a="1"/>
  <c r="CO25" i="5" s="1"/>
  <c r="CH25" i="5" a="1"/>
  <c r="CH25" i="5" s="1"/>
  <c r="CG25" i="5" a="1"/>
  <c r="CG25" i="5" s="1"/>
  <c r="CF25" i="5" a="1"/>
  <c r="CF25" i="5" s="1"/>
  <c r="CE25" i="5" a="1"/>
  <c r="CE25" i="5" s="1"/>
  <c r="BX25" i="5" a="1"/>
  <c r="BX25" i="5" s="1"/>
  <c r="BW25" i="5" a="1"/>
  <c r="BW25" i="5" s="1"/>
  <c r="BV25" i="5" a="1"/>
  <c r="BV25" i="5" s="1"/>
  <c r="BU25" i="5" a="1"/>
  <c r="BU25" i="5" s="1"/>
  <c r="BN25" i="5" a="1"/>
  <c r="BN25" i="5" s="1"/>
  <c r="BM25" i="5" a="1"/>
  <c r="BM25" i="5" s="1"/>
  <c r="BL25" i="5" a="1"/>
  <c r="BL25" i="5" s="1"/>
  <c r="BK25" i="5" a="1"/>
  <c r="BK25" i="5" s="1"/>
  <c r="BD25" i="5" a="1"/>
  <c r="BD25" i="5" s="1"/>
  <c r="BC25" i="5" a="1"/>
  <c r="BC25" i="5" s="1"/>
  <c r="BB25" i="5" a="1"/>
  <c r="BB25" i="5" s="1"/>
  <c r="BA25" i="5" a="1"/>
  <c r="BA25" i="5" s="1"/>
  <c r="AT25" i="5" a="1"/>
  <c r="AT25" i="5" s="1"/>
  <c r="AS25" i="5" a="1"/>
  <c r="AS25" i="5" s="1"/>
  <c r="AR25" i="5" a="1"/>
  <c r="AR25" i="5" s="1"/>
  <c r="AQ25" i="5" a="1"/>
  <c r="AQ25" i="5" s="1"/>
  <c r="AJ25" i="5" a="1"/>
  <c r="AJ25" i="5" s="1"/>
  <c r="AI25" i="5" a="1"/>
  <c r="AI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CR24" i="5" a="1"/>
  <c r="CR24" i="5" s="1"/>
  <c r="CQ24" i="5" a="1"/>
  <c r="CQ24" i="5" s="1"/>
  <c r="CP24" i="5" a="1"/>
  <c r="CP24" i="5" s="1"/>
  <c r="CO24" i="5" a="1"/>
  <c r="CO24" i="5" s="1"/>
  <c r="CH24" i="5" a="1"/>
  <c r="CH24" i="5" s="1"/>
  <c r="CG24" i="5" a="1"/>
  <c r="CG24" i="5" s="1"/>
  <c r="CF24" i="5" a="1"/>
  <c r="CF24" i="5" s="1"/>
  <c r="CE24" i="5" a="1"/>
  <c r="CE24" i="5" s="1"/>
  <c r="BX24" i="5" a="1"/>
  <c r="BX24" i="5" s="1"/>
  <c r="BW24" i="5" a="1"/>
  <c r="BW24" i="5" s="1"/>
  <c r="BV24" i="5" a="1"/>
  <c r="BV24" i="5" s="1"/>
  <c r="BU24" i="5" a="1"/>
  <c r="BU24" i="5" s="1"/>
  <c r="BN24" i="5" a="1"/>
  <c r="BN24" i="5" s="1"/>
  <c r="BM24" i="5" a="1"/>
  <c r="BM24" i="5" s="1"/>
  <c r="BL24" i="5" a="1"/>
  <c r="BL24" i="5" s="1"/>
  <c r="BK24" i="5" a="1"/>
  <c r="BK24" i="5" s="1"/>
  <c r="BD24" i="5" a="1"/>
  <c r="BD24" i="5" s="1"/>
  <c r="BC24" i="5" a="1"/>
  <c r="BC24" i="5" s="1"/>
  <c r="BB24" i="5" a="1"/>
  <c r="BB24" i="5" s="1"/>
  <c r="BA24" i="5" a="1"/>
  <c r="BA24" i="5" s="1"/>
  <c r="AT24" i="5" a="1"/>
  <c r="AT24" i="5" s="1"/>
  <c r="AS24" i="5" a="1"/>
  <c r="AS24" i="5" s="1"/>
  <c r="AR24" i="5" a="1"/>
  <c r="AR24" i="5" s="1"/>
  <c r="AQ24" i="5" a="1"/>
  <c r="AQ24" i="5" s="1"/>
  <c r="AJ24" i="5" a="1"/>
  <c r="AJ24" i="5" s="1"/>
  <c r="AI24" i="5" a="1"/>
  <c r="AI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CR23" i="5" a="1"/>
  <c r="CR23" i="5" s="1"/>
  <c r="CQ23" i="5" a="1"/>
  <c r="CQ23" i="5" s="1"/>
  <c r="CP23" i="5" a="1"/>
  <c r="CP23" i="5" s="1"/>
  <c r="CO23" i="5" a="1"/>
  <c r="CO23" i="5" s="1"/>
  <c r="CH23" i="5" a="1"/>
  <c r="CH23" i="5" s="1"/>
  <c r="CG23" i="5" a="1"/>
  <c r="CG23" i="5" s="1"/>
  <c r="CF23" i="5" a="1"/>
  <c r="CF23" i="5" s="1"/>
  <c r="CE23" i="5" a="1"/>
  <c r="CE23" i="5" s="1"/>
  <c r="BX23" i="5" a="1"/>
  <c r="BX23" i="5" s="1"/>
  <c r="BW23" i="5" a="1"/>
  <c r="BW23" i="5" s="1"/>
  <c r="BV23" i="5" a="1"/>
  <c r="BV23" i="5" s="1"/>
  <c r="BU23" i="5" a="1"/>
  <c r="BU23" i="5" s="1"/>
  <c r="BN23" i="5" a="1"/>
  <c r="BN23" i="5" s="1"/>
  <c r="BM23" i="5" a="1"/>
  <c r="BM23" i="5" s="1"/>
  <c r="BL23" i="5" a="1"/>
  <c r="BL23" i="5" s="1"/>
  <c r="BK23" i="5" a="1"/>
  <c r="BK23" i="5" s="1"/>
  <c r="BD23" i="5" a="1"/>
  <c r="BD23" i="5" s="1"/>
  <c r="BC23" i="5" a="1"/>
  <c r="BC23" i="5" s="1"/>
  <c r="BB23" i="5" a="1"/>
  <c r="BB23" i="5" s="1"/>
  <c r="BA23" i="5" a="1"/>
  <c r="BA23" i="5" s="1"/>
  <c r="AT23" i="5" a="1"/>
  <c r="AT23" i="5" s="1"/>
  <c r="AS23" i="5" a="1"/>
  <c r="AS23" i="5" s="1"/>
  <c r="AR23" i="5" a="1"/>
  <c r="AR23" i="5" s="1"/>
  <c r="AQ23" i="5" a="1"/>
  <c r="AQ23" i="5" s="1"/>
  <c r="AJ23" i="5" a="1"/>
  <c r="AJ23" i="5" s="1"/>
  <c r="AI23" i="5" a="1"/>
  <c r="AI23" i="5" s="1"/>
  <c r="AB23" i="5" a="1"/>
  <c r="AB23" i="5" s="1"/>
  <c r="AA23" i="5"/>
  <c r="AA23" i="5" a="1"/>
  <c r="Z23" i="5" a="1"/>
  <c r="Z23" i="5" s="1"/>
  <c r="Y23" i="5" a="1"/>
  <c r="Y23" i="5" s="1"/>
  <c r="X23" i="5" a="1"/>
  <c r="X23" i="5" s="1"/>
  <c r="CR22" i="5" a="1"/>
  <c r="CR22" i="5" s="1"/>
  <c r="CQ22" i="5" a="1"/>
  <c r="CQ22" i="5" s="1"/>
  <c r="CP22" i="5" a="1"/>
  <c r="CP22" i="5" s="1"/>
  <c r="CO22" i="5" a="1"/>
  <c r="CO22" i="5" s="1"/>
  <c r="CH22" i="5" a="1"/>
  <c r="CH22" i="5" s="1"/>
  <c r="CG22" i="5" a="1"/>
  <c r="CG22" i="5" s="1"/>
  <c r="CF22" i="5" a="1"/>
  <c r="CF22" i="5" s="1"/>
  <c r="CE22" i="5" a="1"/>
  <c r="CE22" i="5" s="1"/>
  <c r="BX22" i="5" a="1"/>
  <c r="BX22" i="5" s="1"/>
  <c r="BW22" i="5" a="1"/>
  <c r="BW22" i="5" s="1"/>
  <c r="BV22" i="5" a="1"/>
  <c r="BV22" i="5" s="1"/>
  <c r="BU22" i="5" a="1"/>
  <c r="BU22" i="5" s="1"/>
  <c r="BN22" i="5" a="1"/>
  <c r="BN22" i="5" s="1"/>
  <c r="BM22" i="5" a="1"/>
  <c r="BM22" i="5" s="1"/>
  <c r="BL22" i="5" a="1"/>
  <c r="BL22" i="5" s="1"/>
  <c r="BK22" i="5" a="1"/>
  <c r="BK22" i="5" s="1"/>
  <c r="BD22" i="5" a="1"/>
  <c r="BD22" i="5" s="1"/>
  <c r="BC22" i="5" a="1"/>
  <c r="BC22" i="5" s="1"/>
  <c r="BB22" i="5" a="1"/>
  <c r="BB22" i="5" s="1"/>
  <c r="BA22" i="5" a="1"/>
  <c r="BA22" i="5" s="1"/>
  <c r="AT22" i="5" a="1"/>
  <c r="AT22" i="5" s="1"/>
  <c r="AS22" i="5" a="1"/>
  <c r="AS22" i="5" s="1"/>
  <c r="AR22" i="5" a="1"/>
  <c r="AR22" i="5" s="1"/>
  <c r="AQ22" i="5" a="1"/>
  <c r="AQ22" i="5" s="1"/>
  <c r="AJ22" i="5" a="1"/>
  <c r="AJ22" i="5" s="1"/>
  <c r="AI22" i="5" a="1"/>
  <c r="AI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CR21" i="5" a="1"/>
  <c r="CR21" i="5" s="1"/>
  <c r="CQ21" i="5" a="1"/>
  <c r="CQ21" i="5" s="1"/>
  <c r="CP21" i="5" a="1"/>
  <c r="CP21" i="5" s="1"/>
  <c r="CO21" i="5" a="1"/>
  <c r="CO21" i="5" s="1"/>
  <c r="CH21" i="5" a="1"/>
  <c r="CH21" i="5" s="1"/>
  <c r="CG21" i="5" a="1"/>
  <c r="CG21" i="5" s="1"/>
  <c r="CF21" i="5" a="1"/>
  <c r="CF21" i="5" s="1"/>
  <c r="CE21" i="5" a="1"/>
  <c r="CE21" i="5" s="1"/>
  <c r="BX21" i="5" a="1"/>
  <c r="BX21" i="5" s="1"/>
  <c r="BW21" i="5" a="1"/>
  <c r="BW21" i="5" s="1"/>
  <c r="BV21" i="5" a="1"/>
  <c r="BV21" i="5" s="1"/>
  <c r="BU21" i="5" a="1"/>
  <c r="BU21" i="5" s="1"/>
  <c r="BN21" i="5" a="1"/>
  <c r="BN21" i="5" s="1"/>
  <c r="BM21" i="5" a="1"/>
  <c r="BM21" i="5" s="1"/>
  <c r="BL21" i="5" a="1"/>
  <c r="BL21" i="5" s="1"/>
  <c r="BK21" i="5" a="1"/>
  <c r="BK21" i="5" s="1"/>
  <c r="BD21" i="5" a="1"/>
  <c r="BD21" i="5" s="1"/>
  <c r="BC21" i="5" a="1"/>
  <c r="BC21" i="5" s="1"/>
  <c r="BB21" i="5" a="1"/>
  <c r="BB21" i="5" s="1"/>
  <c r="BA21" i="5" a="1"/>
  <c r="BA21" i="5" s="1"/>
  <c r="AT21" i="5" a="1"/>
  <c r="AT21" i="5" s="1"/>
  <c r="AS21" i="5" a="1"/>
  <c r="AS21" i="5" s="1"/>
  <c r="AR21" i="5" a="1"/>
  <c r="AR21" i="5" s="1"/>
  <c r="AQ21" i="5" a="1"/>
  <c r="AQ21" i="5" s="1"/>
  <c r="AJ21" i="5" a="1"/>
  <c r="AJ21" i="5" s="1"/>
  <c r="AI21" i="5" a="1"/>
  <c r="AI21" i="5" s="1"/>
  <c r="AB21" i="5" a="1"/>
  <c r="AB21" i="5" s="1"/>
  <c r="AA21" i="5" a="1"/>
  <c r="AA21" i="5" s="1"/>
  <c r="Z21" i="5"/>
  <c r="Z21" i="5" a="1"/>
  <c r="Y21" i="5" a="1"/>
  <c r="Y21" i="5" s="1"/>
  <c r="X21" i="5" a="1"/>
  <c r="X21" i="5" s="1"/>
  <c r="CR20" i="5" a="1"/>
  <c r="CR20" i="5" s="1"/>
  <c r="CQ20" i="5" a="1"/>
  <c r="CQ20" i="5" s="1"/>
  <c r="CP20" i="5" a="1"/>
  <c r="CP20" i="5" s="1"/>
  <c r="CO20" i="5" a="1"/>
  <c r="CO20" i="5" s="1"/>
  <c r="CH20" i="5" a="1"/>
  <c r="CH20" i="5" s="1"/>
  <c r="CG20" i="5" a="1"/>
  <c r="CG20" i="5" s="1"/>
  <c r="CF20" i="5" a="1"/>
  <c r="CF20" i="5" s="1"/>
  <c r="CE20" i="5" a="1"/>
  <c r="CE20" i="5" s="1"/>
  <c r="BX20" i="5" a="1"/>
  <c r="BX20" i="5" s="1"/>
  <c r="BW20" i="5" a="1"/>
  <c r="BW20" i="5" s="1"/>
  <c r="BV20" i="5" a="1"/>
  <c r="BV20" i="5" s="1"/>
  <c r="BU20" i="5" a="1"/>
  <c r="BU20" i="5" s="1"/>
  <c r="BN20" i="5" a="1"/>
  <c r="BN20" i="5" s="1"/>
  <c r="BM20" i="5" a="1"/>
  <c r="BM20" i="5" s="1"/>
  <c r="BL20" i="5" a="1"/>
  <c r="BL20" i="5" s="1"/>
  <c r="BK20" i="5" a="1"/>
  <c r="BK20" i="5" s="1"/>
  <c r="BD20" i="5" a="1"/>
  <c r="BD20" i="5" s="1"/>
  <c r="BC20" i="5" a="1"/>
  <c r="BC20" i="5" s="1"/>
  <c r="BB20" i="5" a="1"/>
  <c r="BB20" i="5" s="1"/>
  <c r="BA20" i="5" a="1"/>
  <c r="BA20" i="5" s="1"/>
  <c r="AT20" i="5" a="1"/>
  <c r="AT20" i="5" s="1"/>
  <c r="AS20" i="5" a="1"/>
  <c r="AS20" i="5" s="1"/>
  <c r="AR20" i="5" a="1"/>
  <c r="AR20" i="5" s="1"/>
  <c r="AQ20" i="5" a="1"/>
  <c r="AQ20" i="5" s="1"/>
  <c r="AJ20" i="5" a="1"/>
  <c r="AJ20" i="5" s="1"/>
  <c r="AI20" i="5" a="1"/>
  <c r="AI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CR19" i="5" a="1"/>
  <c r="CR19" i="5" s="1"/>
  <c r="CQ19" i="5" a="1"/>
  <c r="CQ19" i="5" s="1"/>
  <c r="CP19" i="5" a="1"/>
  <c r="CP19" i="5" s="1"/>
  <c r="CO19" i="5" a="1"/>
  <c r="CO19" i="5" s="1"/>
  <c r="CH19" i="5" a="1"/>
  <c r="CH19" i="5" s="1"/>
  <c r="CG19" i="5" a="1"/>
  <c r="CG19" i="5" s="1"/>
  <c r="CF19" i="5" a="1"/>
  <c r="CF19" i="5" s="1"/>
  <c r="CE19" i="5" a="1"/>
  <c r="CE19" i="5" s="1"/>
  <c r="BX19" i="5" a="1"/>
  <c r="BX19" i="5" s="1"/>
  <c r="BW19" i="5" a="1"/>
  <c r="BW19" i="5" s="1"/>
  <c r="BV19" i="5" a="1"/>
  <c r="BV19" i="5" s="1"/>
  <c r="BU19" i="5" a="1"/>
  <c r="BU19" i="5" s="1"/>
  <c r="BN19" i="5" a="1"/>
  <c r="BN19" i="5" s="1"/>
  <c r="BM19" i="5" a="1"/>
  <c r="BM19" i="5" s="1"/>
  <c r="BL19" i="5" a="1"/>
  <c r="BL19" i="5" s="1"/>
  <c r="BK19" i="5" a="1"/>
  <c r="BK19" i="5" s="1"/>
  <c r="BD19" i="5" a="1"/>
  <c r="BD19" i="5" s="1"/>
  <c r="BC19" i="5" a="1"/>
  <c r="BC19" i="5" s="1"/>
  <c r="BB19" i="5" a="1"/>
  <c r="BB19" i="5" s="1"/>
  <c r="BA19" i="5" a="1"/>
  <c r="BA19" i="5" s="1"/>
  <c r="AT19" i="5" a="1"/>
  <c r="AT19" i="5" s="1"/>
  <c r="AS19" i="5" a="1"/>
  <c r="AS19" i="5" s="1"/>
  <c r="AR19" i="5" a="1"/>
  <c r="AR19" i="5" s="1"/>
  <c r="AQ19" i="5" a="1"/>
  <c r="AQ19" i="5" s="1"/>
  <c r="AJ19" i="5" a="1"/>
  <c r="AJ19" i="5" s="1"/>
  <c r="AI19" i="5" a="1"/>
  <c r="AI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CR18" i="5" a="1"/>
  <c r="CR18" i="5" s="1"/>
  <c r="CQ18" i="5" a="1"/>
  <c r="CQ18" i="5" s="1"/>
  <c r="CP18" i="5" a="1"/>
  <c r="CP18" i="5" s="1"/>
  <c r="CO18" i="5" a="1"/>
  <c r="CO18" i="5" s="1"/>
  <c r="CH18" i="5" a="1"/>
  <c r="CH18" i="5" s="1"/>
  <c r="CG18" i="5" a="1"/>
  <c r="CG18" i="5" s="1"/>
  <c r="CF18" i="5" a="1"/>
  <c r="CF18" i="5" s="1"/>
  <c r="CE18" i="5" a="1"/>
  <c r="CE18" i="5" s="1"/>
  <c r="BX18" i="5" a="1"/>
  <c r="BX18" i="5" s="1"/>
  <c r="BW18" i="5" a="1"/>
  <c r="BW18" i="5" s="1"/>
  <c r="BV18" i="5" a="1"/>
  <c r="BV18" i="5" s="1"/>
  <c r="BU18" i="5" a="1"/>
  <c r="BU18" i="5" s="1"/>
  <c r="BN18" i="5" a="1"/>
  <c r="BN18" i="5" s="1"/>
  <c r="BM18" i="5" a="1"/>
  <c r="BM18" i="5" s="1"/>
  <c r="BL18" i="5" a="1"/>
  <c r="BL18" i="5" s="1"/>
  <c r="BK18" i="5" a="1"/>
  <c r="BK18" i="5" s="1"/>
  <c r="BD18" i="5" a="1"/>
  <c r="BD18" i="5" s="1"/>
  <c r="BC18" i="5" a="1"/>
  <c r="BC18" i="5" s="1"/>
  <c r="BB18" i="5" a="1"/>
  <c r="BB18" i="5" s="1"/>
  <c r="BA18" i="5" a="1"/>
  <c r="BA18" i="5" s="1"/>
  <c r="AT18" i="5" a="1"/>
  <c r="AT18" i="5" s="1"/>
  <c r="AS18" i="5" a="1"/>
  <c r="AS18" i="5" s="1"/>
  <c r="AR18" i="5" a="1"/>
  <c r="AR18" i="5" s="1"/>
  <c r="AQ18" i="5" a="1"/>
  <c r="AQ18" i="5" s="1"/>
  <c r="AJ18" i="5" a="1"/>
  <c r="AJ18" i="5" s="1"/>
  <c r="AI18" i="5"/>
  <c r="AI18" i="5" a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CR17" i="5" a="1"/>
  <c r="CR17" i="5" s="1"/>
  <c r="CQ17" i="5" a="1"/>
  <c r="CQ17" i="5" s="1"/>
  <c r="CP17" i="5" a="1"/>
  <c r="CP17" i="5" s="1"/>
  <c r="CO17" i="5" a="1"/>
  <c r="CO17" i="5" s="1"/>
  <c r="CH17" i="5" a="1"/>
  <c r="CH17" i="5" s="1"/>
  <c r="CG17" i="5" a="1"/>
  <c r="CG17" i="5" s="1"/>
  <c r="CF17" i="5" a="1"/>
  <c r="CF17" i="5" s="1"/>
  <c r="CE17" i="5" a="1"/>
  <c r="CE17" i="5" s="1"/>
  <c r="BX17" i="5" a="1"/>
  <c r="BX17" i="5" s="1"/>
  <c r="BW17" i="5" a="1"/>
  <c r="BW17" i="5" s="1"/>
  <c r="BV17" i="5" a="1"/>
  <c r="BV17" i="5" s="1"/>
  <c r="BU17" i="5" a="1"/>
  <c r="BU17" i="5" s="1"/>
  <c r="BN17" i="5" a="1"/>
  <c r="BN17" i="5" s="1"/>
  <c r="BM17" i="5" a="1"/>
  <c r="BM17" i="5" s="1"/>
  <c r="BL17" i="5" a="1"/>
  <c r="BL17" i="5" s="1"/>
  <c r="BK17" i="5" a="1"/>
  <c r="BK17" i="5" s="1"/>
  <c r="BD17" i="5" a="1"/>
  <c r="BD17" i="5" s="1"/>
  <c r="BC17" i="5" a="1"/>
  <c r="BC17" i="5" s="1"/>
  <c r="BB17" i="5" a="1"/>
  <c r="BB17" i="5" s="1"/>
  <c r="BA17" i="5" a="1"/>
  <c r="BA17" i="5" s="1"/>
  <c r="AT17" i="5" a="1"/>
  <c r="AT17" i="5" s="1"/>
  <c r="AS17" i="5" a="1"/>
  <c r="AS17" i="5" s="1"/>
  <c r="AR17" i="5" a="1"/>
  <c r="AR17" i="5" s="1"/>
  <c r="AQ17" i="5" a="1"/>
  <c r="AQ17" i="5" s="1"/>
  <c r="AJ17" i="5" a="1"/>
  <c r="AJ17" i="5" s="1"/>
  <c r="AI17" i="5" a="1"/>
  <c r="AI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CR16" i="5" a="1"/>
  <c r="CR16" i="5" s="1"/>
  <c r="CQ16" i="5" a="1"/>
  <c r="CQ16" i="5" s="1"/>
  <c r="CP16" i="5" a="1"/>
  <c r="CP16" i="5" s="1"/>
  <c r="CO16" i="5" a="1"/>
  <c r="CO16" i="5" s="1"/>
  <c r="CH16" i="5" a="1"/>
  <c r="CH16" i="5" s="1"/>
  <c r="CG16" i="5" a="1"/>
  <c r="CG16" i="5" s="1"/>
  <c r="CF16" i="5" a="1"/>
  <c r="CF16" i="5" s="1"/>
  <c r="CE16" i="5" a="1"/>
  <c r="CE16" i="5" s="1"/>
  <c r="BX16" i="5" a="1"/>
  <c r="BX16" i="5" s="1"/>
  <c r="BW16" i="5" a="1"/>
  <c r="BW16" i="5" s="1"/>
  <c r="BV16" i="5" a="1"/>
  <c r="BV16" i="5" s="1"/>
  <c r="BU16" i="5" a="1"/>
  <c r="BU16" i="5" s="1"/>
  <c r="BN16" i="5" a="1"/>
  <c r="BN16" i="5" s="1"/>
  <c r="BM16" i="5" a="1"/>
  <c r="BM16" i="5" s="1"/>
  <c r="BL16" i="5" a="1"/>
  <c r="BL16" i="5" s="1"/>
  <c r="BK16" i="5" a="1"/>
  <c r="BK16" i="5" s="1"/>
  <c r="BD16" i="5" a="1"/>
  <c r="BD16" i="5" s="1"/>
  <c r="BC16" i="5" a="1"/>
  <c r="BC16" i="5" s="1"/>
  <c r="BB16" i="5" a="1"/>
  <c r="BB16" i="5" s="1"/>
  <c r="BA16" i="5" a="1"/>
  <c r="BA16" i="5" s="1"/>
  <c r="AT16" i="5" a="1"/>
  <c r="AT16" i="5" s="1"/>
  <c r="AS16" i="5" a="1"/>
  <c r="AS16" i="5" s="1"/>
  <c r="AR16" i="5" a="1"/>
  <c r="AR16" i="5" s="1"/>
  <c r="AQ16" i="5" a="1"/>
  <c r="AQ16" i="5" s="1"/>
  <c r="AJ16" i="5" a="1"/>
  <c r="AJ16" i="5" s="1"/>
  <c r="AI16" i="5" a="1"/>
  <c r="AI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CR15" i="5" a="1"/>
  <c r="CR15" i="5" s="1"/>
  <c r="CQ15" i="5" a="1"/>
  <c r="CQ15" i="5" s="1"/>
  <c r="CP15" i="5" a="1"/>
  <c r="CP15" i="5" s="1"/>
  <c r="CO15" i="5" a="1"/>
  <c r="CO15" i="5" s="1"/>
  <c r="CH15" i="5" a="1"/>
  <c r="CH15" i="5" s="1"/>
  <c r="CG15" i="5" a="1"/>
  <c r="CG15" i="5" s="1"/>
  <c r="CF15" i="5" a="1"/>
  <c r="CF15" i="5" s="1"/>
  <c r="CE15" i="5" a="1"/>
  <c r="CE15" i="5" s="1"/>
  <c r="BX15" i="5" a="1"/>
  <c r="BX15" i="5" s="1"/>
  <c r="BW15" i="5" a="1"/>
  <c r="BW15" i="5" s="1"/>
  <c r="BV15" i="5" a="1"/>
  <c r="BV15" i="5" s="1"/>
  <c r="BU15" i="5" a="1"/>
  <c r="BU15" i="5" s="1"/>
  <c r="BN15" i="5" a="1"/>
  <c r="BN15" i="5" s="1"/>
  <c r="BM15" i="5" a="1"/>
  <c r="BM15" i="5" s="1"/>
  <c r="BL15" i="5" a="1"/>
  <c r="BL15" i="5" s="1"/>
  <c r="BK15" i="5" a="1"/>
  <c r="BK15" i="5" s="1"/>
  <c r="BD15" i="5" a="1"/>
  <c r="BD15" i="5" s="1"/>
  <c r="BC15" i="5" a="1"/>
  <c r="BC15" i="5" s="1"/>
  <c r="BB15" i="5" a="1"/>
  <c r="BB15" i="5" s="1"/>
  <c r="BA15" i="5" a="1"/>
  <c r="BA15" i="5" s="1"/>
  <c r="AT15" i="5" a="1"/>
  <c r="AT15" i="5" s="1"/>
  <c r="AS15" i="5" a="1"/>
  <c r="AS15" i="5" s="1"/>
  <c r="AR15" i="5" a="1"/>
  <c r="AR15" i="5" s="1"/>
  <c r="AQ15" i="5" a="1"/>
  <c r="AQ15" i="5" s="1"/>
  <c r="AJ15" i="5" a="1"/>
  <c r="AJ15" i="5" s="1"/>
  <c r="AI15" i="5" a="1"/>
  <c r="AI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CR14" i="5" a="1"/>
  <c r="CR14" i="5" s="1"/>
  <c r="CQ14" i="5" a="1"/>
  <c r="CQ14" i="5" s="1"/>
  <c r="CP14" i="5" a="1"/>
  <c r="CP14" i="5" s="1"/>
  <c r="CO14" i="5" a="1"/>
  <c r="CO14" i="5" s="1"/>
  <c r="CH14" i="5" a="1"/>
  <c r="CH14" i="5" s="1"/>
  <c r="CG14" i="5" a="1"/>
  <c r="CG14" i="5" s="1"/>
  <c r="CF14" i="5" a="1"/>
  <c r="CF14" i="5" s="1"/>
  <c r="CE14" i="5" a="1"/>
  <c r="CE14" i="5" s="1"/>
  <c r="BX14" i="5" a="1"/>
  <c r="BX14" i="5" s="1"/>
  <c r="BW14" i="5" a="1"/>
  <c r="BW14" i="5" s="1"/>
  <c r="BV14" i="5" a="1"/>
  <c r="BV14" i="5" s="1"/>
  <c r="BU14" i="5" a="1"/>
  <c r="BU14" i="5" s="1"/>
  <c r="BN14" i="5" a="1"/>
  <c r="BN14" i="5" s="1"/>
  <c r="BM14" i="5" a="1"/>
  <c r="BM14" i="5" s="1"/>
  <c r="BL14" i="5" a="1"/>
  <c r="BL14" i="5" s="1"/>
  <c r="BK14" i="5" a="1"/>
  <c r="BK14" i="5" s="1"/>
  <c r="BD14" i="5" a="1"/>
  <c r="BD14" i="5" s="1"/>
  <c r="BC14" i="5" a="1"/>
  <c r="BC14" i="5" s="1"/>
  <c r="BB14" i="5" a="1"/>
  <c r="BB14" i="5" s="1"/>
  <c r="BA14" i="5" a="1"/>
  <c r="BA14" i="5" s="1"/>
  <c r="AT14" i="5" a="1"/>
  <c r="AT14" i="5" s="1"/>
  <c r="AS14" i="5" a="1"/>
  <c r="AS14" i="5" s="1"/>
  <c r="AR14" i="5" a="1"/>
  <c r="AR14" i="5" s="1"/>
  <c r="AQ14" i="5" a="1"/>
  <c r="AQ14" i="5" s="1"/>
  <c r="AJ14" i="5" a="1"/>
  <c r="AJ14" i="5" s="1"/>
  <c r="AI14" i="5" a="1"/>
  <c r="AI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CR13" i="5" a="1"/>
  <c r="CR13" i="5" s="1"/>
  <c r="CQ13" i="5" a="1"/>
  <c r="CQ13" i="5" s="1"/>
  <c r="CP13" i="5" a="1"/>
  <c r="CP13" i="5" s="1"/>
  <c r="CO13" i="5" a="1"/>
  <c r="CO13" i="5" s="1"/>
  <c r="CH13" i="5" a="1"/>
  <c r="CH13" i="5" s="1"/>
  <c r="CG13" i="5" a="1"/>
  <c r="CG13" i="5" s="1"/>
  <c r="CF13" i="5" a="1"/>
  <c r="CF13" i="5" s="1"/>
  <c r="CE13" i="5" a="1"/>
  <c r="CE13" i="5" s="1"/>
  <c r="BX13" i="5" a="1"/>
  <c r="BX13" i="5" s="1"/>
  <c r="BW13" i="5" a="1"/>
  <c r="BW13" i="5" s="1"/>
  <c r="BV13" i="5" a="1"/>
  <c r="BV13" i="5" s="1"/>
  <c r="BU13" i="5" a="1"/>
  <c r="BU13" i="5" s="1"/>
  <c r="BN13" i="5" a="1"/>
  <c r="BN13" i="5" s="1"/>
  <c r="BM13" i="5" a="1"/>
  <c r="BM13" i="5" s="1"/>
  <c r="BL13" i="5" a="1"/>
  <c r="BL13" i="5" s="1"/>
  <c r="BK13" i="5" a="1"/>
  <c r="BK13" i="5" s="1"/>
  <c r="BD13" i="5" a="1"/>
  <c r="BD13" i="5" s="1"/>
  <c r="BC13" i="5" a="1"/>
  <c r="BC13" i="5" s="1"/>
  <c r="BB13" i="5" a="1"/>
  <c r="BB13" i="5" s="1"/>
  <c r="BA13" i="5" a="1"/>
  <c r="BA13" i="5" s="1"/>
  <c r="AT13" i="5" a="1"/>
  <c r="AT13" i="5" s="1"/>
  <c r="AS13" i="5" a="1"/>
  <c r="AS13" i="5" s="1"/>
  <c r="AR13" i="5" a="1"/>
  <c r="AR13" i="5" s="1"/>
  <c r="AQ13" i="5" a="1"/>
  <c r="AQ13" i="5" s="1"/>
  <c r="AJ13" i="5" a="1"/>
  <c r="AJ13" i="5" s="1"/>
  <c r="AI13" i="5" a="1"/>
  <c r="AI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BJ12" i="5"/>
  <c r="BH12" i="5"/>
  <c r="BF12" i="5"/>
  <c r="BD12" i="5"/>
  <c r="AZ12" i="5"/>
  <c r="AX12" i="5"/>
  <c r="AV12" i="5"/>
  <c r="AT12" i="5"/>
  <c r="AP12" i="5"/>
  <c r="AN12" i="5"/>
  <c r="AL12" i="5"/>
  <c r="AJ12" i="5"/>
  <c r="Z10" i="5" a="1"/>
  <c r="Z10" i="5" s="1"/>
  <c r="Y10" i="5" a="1"/>
  <c r="Y10" i="5" s="1"/>
  <c r="X10" i="5" a="1"/>
  <c r="X10" i="5" s="1"/>
  <c r="W10" i="5" a="1"/>
  <c r="W10" i="5" s="1"/>
  <c r="Z9" i="5" a="1"/>
  <c r="Z9" i="5" s="1"/>
  <c r="Y9" i="5" a="1"/>
  <c r="Y9" i="5" s="1"/>
  <c r="X9" i="5" a="1"/>
  <c r="X9" i="5" s="1"/>
  <c r="W9" i="5" a="1"/>
  <c r="W9" i="5" s="1"/>
  <c r="Z8" i="5" a="1"/>
  <c r="Z8" i="5" s="1"/>
  <c r="Y8" i="5" a="1"/>
  <c r="Y8" i="5" s="1"/>
  <c r="BF22" i="5" s="1"/>
  <c r="X8" i="5" a="1"/>
  <c r="X8" i="5" s="1"/>
  <c r="W8" i="5" a="1"/>
  <c r="W8" i="5" s="1"/>
  <c r="Z7" i="5" a="1"/>
  <c r="Z7" i="5" s="1"/>
  <c r="Y7" i="5" a="1"/>
  <c r="Y7" i="5" s="1"/>
  <c r="X7" i="5" a="1"/>
  <c r="X7" i="5" s="1"/>
  <c r="W7" i="5" a="1"/>
  <c r="W7" i="5" s="1"/>
  <c r="Z6" i="5" a="1"/>
  <c r="Z6" i="5" s="1"/>
  <c r="Y6" i="5" a="1"/>
  <c r="Y6" i="5" s="1"/>
  <c r="X6" i="5" a="1"/>
  <c r="X6" i="5" s="1"/>
  <c r="W6" i="5" a="1"/>
  <c r="W6" i="5" s="1"/>
  <c r="Z5" i="5" a="1"/>
  <c r="Z5" i="5" s="1"/>
  <c r="Y5" i="5" a="1"/>
  <c r="Y5" i="5" s="1"/>
  <c r="X5" i="5" a="1"/>
  <c r="X5" i="5" s="1"/>
  <c r="W5" i="5" a="1"/>
  <c r="W5" i="5" s="1"/>
  <c r="Z4" i="5" a="1"/>
  <c r="Z4" i="5" s="1"/>
  <c r="Y4" i="5" a="1"/>
  <c r="Y4" i="5" s="1"/>
  <c r="X4" i="5" a="1"/>
  <c r="X4" i="5" s="1"/>
  <c r="W4" i="5" a="1"/>
  <c r="W4" i="5" s="1"/>
  <c r="BT23" i="5" l="1"/>
  <c r="AC47" i="5"/>
  <c r="CM19" i="5"/>
  <c r="CX21" i="5"/>
  <c r="AZ19" i="5"/>
  <c r="BI21" i="5"/>
  <c r="AH14" i="5"/>
  <c r="CD17" i="5"/>
  <c r="AZ20" i="5"/>
  <c r="CB20" i="5"/>
  <c r="AH33" i="5" s="1"/>
  <c r="CB16" i="5"/>
  <c r="AH31" i="5" s="1"/>
  <c r="AA5" i="5"/>
  <c r="BP15" i="5"/>
  <c r="BI18" i="5"/>
  <c r="Z34" i="5"/>
  <c r="CL16" i="5"/>
  <c r="AN15" i="5"/>
  <c r="CN14" i="5"/>
  <c r="CC14" i="5"/>
  <c r="BH15" i="5"/>
  <c r="BT15" i="5"/>
  <c r="AP14" i="5"/>
  <c r="CW19" i="5"/>
  <c r="AE15" i="5"/>
  <c r="CU19" i="5"/>
  <c r="BS20" i="5"/>
  <c r="CV15" i="5"/>
  <c r="BI20" i="5"/>
  <c r="BP14" i="5"/>
  <c r="BH16" i="5"/>
  <c r="BS24" i="5"/>
  <c r="CX20" i="5"/>
  <c r="AL33" i="5" s="1"/>
  <c r="Z42" i="5" s="1"/>
  <c r="BE19" i="5"/>
  <c r="AY20" i="5"/>
  <c r="AG22" i="5"/>
  <c r="AG25" i="5"/>
  <c r="BT17" i="5"/>
  <c r="AF15" i="5"/>
  <c r="CL15" i="5"/>
  <c r="CC19" i="5"/>
  <c r="BT22" i="5"/>
  <c r="CN20" i="5"/>
  <c r="AD21" i="5"/>
  <c r="AB10" i="5"/>
  <c r="W37" i="5" s="1"/>
  <c r="W46" i="5" s="1"/>
  <c r="BF18" i="5"/>
  <c r="CB21" i="5"/>
  <c r="CA21" i="5"/>
  <c r="AX22" i="5"/>
  <c r="AW22" i="5"/>
  <c r="AN22" i="5"/>
  <c r="CV22" i="5"/>
  <c r="CU22" i="5"/>
  <c r="AW21" i="5"/>
  <c r="AB8" i="5"/>
  <c r="W34" i="5" s="1"/>
  <c r="W43" i="5" s="1"/>
  <c r="AM22" i="5"/>
  <c r="BH21" i="5"/>
  <c r="BQ21" i="5"/>
  <c r="AF21" i="5"/>
  <c r="BY13" i="5"/>
  <c r="BI14" i="5"/>
  <c r="AL14" i="5"/>
  <c r="CK14" i="5"/>
  <c r="AM17" i="5"/>
  <c r="CA17" i="5"/>
  <c r="BQ18" i="5"/>
  <c r="AW14" i="5"/>
  <c r="AE16" i="5"/>
  <c r="BR16" i="5"/>
  <c r="BO16" i="5"/>
  <c r="BQ16" i="5"/>
  <c r="BP16" i="5"/>
  <c r="CK18" i="5"/>
  <c r="AF13" i="5"/>
  <c r="BF14" i="5"/>
  <c r="BE14" i="5"/>
  <c r="AU35" i="5" s="1"/>
  <c r="BG14" i="5"/>
  <c r="BH14" i="5"/>
  <c r="AM18" i="5"/>
  <c r="CS23" i="5"/>
  <c r="CI24" i="5"/>
  <c r="CT23" i="5"/>
  <c r="CS24" i="5"/>
  <c r="AB9" i="5"/>
  <c r="W36" i="5" s="1"/>
  <c r="W45" i="5" s="1"/>
  <c r="AU24" i="5"/>
  <c r="AC24" i="5"/>
  <c r="AA9" i="5"/>
  <c r="BZ15" i="5"/>
  <c r="CB15" i="5"/>
  <c r="CA15" i="5"/>
  <c r="BY15" i="5"/>
  <c r="CS17" i="5"/>
  <c r="CV17" i="5"/>
  <c r="CU17" i="5"/>
  <c r="CT17" i="5"/>
  <c r="CB17" i="5"/>
  <c r="CU18" i="5"/>
  <c r="CL18" i="5"/>
  <c r="CA18" i="5"/>
  <c r="BG18" i="5"/>
  <c r="CS19" i="5"/>
  <c r="AU20" i="5"/>
  <c r="CT20" i="5"/>
  <c r="BZ19" i="5"/>
  <c r="CS20" i="5"/>
  <c r="BF19" i="5"/>
  <c r="CT19" i="5"/>
  <c r="BP20" i="5"/>
  <c r="BF20" i="5"/>
  <c r="AA7" i="5"/>
  <c r="BO20" i="5"/>
  <c r="BE20" i="5"/>
  <c r="AV20" i="5"/>
  <c r="AB7" i="5"/>
  <c r="W33" i="5" s="1"/>
  <c r="W42" i="5" s="1"/>
  <c r="BP13" i="5"/>
  <c r="CU13" i="5"/>
  <c r="AX15" i="5"/>
  <c r="AU15" i="5"/>
  <c r="AW15" i="5"/>
  <c r="AV15" i="5"/>
  <c r="CK16" i="5"/>
  <c r="AX17" i="5"/>
  <c r="AW17" i="5"/>
  <c r="AV17" i="5"/>
  <c r="AU17" i="5"/>
  <c r="AN16" i="5"/>
  <c r="AM16" i="5"/>
  <c r="AL16" i="5"/>
  <c r="AK16" i="5"/>
  <c r="BR17" i="5"/>
  <c r="AF19" i="5"/>
  <c r="AE19" i="5"/>
  <c r="AD19" i="5"/>
  <c r="AC19" i="5"/>
  <c r="AL20" i="5"/>
  <c r="AP20" i="5"/>
  <c r="AN20" i="5"/>
  <c r="AM20" i="5"/>
  <c r="AO20" i="5"/>
  <c r="AK20" i="5"/>
  <c r="CT16" i="5"/>
  <c r="CV16" i="5"/>
  <c r="CU16" i="5"/>
  <c r="CS16" i="5"/>
  <c r="AF18" i="5"/>
  <c r="AE18" i="5"/>
  <c r="AD18" i="5"/>
  <c r="AC18" i="5"/>
  <c r="AV18" i="5"/>
  <c r="AW18" i="5"/>
  <c r="AU18" i="5"/>
  <c r="AX18" i="5"/>
  <c r="AB4" i="5"/>
  <c r="W35" i="5" s="1"/>
  <c r="W44" i="5" s="1"/>
  <c r="AA4" i="5"/>
  <c r="AV14" i="5"/>
  <c r="BZ13" i="5"/>
  <c r="CJ14" i="5"/>
  <c r="BO14" i="5"/>
  <c r="AX13" i="5"/>
  <c r="AW13" i="5"/>
  <c r="AU13" i="5"/>
  <c r="AV13" i="5"/>
  <c r="CL21" i="5"/>
  <c r="CI21" i="5"/>
  <c r="CK21" i="5"/>
  <c r="CJ21" i="5"/>
  <c r="AD14" i="5"/>
  <c r="CL24" i="5"/>
  <c r="CU23" i="5"/>
  <c r="CK24" i="5"/>
  <c r="CV23" i="5"/>
  <c r="BQ24" i="5"/>
  <c r="AW23" i="5"/>
  <c r="AN13" i="5"/>
  <c r="CL13" i="5"/>
  <c r="CV14" i="5"/>
  <c r="CT14" i="5"/>
  <c r="CS14" i="5"/>
  <c r="CU14" i="5"/>
  <c r="CL17" i="5"/>
  <c r="CK17" i="5"/>
  <c r="CJ17" i="5"/>
  <c r="CI17" i="5"/>
  <c r="CV18" i="5"/>
  <c r="BP19" i="5"/>
  <c r="BR19" i="5"/>
  <c r="BQ19" i="5"/>
  <c r="BO19" i="5"/>
  <c r="AB6" i="5"/>
  <c r="W32" i="5" s="1"/>
  <c r="W41" i="5" s="1"/>
  <c r="AA6" i="5"/>
  <c r="BZ17" i="5"/>
  <c r="AL17" i="5"/>
  <c r="BF13" i="5"/>
  <c r="BE13" i="5"/>
  <c r="BG13" i="5"/>
  <c r="BH13" i="5"/>
  <c r="AF17" i="5"/>
  <c r="AH17" i="5"/>
  <c r="AE17" i="5"/>
  <c r="AD17" i="5"/>
  <c r="AC17" i="5"/>
  <c r="BZ18" i="5"/>
  <c r="AN19" i="5"/>
  <c r="AM19" i="5"/>
  <c r="AL19" i="5"/>
  <c r="AK19" i="5"/>
  <c r="BQ14" i="5"/>
  <c r="AX14" i="5"/>
  <c r="CB13" i="5"/>
  <c r="CV13" i="5"/>
  <c r="CL14" i="5"/>
  <c r="CA13" i="5"/>
  <c r="BR14" i="5"/>
  <c r="BJ13" i="5"/>
  <c r="CX13" i="5"/>
  <c r="AZ13" i="5"/>
  <c r="BI13" i="5"/>
  <c r="CC13" i="5"/>
  <c r="BT13" i="5"/>
  <c r="CW13" i="5"/>
  <c r="AY13" i="5"/>
  <c r="BS13" i="5"/>
  <c r="AO13" i="5"/>
  <c r="AG13" i="5"/>
  <c r="CN13" i="5"/>
  <c r="AP13" i="5"/>
  <c r="AH13" i="5"/>
  <c r="CM13" i="5"/>
  <c r="CD13" i="5"/>
  <c r="AM15" i="5"/>
  <c r="CN16" i="5"/>
  <c r="AP16" i="5"/>
  <c r="AH16" i="5"/>
  <c r="CM16" i="5"/>
  <c r="AZ16" i="5"/>
  <c r="AY16" i="5"/>
  <c r="CD16" i="5"/>
  <c r="AG16" i="5"/>
  <c r="CC16" i="5"/>
  <c r="AO16" i="5"/>
  <c r="BT16" i="5"/>
  <c r="BS16" i="5"/>
  <c r="CX16" i="5"/>
  <c r="AL31" i="5" s="1"/>
  <c r="Z40" i="5" s="1"/>
  <c r="BJ16" i="5"/>
  <c r="CW16" i="5"/>
  <c r="BI16" i="5"/>
  <c r="BG17" i="5"/>
  <c r="BF17" i="5"/>
  <c r="BE17" i="5"/>
  <c r="BH17" i="5"/>
  <c r="AF22" i="5"/>
  <c r="AA10" i="5"/>
  <c r="AR37" i="5" s="1"/>
  <c r="AC13" i="5"/>
  <c r="AK13" i="5"/>
  <c r="AB5" i="5"/>
  <c r="AD13" i="5"/>
  <c r="AL13" i="5"/>
  <c r="CJ13" i="5"/>
  <c r="CB14" i="5"/>
  <c r="AK15" i="5"/>
  <c r="BJ15" i="5"/>
  <c r="BQ15" i="5"/>
  <c r="CX15" i="5"/>
  <c r="BO17" i="5"/>
  <c r="CX17" i="5"/>
  <c r="AY18" i="5"/>
  <c r="BO18" i="5"/>
  <c r="CM20" i="5"/>
  <c r="BP22" i="5"/>
  <c r="BR22" i="5"/>
  <c r="BQ22" i="5"/>
  <c r="BO22" i="5"/>
  <c r="CS13" i="5"/>
  <c r="AE14" i="5"/>
  <c r="AM14" i="5"/>
  <c r="BY14" i="5"/>
  <c r="BR13" i="5"/>
  <c r="CT13" i="5"/>
  <c r="AF14" i="5"/>
  <c r="AN14" i="5"/>
  <c r="BS14" i="5"/>
  <c r="BZ14" i="5"/>
  <c r="AC15" i="5"/>
  <c r="AL15" i="5"/>
  <c r="BR15" i="5"/>
  <c r="AV16" i="5"/>
  <c r="BY16" i="5"/>
  <c r="BI17" i="5"/>
  <c r="BQ17" i="5"/>
  <c r="AZ18" i="5"/>
  <c r="BH18" i="5"/>
  <c r="BP18" i="5"/>
  <c r="BY18" i="5"/>
  <c r="BG21" i="5"/>
  <c r="BF21" i="5"/>
  <c r="AV22" i="5"/>
  <c r="BQ13" i="5"/>
  <c r="AA8" i="5"/>
  <c r="AR34" i="5" s="1"/>
  <c r="AG14" i="5"/>
  <c r="AO14" i="5"/>
  <c r="AU14" i="5"/>
  <c r="BT14" i="5"/>
  <c r="CA14" i="5"/>
  <c r="CI14" i="5"/>
  <c r="AD15" i="5"/>
  <c r="BS15" i="5"/>
  <c r="AC16" i="5"/>
  <c r="BZ16" i="5"/>
  <c r="AK17" i="5"/>
  <c r="BY17" i="5"/>
  <c r="CS18" i="5"/>
  <c r="AV19" i="5"/>
  <c r="AU19" i="5"/>
  <c r="CL19" i="5"/>
  <c r="CK19" i="5"/>
  <c r="CI19" i="5"/>
  <c r="AX20" i="5"/>
  <c r="BO21" i="5"/>
  <c r="AU25" i="5"/>
  <c r="CI15" i="5"/>
  <c r="AD16" i="5"/>
  <c r="CA16" i="5"/>
  <c r="BC31" i="5" s="1"/>
  <c r="BS17" i="5"/>
  <c r="CN18" i="5"/>
  <c r="AP18" i="5"/>
  <c r="AH18" i="5"/>
  <c r="CC18" i="5"/>
  <c r="AO18" i="5"/>
  <c r="AG18" i="5"/>
  <c r="BJ18" i="5"/>
  <c r="BS18" i="5"/>
  <c r="BG20" i="5"/>
  <c r="BR20" i="5"/>
  <c r="BJ21" i="5"/>
  <c r="CN21" i="5"/>
  <c r="AZ21" i="5"/>
  <c r="CM21" i="5"/>
  <c r="AY21" i="5"/>
  <c r="BT21" i="5"/>
  <c r="BS21" i="5"/>
  <c r="CW21" i="5"/>
  <c r="CD21" i="5"/>
  <c r="CC21" i="5"/>
  <c r="AG21" i="5"/>
  <c r="AU21" i="5"/>
  <c r="BE21" i="5"/>
  <c r="AV23" i="5"/>
  <c r="CD14" i="5"/>
  <c r="AO15" i="5"/>
  <c r="CC15" i="5"/>
  <c r="CJ15" i="5"/>
  <c r="AU16" i="5"/>
  <c r="CI16" i="5"/>
  <c r="BT18" i="5"/>
  <c r="CD18" i="5"/>
  <c r="CM18" i="5"/>
  <c r="AW19" i="5"/>
  <c r="BY19" i="5"/>
  <c r="CB19" i="5"/>
  <c r="CA19" i="5"/>
  <c r="CJ19" i="5"/>
  <c r="AH21" i="5"/>
  <c r="BJ22" i="5"/>
  <c r="CD22" i="5"/>
  <c r="BI22" i="5"/>
  <c r="AZ22" i="5"/>
  <c r="AY22" i="5"/>
  <c r="AH22" i="5"/>
  <c r="AO22" i="5"/>
  <c r="CX22" i="5"/>
  <c r="AL34" i="5" s="1"/>
  <c r="Z43" i="5" s="1"/>
  <c r="CN22" i="5"/>
  <c r="CC22" i="5"/>
  <c r="BS22" i="5"/>
  <c r="CM22" i="5"/>
  <c r="BH22" i="5"/>
  <c r="BG22" i="5"/>
  <c r="AX34" i="5" s="1"/>
  <c r="BE22" i="5"/>
  <c r="AU34" i="5" s="1"/>
  <c r="AG15" i="5"/>
  <c r="AP15" i="5"/>
  <c r="BE15" i="5"/>
  <c r="CD15" i="5"/>
  <c r="CK15" i="5"/>
  <c r="AF16" i="5"/>
  <c r="AW16" i="5"/>
  <c r="CJ16" i="5"/>
  <c r="CM17" i="5"/>
  <c r="BJ17" i="5"/>
  <c r="AO17" i="5"/>
  <c r="AN18" i="5"/>
  <c r="CW18" i="5"/>
  <c r="AX19" i="5"/>
  <c r="AD20" i="5"/>
  <c r="AG20" i="5"/>
  <c r="AE20" i="5"/>
  <c r="AC20" i="5"/>
  <c r="AN21" i="5"/>
  <c r="AL21" i="5"/>
  <c r="AK21" i="5"/>
  <c r="CB22" i="5"/>
  <c r="AD23" i="5"/>
  <c r="AF23" i="5"/>
  <c r="AH23" i="5"/>
  <c r="AE23" i="5"/>
  <c r="AC23" i="5"/>
  <c r="CJ23" i="5"/>
  <c r="CM23" i="5"/>
  <c r="CK23" i="5"/>
  <c r="CN23" i="5"/>
  <c r="CL23" i="5"/>
  <c r="CI23" i="5"/>
  <c r="AW20" i="5"/>
  <c r="AL25" i="5"/>
  <c r="AK25" i="5"/>
  <c r="CI25" i="5"/>
  <c r="BY26" i="5"/>
  <c r="CS25" i="5"/>
  <c r="BE25" i="5"/>
  <c r="AC25" i="5"/>
  <c r="CI13" i="5"/>
  <c r="AY14" i="5"/>
  <c r="CM14" i="5"/>
  <c r="AH15" i="5"/>
  <c r="AY15" i="5"/>
  <c r="BF15" i="5"/>
  <c r="CS15" i="5"/>
  <c r="AX16" i="5"/>
  <c r="BE16" i="5"/>
  <c r="AG17" i="5"/>
  <c r="AP17" i="5"/>
  <c r="CC17" i="5"/>
  <c r="CX18" i="5"/>
  <c r="AL32" i="5" s="1"/>
  <c r="Z41" i="5" s="1"/>
  <c r="AP19" i="5"/>
  <c r="AY19" i="5"/>
  <c r="BG19" i="5"/>
  <c r="CN19" i="5"/>
  <c r="CV19" i="5"/>
  <c r="CJ20" i="5"/>
  <c r="CK20" i="5"/>
  <c r="AV21" i="5"/>
  <c r="AP22" i="5"/>
  <c r="CW22" i="5"/>
  <c r="BG34" i="5" s="1"/>
  <c r="AZ15" i="5"/>
  <c r="BG15" i="5"/>
  <c r="CM15" i="5"/>
  <c r="CT15" i="5"/>
  <c r="BF16" i="5"/>
  <c r="BP17" i="5"/>
  <c r="BR18" i="5"/>
  <c r="BH19" i="5"/>
  <c r="CC20" i="5"/>
  <c r="CA20" i="5"/>
  <c r="BC33" i="5" s="1"/>
  <c r="BZ20" i="5"/>
  <c r="AM21" i="5"/>
  <c r="AD22" i="5"/>
  <c r="AE22" i="5"/>
  <c r="AC22" i="5"/>
  <c r="AL23" i="5"/>
  <c r="AO23" i="5"/>
  <c r="AM23" i="5"/>
  <c r="AK23" i="5"/>
  <c r="AE13" i="5"/>
  <c r="AM13" i="5"/>
  <c r="BO13" i="5"/>
  <c r="CK13" i="5"/>
  <c r="AC14" i="5"/>
  <c r="AK14" i="5"/>
  <c r="BO15" i="5"/>
  <c r="CN15" i="5"/>
  <c r="CU15" i="5"/>
  <c r="BG16" i="5"/>
  <c r="AX31" i="5" s="1"/>
  <c r="AY17" i="5"/>
  <c r="CN17" i="5"/>
  <c r="AK18" i="5"/>
  <c r="BE18" i="5"/>
  <c r="AG19" i="5"/>
  <c r="BI19" i="5"/>
  <c r="AF20" i="5"/>
  <c r="CI20" i="5"/>
  <c r="CU20" i="5"/>
  <c r="AO21" i="5"/>
  <c r="AX21" i="5"/>
  <c r="CT22" i="5"/>
  <c r="CS22" i="5"/>
  <c r="BZ21" i="5"/>
  <c r="AK22" i="5"/>
  <c r="BQ25" i="5"/>
  <c r="AM25" i="5"/>
  <c r="CK25" i="5"/>
  <c r="CX14" i="5"/>
  <c r="AL35" i="5" s="1"/>
  <c r="Z44" i="5" s="1"/>
  <c r="AZ14" i="5"/>
  <c r="BJ14" i="5"/>
  <c r="CW14" i="5"/>
  <c r="BI15" i="5"/>
  <c r="CW15" i="5"/>
  <c r="AN17" i="5"/>
  <c r="AZ17" i="5"/>
  <c r="CW17" i="5"/>
  <c r="AL18" i="5"/>
  <c r="CB18" i="5"/>
  <c r="CJ18" i="5"/>
  <c r="CI18" i="5"/>
  <c r="CT18" i="5"/>
  <c r="BJ19" i="5"/>
  <c r="CX19" i="5"/>
  <c r="CD19" i="5"/>
  <c r="AO19" i="5"/>
  <c r="BT19" i="5"/>
  <c r="AH19" i="5"/>
  <c r="BS19" i="5"/>
  <c r="AH20" i="5"/>
  <c r="BQ20" i="5"/>
  <c r="BY20" i="5"/>
  <c r="AZ33" i="5" s="1"/>
  <c r="CL20" i="5"/>
  <c r="CV20" i="5"/>
  <c r="AE21" i="5"/>
  <c r="AC21" i="5"/>
  <c r="AP21" i="5"/>
  <c r="BP21" i="5"/>
  <c r="BR21" i="5"/>
  <c r="BY21" i="5"/>
  <c r="CU21" i="5"/>
  <c r="CT21" i="5"/>
  <c r="CS21" i="5"/>
  <c r="CV21" i="5"/>
  <c r="AU22" i="5"/>
  <c r="AN23" i="5"/>
  <c r="BH23" i="5"/>
  <c r="BF23" i="5"/>
  <c r="BG23" i="5"/>
  <c r="BJ23" i="5"/>
  <c r="BE23" i="5"/>
  <c r="AU23" i="5"/>
  <c r="AF24" i="5"/>
  <c r="AE24" i="5"/>
  <c r="AD24" i="5"/>
  <c r="AX24" i="5"/>
  <c r="AW24" i="5"/>
  <c r="AV24" i="5"/>
  <c r="BR24" i="5"/>
  <c r="CL25" i="5"/>
  <c r="CN26" i="5"/>
  <c r="AP26" i="5"/>
  <c r="AH26" i="5"/>
  <c r="CM26" i="5"/>
  <c r="BJ26" i="5"/>
  <c r="CD26" i="5"/>
  <c r="CX26" i="5"/>
  <c r="AL37" i="5" s="1"/>
  <c r="Z46" i="5" s="1"/>
  <c r="CC26" i="5"/>
  <c r="CW26" i="5"/>
  <c r="BT26" i="5"/>
  <c r="BS26" i="5"/>
  <c r="BI26" i="5"/>
  <c r="AZ26" i="5"/>
  <c r="AG26" i="5"/>
  <c r="AY26" i="5"/>
  <c r="AO26" i="5"/>
  <c r="AV26" i="5"/>
  <c r="AU26" i="5"/>
  <c r="AX26" i="5"/>
  <c r="AW26" i="5"/>
  <c r="BQ26" i="5"/>
  <c r="CD20" i="5"/>
  <c r="BH20" i="5"/>
  <c r="BT20" i="5"/>
  <c r="AN25" i="5"/>
  <c r="AG24" i="5"/>
  <c r="CJ24" i="5"/>
  <c r="BH25" i="5"/>
  <c r="AF26" i="5"/>
  <c r="AE26" i="5"/>
  <c r="AD26" i="5"/>
  <c r="AC26" i="5"/>
  <c r="CB23" i="5"/>
  <c r="CA23" i="5"/>
  <c r="BY23" i="5"/>
  <c r="AL24" i="5"/>
  <c r="AN24" i="5"/>
  <c r="BT25" i="5"/>
  <c r="CN25" i="5"/>
  <c r="AP25" i="5"/>
  <c r="AH25" i="5"/>
  <c r="CX25" i="5"/>
  <c r="CW25" i="5"/>
  <c r="CM25" i="5"/>
  <c r="CD25" i="5"/>
  <c r="BS25" i="5"/>
  <c r="BJ25" i="5"/>
  <c r="BI25" i="5"/>
  <c r="AZ25" i="5"/>
  <c r="AY25" i="5"/>
  <c r="AO25" i="5"/>
  <c r="BZ25" i="5"/>
  <c r="CB25" i="5"/>
  <c r="CA25" i="5"/>
  <c r="BY25" i="5"/>
  <c r="BH26" i="5"/>
  <c r="BF24" i="5"/>
  <c r="BH24" i="5"/>
  <c r="BG24" i="5"/>
  <c r="BE24" i="5"/>
  <c r="CV25" i="5"/>
  <c r="CT25" i="5"/>
  <c r="CU25" i="5"/>
  <c r="BZ22" i="5"/>
  <c r="BY22" i="5"/>
  <c r="AZ34" i="5" s="1"/>
  <c r="CL22" i="5"/>
  <c r="CJ22" i="5"/>
  <c r="BS23" i="5"/>
  <c r="BQ23" i="5"/>
  <c r="BP23" i="5"/>
  <c r="BZ23" i="5"/>
  <c r="AK24" i="5"/>
  <c r="CB24" i="5"/>
  <c r="BZ24" i="5"/>
  <c r="CA24" i="5"/>
  <c r="CC25" i="5"/>
  <c r="AN26" i="5"/>
  <c r="AL26" i="5"/>
  <c r="AK26" i="5"/>
  <c r="AM26" i="5"/>
  <c r="CB26" i="5"/>
  <c r="CT26" i="5"/>
  <c r="CS26" i="5"/>
  <c r="CU26" i="5"/>
  <c r="CV26" i="5"/>
  <c r="AX23" i="5"/>
  <c r="CC23" i="5"/>
  <c r="CX24" i="5"/>
  <c r="AL36" i="5" s="1"/>
  <c r="Z45" i="5" s="1"/>
  <c r="AZ24" i="5"/>
  <c r="BT24" i="5"/>
  <c r="CW24" i="5"/>
  <c r="CN24" i="5"/>
  <c r="CM24" i="5"/>
  <c r="CD24" i="5"/>
  <c r="BJ24" i="5"/>
  <c r="AH24" i="5"/>
  <c r="AY24" i="5"/>
  <c r="AP24" i="5"/>
  <c r="AO24" i="5"/>
  <c r="AM24" i="5"/>
  <c r="BI24" i="5"/>
  <c r="AF25" i="5"/>
  <c r="AX25" i="5"/>
  <c r="AV25" i="5"/>
  <c r="AW25" i="5"/>
  <c r="BJ20" i="5"/>
  <c r="CW20" i="5"/>
  <c r="AL22" i="5"/>
  <c r="CI22" i="5"/>
  <c r="CW23" i="5"/>
  <c r="BO23" i="5"/>
  <c r="BY24" i="5"/>
  <c r="AZ36" i="5" s="1"/>
  <c r="CA22" i="5"/>
  <c r="CK22" i="5"/>
  <c r="BR23" i="5"/>
  <c r="CC24" i="5"/>
  <c r="CV24" i="5"/>
  <c r="CU24" i="5"/>
  <c r="CT24" i="5"/>
  <c r="BP25" i="5"/>
  <c r="BE26" i="5"/>
  <c r="AD25" i="5"/>
  <c r="BF25" i="5"/>
  <c r="BF26" i="5"/>
  <c r="CL26" i="5"/>
  <c r="CD23" i="5"/>
  <c r="CX23" i="5"/>
  <c r="AZ23" i="5"/>
  <c r="AP23" i="5"/>
  <c r="BO24" i="5"/>
  <c r="AE25" i="5"/>
  <c r="BG25" i="5"/>
  <c r="BO25" i="5"/>
  <c r="BG26" i="5"/>
  <c r="BO26" i="5"/>
  <c r="AG23" i="5"/>
  <c r="AY23" i="5"/>
  <c r="BI23" i="5"/>
  <c r="BP24" i="5"/>
  <c r="BZ26" i="5"/>
  <c r="CA26" i="5"/>
  <c r="BC37" i="5" s="1"/>
  <c r="CI26" i="5"/>
  <c r="CJ25" i="5"/>
  <c r="CJ26" i="5"/>
  <c r="CK26" i="5"/>
  <c r="BD37" i="5" s="1"/>
  <c r="BR25" i="5"/>
  <c r="BR26" i="5"/>
  <c r="BP26" i="5"/>
  <c r="AV34" i="5" l="1"/>
  <c r="BG33" i="5"/>
  <c r="AZ32" i="5"/>
  <c r="BF34" i="5"/>
  <c r="BA32" i="5"/>
  <c r="BD31" i="5"/>
  <c r="AY31" i="5"/>
  <c r="BF33" i="5"/>
  <c r="BF36" i="5"/>
  <c r="AT37" i="5"/>
  <c r="BA33" i="5"/>
  <c r="BD33" i="5"/>
  <c r="AY35" i="5"/>
  <c r="AS35" i="5"/>
  <c r="AZ35" i="5"/>
  <c r="AV35" i="5"/>
  <c r="BG31" i="5"/>
  <c r="BE33" i="5"/>
  <c r="AW36" i="5"/>
  <c r="AU31" i="5"/>
  <c r="AZ31" i="5"/>
  <c r="AY32" i="5"/>
  <c r="BB35" i="5"/>
  <c r="AV31" i="5"/>
  <c r="BF32" i="5"/>
  <c r="AR36" i="5"/>
  <c r="AX35" i="5"/>
  <c r="BC35" i="5"/>
  <c r="BA37" i="5"/>
  <c r="BG35" i="5"/>
  <c r="AY34" i="5"/>
  <c r="AU33" i="5"/>
  <c r="BC34" i="5"/>
  <c r="AU37" i="5"/>
  <c r="BB33" i="5"/>
  <c r="AT35" i="5"/>
  <c r="BB34" i="5"/>
  <c r="AT32" i="5"/>
  <c r="BB31" i="5"/>
  <c r="AR33" i="5"/>
  <c r="AW34" i="5"/>
  <c r="BE35" i="5"/>
  <c r="AV33" i="5"/>
  <c r="AW35" i="5"/>
  <c r="BB32" i="5"/>
  <c r="BC36" i="5"/>
  <c r="AS34" i="5"/>
  <c r="AZ37" i="5"/>
  <c r="AT36" i="5"/>
  <c r="AY37" i="5"/>
  <c r="AT34" i="5"/>
  <c r="AX37" i="5"/>
  <c r="BD34" i="5"/>
  <c r="BF37" i="5"/>
  <c r="AU32" i="5"/>
  <c r="AW31" i="5"/>
  <c r="BA35" i="5"/>
  <c r="AR35" i="5"/>
  <c r="BE31" i="5"/>
  <c r="BE37" i="5"/>
  <c r="BE34" i="5"/>
  <c r="AS32" i="5"/>
  <c r="BA31" i="5"/>
  <c r="BF31" i="5"/>
  <c r="BE36" i="5"/>
  <c r="BD32" i="5"/>
  <c r="BD35" i="5"/>
  <c r="AS36" i="5"/>
  <c r="AT31" i="5"/>
  <c r="AX33" i="5"/>
  <c r="BB36" i="5"/>
  <c r="AT33" i="5"/>
  <c r="BE32" i="5"/>
  <c r="AY33" i="5"/>
  <c r="BA36" i="5"/>
  <c r="AR31" i="5"/>
  <c r="BG36" i="5"/>
  <c r="BB37" i="5"/>
  <c r="AW33" i="5"/>
  <c r="AY36" i="5"/>
  <c r="AV36" i="5"/>
  <c r="AV37" i="5"/>
  <c r="AU36" i="5"/>
  <c r="AW37" i="5"/>
  <c r="BG32" i="5"/>
  <c r="AR32" i="5"/>
  <c r="BD36" i="5"/>
  <c r="AW32" i="5"/>
  <c r="AS33" i="5"/>
  <c r="AX32" i="5"/>
  <c r="BA34" i="5"/>
  <c r="AS37" i="5"/>
  <c r="AX36" i="5"/>
  <c r="BG37" i="5"/>
  <c r="BF35" i="5"/>
  <c r="AS31" i="5"/>
  <c r="BC32" i="5"/>
  <c r="AV32" i="5"/>
  <c r="W31" i="5"/>
  <c r="W40" i="5" s="1"/>
  <c r="AD37" i="5"/>
  <c r="X37" i="5"/>
  <c r="Y36" i="5"/>
  <c r="X32" i="5"/>
  <c r="AE37" i="5"/>
  <c r="AF32" i="5"/>
  <c r="AA35" i="5"/>
  <c r="AG34" i="5"/>
  <c r="AD35" i="5"/>
  <c r="AD36" i="5"/>
  <c r="AJ36" i="5"/>
  <c r="X45" i="5" s="1"/>
  <c r="AB37" i="5"/>
  <c r="AG36" i="5"/>
  <c r="AH32" i="5"/>
  <c r="AH34" i="5"/>
  <c r="AA32" i="5"/>
  <c r="AD34" i="5"/>
  <c r="AH35" i="5"/>
  <c r="Y32" i="5"/>
  <c r="Z33" i="5"/>
  <c r="AG31" i="5"/>
  <c r="AB34" i="5"/>
  <c r="Y37" i="5"/>
  <c r="AJ35" i="5"/>
  <c r="X44" i="5" s="1"/>
  <c r="AF35" i="5"/>
  <c r="AA33" i="5"/>
  <c r="AI31" i="5"/>
  <c r="AA36" i="5"/>
  <c r="AK35" i="5"/>
  <c r="Y44" i="5" s="1"/>
  <c r="AA31" i="5"/>
  <c r="Z32" i="5"/>
  <c r="Y35" i="5"/>
  <c r="X33" i="5"/>
  <c r="Z35" i="5"/>
  <c r="AC35" i="5"/>
  <c r="Z36" i="5"/>
  <c r="Y34" i="5"/>
  <c r="AI37" i="5"/>
  <c r="AK32" i="5"/>
  <c r="Y41" i="5" s="1"/>
  <c r="X34" i="5"/>
  <c r="AC36" i="5"/>
  <c r="AE31" i="5"/>
  <c r="AI36" i="5"/>
  <c r="X31" i="5"/>
  <c r="AK36" i="5"/>
  <c r="Y45" i="5" s="1"/>
  <c r="AF34" i="5"/>
  <c r="AF33" i="5"/>
  <c r="AB33" i="5"/>
  <c r="X36" i="5"/>
  <c r="AC34" i="5"/>
  <c r="AE34" i="5"/>
  <c r="AH36" i="5"/>
  <c r="AC33" i="5"/>
  <c r="AI33" i="5"/>
  <c r="AG33" i="5"/>
  <c r="AG35" i="5"/>
  <c r="Y33" i="5"/>
  <c r="AJ33" i="5"/>
  <c r="X42" i="5" s="1"/>
  <c r="AG32" i="5"/>
  <c r="AB35" i="5"/>
  <c r="AD33" i="5"/>
  <c r="AI34" i="5"/>
  <c r="AB31" i="5"/>
  <c r="Y31" i="5"/>
  <c r="AJ37" i="5"/>
  <c r="X46" i="5" s="1"/>
  <c r="AJ32" i="5"/>
  <c r="X41" i="5" s="1"/>
  <c r="AJ34" i="5"/>
  <c r="X43" i="5" s="1"/>
  <c r="AE33" i="5"/>
  <c r="AD32" i="5"/>
  <c r="AE35" i="5"/>
  <c r="AE32" i="5"/>
  <c r="AB32" i="5"/>
  <c r="AK31" i="5"/>
  <c r="Y40" i="5" s="1"/>
  <c r="AD31" i="5"/>
  <c r="X35" i="5"/>
  <c r="AK34" i="5"/>
  <c r="Y43" i="5" s="1"/>
  <c r="AI32" i="5"/>
  <c r="AG37" i="5"/>
  <c r="AA37" i="5"/>
  <c r="AF36" i="5"/>
  <c r="AC37" i="5"/>
  <c r="AB36" i="5"/>
  <c r="Z31" i="5"/>
  <c r="AK37" i="5"/>
  <c r="Y46" i="5" s="1"/>
  <c r="AF31" i="5"/>
  <c r="AF37" i="5"/>
  <c r="Z37" i="5"/>
  <c r="AE36" i="5"/>
  <c r="AK33" i="5"/>
  <c r="Y42" i="5" s="1"/>
  <c r="AH37" i="5"/>
  <c r="AC32" i="5"/>
  <c r="AI35" i="5"/>
  <c r="AJ31" i="5"/>
  <c r="X40" i="5" s="1"/>
  <c r="AA34" i="5"/>
  <c r="AC31" i="5"/>
  <c r="AH39" i="5" l="1"/>
  <c r="AH4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A4FF5-C6D8-5346-B1BE-664CBC15F338}" name="aug13-fpj46_clean1" type="6" refreshedVersion="8" background="1" saveData="1">
    <textPr sourceFile="/Users/anna/lamp/datalog/results/aug13-fpj46_clean.csv" thousands="'" tab="0" comma="1" delimiter="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49C7470-F124-EE4A-BD3A-6A4B9A03E190}" name="aug13-fpj46_clean11" type="6" refreshedVersion="8" background="1" saveData="1">
    <textPr sourceFile="/Users/anna/lamp/datalog/results/aug13-fpj46_clean.csv" thousands="'" tab="0" comma="1" delimiter="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42144E5-F37E-FB42-A565-0B1135DAFFAD}" name="aug23-souffle46" type="6" refreshedVersion="8" background="1" saveData="1">
    <textPr sourceFile="/Users/anna/lamp/datalog/results/aug23-souffle46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4" xr16:uid="{215A59ED-4AF5-104C-AA8E-C79350E6A823}" name="aug24-rerun46-bs1046_clean1" type="6" refreshedVersion="8" background="1" saveData="1">
    <textPr sourceFile="/Users/anna/lamp/datalog/results/aug24-rerun46-bs1046_clean.csv" thousands="'" tab="0" comma="1" delimiter="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D6CAEFF7-1EBF-284A-ACFE-0BCA6115E23C}" name="aug24-rerun46-bs1046_clean2" type="6" refreshedVersion="8" background="1" saveData="1">
    <textPr sourceFile="/Users/anna/lamp/datalog/results/aug24-rerun46-bs1046_clean.csv" thousands="'" tab="0" comma="1" delimiter="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6A99A9A-416B-9C4F-837E-21BEE0BDFB80}" name="sep1-souf-preprofile46_clean1" type="6" refreshedVersion="8" background="1" saveData="1">
    <textPr codePage="10000" sourceFile="/Users/anna/lamp/datalog/results/sep1-souf-preprofile46_clean.csv" thousands="'" tab="0" comma="1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C1264AB-E424-D944-A5CA-6807341C3A9B}" name="sep1-souf-preprofile46_clean2" type="6" refreshedVersion="8" background="1" saveData="1">
    <textPr codePage="10000" sourceFile="/Users/anna/lamp/datalog/results/sep1-souf-preprofile46_clean.csv" thousands="'" tab="0" comma="1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6CD3550-C97D-924A-9BC8-8D1B9C5BD863}" name="sep1-souf-preprofile46_clean3" type="6" refreshedVersion="8" background="1" saveData="1">
    <textPr codePage="10000" sourceFile="/Users/anna/lamp/datalog/results/sep1-souf-preprofile46_clean.csv" thousands="'" tab="0" comma="1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<sst xmlns="http://schemas.openxmlformats.org/spreadsheetml/2006/main" count="3242" uniqueCount="157">
  <si>
    <t>Benchmark</t>
  </si>
  <si>
    <t>mode</t>
  </si>
  <si>
    <t>storage</t>
  </si>
  <si>
    <t>sort</t>
  </si>
  <si>
    <t>onlineSort</t>
  </si>
  <si>
    <t>fuzzy</t>
  </si>
  <si>
    <t>compileSync</t>
  </si>
  <si>
    <t>granularity</t>
  </si>
  <si>
    <t>backend</t>
  </si>
  <si>
    <t>Score</t>
  </si>
  <si>
    <t>Score Error (99.9%)</t>
  </si>
  <si>
    <t>Unit</t>
  </si>
  <si>
    <t>Fullname</t>
  </si>
  <si>
    <t>BASELINES</t>
  </si>
  <si>
    <t>XXackermann</t>
  </si>
  <si>
    <t>optimized</t>
  </si>
  <si>
    <t>interpreted</t>
  </si>
  <si>
    <t>default</t>
  </si>
  <si>
    <t>unordered</t>
  </si>
  <si>
    <t>avgt</t>
  </si>
  <si>
    <t>s/op</t>
  </si>
  <si>
    <t>Score Optimized Unordered</t>
  </si>
  <si>
    <t>Error Optimized Unordered</t>
  </si>
  <si>
    <t>Score Worst Unordered</t>
  </si>
  <si>
    <t>Error Worst Unorderd</t>
  </si>
  <si>
    <t>VALID</t>
  </si>
  <si>
    <t>Potential Speedup</t>
  </si>
  <si>
    <t>jit</t>
  </si>
  <si>
    <t>sel</t>
  </si>
  <si>
    <t>async</t>
  </si>
  <si>
    <t>bytecode</t>
  </si>
  <si>
    <t>lambda</t>
  </si>
  <si>
    <t>XXcbaexprvalue</t>
  </si>
  <si>
    <t>quotes</t>
  </si>
  <si>
    <t>XXequal</t>
  </si>
  <si>
    <t>ALL</t>
  </si>
  <si>
    <t>XXfib</t>
  </si>
  <si>
    <t>XXprime</t>
  </si>
  <si>
    <t>XXtastyslistlib</t>
  </si>
  <si>
    <t>blocking</t>
  </si>
  <si>
    <t>XXtastyslistlibinverse</t>
  </si>
  <si>
    <t>EXPERIMENTS</t>
  </si>
  <si>
    <t>Score Interp Unordered</t>
  </si>
  <si>
    <t>Error Interp unordered</t>
  </si>
  <si>
    <t>Fullname Best</t>
  </si>
  <si>
    <t>Score Best</t>
  </si>
  <si>
    <t>Error Best</t>
  </si>
  <si>
    <t>Best compared to baseline worst</t>
  </si>
  <si>
    <t>Best compared to baseline best</t>
  </si>
  <si>
    <t>Best compared to input program unordered interp</t>
  </si>
  <si>
    <t>Granularity</t>
  </si>
  <si>
    <t>Relative improvement</t>
  </si>
  <si>
    <t>Error Best JIT for quotes</t>
  </si>
  <si>
    <t>Best JIT quotes compared to baseline worst</t>
  </si>
  <si>
    <t>Best JIT quotes compared to baseline best</t>
  </si>
  <si>
    <t>Best JIT quotes compared to interpreted unordered</t>
  </si>
  <si>
    <t>Error Best JIT for bytecode</t>
  </si>
  <si>
    <t>Best JIT bytecode compared to baseline worst</t>
  </si>
  <si>
    <t>Best JIT bytecode compared to baseline best</t>
  </si>
  <si>
    <t>Best JIT bytecode compared to interpreted unordered</t>
  </si>
  <si>
    <t>Error Best JIT for lambda</t>
  </si>
  <si>
    <t>Best JIT lambda compared to baseline worst</t>
  </si>
  <si>
    <t>Best JIT lambda compared to baseline best</t>
  </si>
  <si>
    <t>Best JIT lambda compared to interpreted unordered</t>
  </si>
  <si>
    <t>Xxackermann</t>
  </si>
  <si>
    <t>worst</t>
  </si>
  <si>
    <t>Blocking</t>
  </si>
  <si>
    <t>Async</t>
  </si>
  <si>
    <t>interp</t>
  </si>
  <si>
    <t>optimized interpreter</t>
  </si>
  <si>
    <t>Error optimized interpreter</t>
  </si>
  <si>
    <t>Optimized interpreter compared to baseline worst</t>
  </si>
  <si>
    <t>Optimized Interpreter compared to baseline best</t>
  </si>
  <si>
    <t>Optimized interpreter  compared to interpreted unordered</t>
  </si>
  <si>
    <t>RULE</t>
  </si>
  <si>
    <t>DELTA</t>
  </si>
  <si>
    <t>`</t>
  </si>
  <si>
    <t>Ackermann</t>
  </si>
  <si>
    <t>Equal</t>
  </si>
  <si>
    <t>Fibbonacci</t>
  </si>
  <si>
    <t>Optimized interpreter compared to baseline unoptimized</t>
  </si>
  <si>
    <t>Optimized Interpreter compared to baseline optimized</t>
  </si>
  <si>
    <t>JIT Quotes</t>
  </si>
  <si>
    <t>JIT Bytecode</t>
  </si>
  <si>
    <t>JIT Lambda</t>
  </si>
  <si>
    <t>JIT IR generator</t>
  </si>
  <si>
    <t>Mode</t>
  </si>
  <si>
    <t>Threads</t>
  </si>
  <si>
    <t>Samples</t>
  </si>
  <si>
    <t>Row Labels</t>
  </si>
  <si>
    <t>Column Labels</t>
  </si>
  <si>
    <t>Sum of Score</t>
  </si>
  <si>
    <t>equal</t>
  </si>
  <si>
    <t>fib</t>
  </si>
  <si>
    <t>prime</t>
  </si>
  <si>
    <t>jar</t>
  </si>
  <si>
    <t>native</t>
  </si>
  <si>
    <t>compile</t>
  </si>
  <si>
    <t>carac</t>
  </si>
  <si>
    <t>souffle</t>
  </si>
  <si>
    <t>native-lambda</t>
  </si>
  <si>
    <t>warm</t>
  </si>
  <si>
    <t>profile-compile</t>
  </si>
  <si>
    <t>profile-interp</t>
  </si>
  <si>
    <t>jar-bytecode</t>
  </si>
  <si>
    <t>jar-lambda</t>
  </si>
  <si>
    <t>jar-quotes</t>
  </si>
  <si>
    <t>warm-bytecode</t>
  </si>
  <si>
    <t>warm-lambda</t>
  </si>
  <si>
    <t>warm-quotes</t>
  </si>
  <si>
    <t>46, v2.4, no warning for tasty benchs</t>
  </si>
  <si>
    <t>CBA</t>
  </si>
  <si>
    <t>Points-To</t>
  </si>
  <si>
    <t>Inverse Functions</t>
  </si>
  <si>
    <t>Potential Speedup, "unoptimized" baseline vs. "hand-optimized"</t>
  </si>
  <si>
    <t>Potential Speedup, "unoptimized" vs. "hand-optimized"</t>
  </si>
  <si>
    <t>Primes</t>
  </si>
  <si>
    <t>JAR / warm Bytecode</t>
  </si>
  <si>
    <t>JAR / warm lambda</t>
  </si>
  <si>
    <t>JAR / warm quotes</t>
  </si>
  <si>
    <t>input program</t>
  </si>
  <si>
    <t>[IF ANY BE-BG INVALID, THESE ARE INVALID]</t>
  </si>
  <si>
    <t>Compared to worst</t>
  </si>
  <si>
    <t>Compared to best</t>
  </si>
  <si>
    <t>Hand-optimized</t>
  </si>
  <si>
    <t>JIT IRGenerator</t>
  </si>
  <si>
    <t>engine</t>
  </si>
  <si>
    <t>build</t>
  </si>
  <si>
    <t>profile</t>
  </si>
  <si>
    <t>-compile</t>
  </si>
  <si>
    <t>-interp</t>
  </si>
  <si>
    <t>preprofiled</t>
  </si>
  <si>
    <t>preprofiled-compile</t>
  </si>
  <si>
    <t>preprofiled-interp</t>
  </si>
  <si>
    <t>Average</t>
  </si>
  <si>
    <t>Lambda: Native / warm</t>
  </si>
  <si>
    <t>Lambda: Native / jar</t>
  </si>
  <si>
    <t>souffle profile+compile / jar quotes</t>
  </si>
  <si>
    <t>souffle profile+compiler / warm lambda</t>
  </si>
  <si>
    <t>souffle compile (no auto-tuning) / warm lambda</t>
  </si>
  <si>
    <t>souffle preprofiled compiler / warm lambda</t>
  </si>
  <si>
    <t>souffle profile+interpreter / warm lambda</t>
  </si>
  <si>
    <t xml:space="preserve"> souffle interpreter (no auto tuning) / warm lambda</t>
  </si>
  <si>
    <t>souffle preprofiled interpreter / warm lambda</t>
  </si>
  <si>
    <t>souffle compile (no auto-tuning) / preprofiled compile</t>
  </si>
  <si>
    <t>souffle interp (no auto tuning)/ preprofiled interp</t>
  </si>
  <si>
    <t>Inverse (i.e. when &gt; 1, mean carac is faster)</t>
  </si>
  <si>
    <t>CHART</t>
  </si>
  <si>
    <t>RATIOS</t>
  </si>
  <si>
    <t>Inverse</t>
  </si>
  <si>
    <t>Average Small</t>
  </si>
  <si>
    <t>souffle compile (no auto-tuning) / jar quotes</t>
  </si>
  <si>
    <t>souffle preprofiled compile / jar quotes</t>
  </si>
  <si>
    <t>Best Carac</t>
  </si>
  <si>
    <t>Worst Carac</t>
  </si>
  <si>
    <t>Best Souffle</t>
  </si>
  <si>
    <t>Worst Souffle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</si>
</sst>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EECA"/>
        <bgColor indexed="64"/>
      </patternFill>
    </fill>
    <fill>
      <patternFill patternType="solid">
        <fgColor rgb="FFF2EECA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2" fontId="0" fillId="0" borderId="0"/>
  </cellStyleXfs>
  <cellXfs count="45">
    <xf numFmtId="2" fontId="0" fillId="0" borderId="0" xfId="0"/>
    <xf numFmtId="2" fontId="0" fillId="2" borderId="0" xfId="0" applyFill="1"/>
    <xf numFmtId="2" fontId="2" fillId="0" borderId="0" xfId="0" applyFont="1"/>
    <xf numFmtId="2" fontId="0" fillId="0" borderId="0" xfId="0" applyAlignment="1">
      <alignment wrapText="1"/>
    </xf>
    <xf numFmtId="2" fontId="3" fillId="3" borderId="0" xfId="0" applyFont="1" applyFill="1"/>
    <xf numFmtId="2" fontId="5" fillId="0" borderId="0" xfId="0" applyFont="1"/>
    <xf numFmtId="2" fontId="1" fillId="0" borderId="0" xfId="0" applyFont="1"/>
    <xf numFmtId="2" fontId="6" fillId="0" borderId="0" xfId="0" applyFont="1"/>
    <xf numFmtId="0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3" fillId="3" borderId="0" xfId="0" applyNumberFormat="1" applyFont="1" applyFill="1"/>
    <xf numFmtId="0" fontId="2" fillId="3" borderId="0" xfId="0" applyNumberFormat="1" applyFont="1" applyFill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2" fillId="4" borderId="0" xfId="0" applyNumberFormat="1" applyFont="1" applyFill="1"/>
    <xf numFmtId="0" fontId="2" fillId="4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5" borderId="0" xfId="0" applyNumberFormat="1" applyFont="1" applyFill="1" applyAlignment="1">
      <alignment wrapText="1"/>
    </xf>
    <xf numFmtId="0" fontId="0" fillId="4" borderId="0" xfId="0" applyNumberForma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4" fillId="0" borderId="0" xfId="0" applyNumberFormat="1" applyFont="1" applyAlignment="1">
      <alignment wrapText="1"/>
    </xf>
    <xf numFmtId="0" fontId="2" fillId="6" borderId="0" xfId="0" applyNumberFormat="1" applyFont="1" applyFill="1"/>
    <xf numFmtId="0" fontId="2" fillId="2" borderId="0" xfId="0" applyNumberFormat="1" applyFont="1" applyFill="1"/>
    <xf numFmtId="0" fontId="0" fillId="4" borderId="0" xfId="0" applyNumberFormat="1" applyFill="1"/>
    <xf numFmtId="0" fontId="5" fillId="7" borderId="0" xfId="0" applyNumberFormat="1" applyFont="1" applyFill="1"/>
    <xf numFmtId="0" fontId="5" fillId="9" borderId="0" xfId="0" applyNumberFormat="1" applyFont="1" applyFill="1"/>
    <xf numFmtId="0" fontId="0" fillId="7" borderId="0" xfId="0" applyNumberFormat="1" applyFill="1" applyAlignment="1">
      <alignment wrapText="1"/>
    </xf>
    <xf numFmtId="0" fontId="4" fillId="8" borderId="0" xfId="0" applyNumberFormat="1" applyFont="1" applyFill="1" applyAlignment="1">
      <alignment wrapText="1"/>
    </xf>
    <xf numFmtId="0" fontId="0" fillId="9" borderId="0" xfId="0" applyNumberFormat="1" applyFill="1" applyAlignment="1">
      <alignment wrapText="1"/>
    </xf>
    <xf numFmtId="0" fontId="4" fillId="9" borderId="0" xfId="0" applyNumberFormat="1" applyFont="1" applyFill="1" applyAlignment="1">
      <alignment wrapText="1"/>
    </xf>
    <xf numFmtId="0" fontId="0" fillId="7" borderId="0" xfId="0" applyNumberFormat="1" applyFill="1"/>
    <xf numFmtId="0" fontId="0" fillId="9" borderId="0" xfId="0" applyNumberFormat="1" applyFill="1"/>
    <xf numFmtId="0" fontId="7" fillId="0" borderId="0" xfId="0" applyNumberFormat="1" applyFont="1"/>
    <xf numFmtId="2" fontId="0" fillId="10" borderId="0" xfId="0" applyFill="1"/>
    <xf numFmtId="0" fontId="0" fillId="10" borderId="0" xfId="0" applyNumberFormat="1" applyFill="1"/>
    <xf numFmtId="2" fontId="0" fillId="0" borderId="0" xfId="0" applyFill="1"/>
    <xf numFmtId="0" fontId="0" fillId="0" borderId="0" xfId="0" applyNumberFormat="1" applyFill="1"/>
    <xf numFmtId="0" fontId="0" fillId="0" borderId="0" xfId="0" applyNumberFormat="1" applyAlignment="1">
      <alignment horizontal="left" indent="1"/>
    </xf>
  </cellXfs>
  <cellStyles count="1">
    <cellStyle name="Normal" xfId="0" builtinId="0" customBuiltin="1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8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Async, comparing to worst (small programs)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'!$W$40:$W$44</c:f>
              <c:numCache>
                <c:formatCode>General</c:formatCode>
                <c:ptCount val="5"/>
                <c:pt idx="0">
                  <c:v>4.7511160714285712</c:v>
                </c:pt>
                <c:pt idx="1">
                  <c:v>4.6614858407524773</c:v>
                </c:pt>
                <c:pt idx="2">
                  <c:v>3.2896928300926693</c:v>
                </c:pt>
                <c:pt idx="3">
                  <c:v>6.7121802363329435</c:v>
                </c:pt>
                <c:pt idx="4">
                  <c:v>25.719920061129724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4-0647-B36E-015F713B6D4C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'!$X$40:$X$44</c:f>
              <c:numCache>
                <c:formatCode>General</c:formatCode>
                <c:ptCount val="5"/>
                <c:pt idx="0">
                  <c:v>4.6143562567746601</c:v>
                </c:pt>
                <c:pt idx="1">
                  <c:v>5.0523360409965647</c:v>
                </c:pt>
                <c:pt idx="2">
                  <c:v>1.6871951097103164</c:v>
                </c:pt>
                <c:pt idx="3">
                  <c:v>7.7057990459153247</c:v>
                </c:pt>
                <c:pt idx="4">
                  <c:v>18.185843903173939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4-0647-B36E-015F713B6D4C}"/>
            </c:ext>
          </c:extLst>
        </c:ser>
        <c:ser>
          <c:idx val="0"/>
          <c:order val="2"/>
          <c:tx>
            <c:strRef>
              <c:f>'aug13-all-fpj  FIGURES '!$AD$30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'!$AD$31:$AD$35</c:f>
              <c:numCache>
                <c:formatCode>General</c:formatCode>
                <c:ptCount val="5"/>
                <c:pt idx="0">
                  <c:v>3.8439851509982943</c:v>
                </c:pt>
                <c:pt idx="1">
                  <c:v>4.932669789227166</c:v>
                </c:pt>
                <c:pt idx="2">
                  <c:v>2.264077369126432</c:v>
                </c:pt>
                <c:pt idx="3">
                  <c:v>8.268495561065345</c:v>
                </c:pt>
                <c:pt idx="4">
                  <c:v>18.531511548499463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4-0647-B36E-015F713B6D4C}"/>
            </c:ext>
          </c:extLst>
        </c:ser>
        <c:ser>
          <c:idx val="1"/>
          <c:order val="3"/>
          <c:tx>
            <c:strRef>
              <c:f>'aug13-all-fpj  FIGURES '!$AE$30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'!$AE$31:$AE$35</c:f>
              <c:numCache>
                <c:formatCode>General</c:formatCode>
                <c:ptCount val="5"/>
                <c:pt idx="0">
                  <c:v>3.6460791777693187</c:v>
                </c:pt>
                <c:pt idx="1">
                  <c:v>5.2047062787824325</c:v>
                </c:pt>
                <c:pt idx="2">
                  <c:v>2.1232142180453977</c:v>
                </c:pt>
                <c:pt idx="3">
                  <c:v>7.7149999999999999</c:v>
                </c:pt>
                <c:pt idx="4">
                  <c:v>19.630140135817907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4-0647-B36E-015F713B6D4C}"/>
            </c:ext>
          </c:extLst>
        </c:ser>
        <c:ser>
          <c:idx val="2"/>
          <c:order val="4"/>
          <c:tx>
            <c:strRef>
              <c:f>'aug13-all-fpj  FIGURES '!$AF$30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'!$AF$31:$AF$35</c:f>
              <c:numCache>
                <c:formatCode>General</c:formatCode>
                <c:ptCount val="5"/>
                <c:pt idx="0">
                  <c:v>4.1771696467509818</c:v>
                </c:pt>
                <c:pt idx="1">
                  <c:v>3.9118230551686293</c:v>
                </c:pt>
                <c:pt idx="2">
                  <c:v>2.6583873033947762</c:v>
                </c:pt>
                <c:pt idx="3">
                  <c:v>7.1376001104667219</c:v>
                </c:pt>
                <c:pt idx="4">
                  <c:v>17.70605268948006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54-0647-B36E-015F713B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egendEntry>
        <c:idx val="4"/>
        <c:txPr>
          <a:bodyPr rot="0" vert="horz"/>
          <a:lstStyle/>
          <a:p>
            <a:pPr>
              <a:defRPr/>
            </a:pPr>
            <a:endParaRPr lang="en-CH"/>
          </a:p>
        </c:txPr>
      </c:legendEntry>
      <c:layout>
        <c:manualLayout>
          <c:xMode val="edge"/>
          <c:yMode val="edge"/>
          <c:x val="7.2898843592462403E-2"/>
          <c:y val="7.2641347058033309E-2"/>
          <c:w val="0.58841338782637598"/>
          <c:h val="0.40348965729830355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Async, comparing to best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'!$Y$39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'!$V$40:$V$46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'!$Y$40:$Y$46</c:f>
              <c:numCache>
                <c:formatCode>General</c:formatCode>
                <c:ptCount val="7"/>
                <c:pt idx="0">
                  <c:v>0.97121522341322419</c:v>
                </c:pt>
                <c:pt idx="1">
                  <c:v>1.0838466990132474</c:v>
                </c:pt>
                <c:pt idx="2">
                  <c:v>0.51287314556441088</c:v>
                </c:pt>
                <c:pt idx="3">
                  <c:v>1.1480322003577816</c:v>
                </c:pt>
                <c:pt idx="4">
                  <c:v>0.70707233381561074</c:v>
                </c:pt>
                <c:pt idx="5">
                  <c:v>0.66740016478911446</c:v>
                </c:pt>
                <c:pt idx="6">
                  <c:v>0.92239300426115856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3-0B46-AB0F-34EAEF4A4D44}"/>
            </c:ext>
          </c:extLst>
        </c:ser>
        <c:ser>
          <c:idx val="0"/>
          <c:order val="1"/>
          <c:tx>
            <c:strRef>
              <c:f>'aug13-all-fpj  FIGURES '!$AG$30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'!$AG$31:$AG$37</c:f>
              <c:numCache>
                <c:formatCode>General</c:formatCode>
                <c:ptCount val="7"/>
                <c:pt idx="0">
                  <c:v>0.8090699307715461</c:v>
                </c:pt>
                <c:pt idx="1">
                  <c:v>1.0581754311262508</c:v>
                </c:pt>
                <c:pt idx="2">
                  <c:v>0.68823366984772671</c:v>
                </c:pt>
                <c:pt idx="3">
                  <c:v>1.2318643525553867</c:v>
                </c:pt>
                <c:pt idx="4">
                  <c:v>0.72051201965071277</c:v>
                </c:pt>
                <c:pt idx="5">
                  <c:v>0.58856590770710726</c:v>
                </c:pt>
                <c:pt idx="6">
                  <c:v>0.73999035790247203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3-0B46-AB0F-34EAEF4A4D44}"/>
            </c:ext>
          </c:extLst>
        </c:ser>
        <c:ser>
          <c:idx val="1"/>
          <c:order val="2"/>
          <c:tx>
            <c:strRef>
              <c:f>'aug13-all-fpj  FIGURES '!$AH$30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'!$AH$31:$AH$37</c:f>
              <c:numCache>
                <c:formatCode>General</c:formatCode>
                <c:ptCount val="7"/>
                <c:pt idx="0">
                  <c:v>0.76741530262657021</c:v>
                </c:pt>
                <c:pt idx="1">
                  <c:v>1.1165337526676402</c:v>
                </c:pt>
                <c:pt idx="2">
                  <c:v>0.64541412457210712</c:v>
                </c:pt>
                <c:pt idx="3">
                  <c:v>1.1494029850746268</c:v>
                </c:pt>
                <c:pt idx="4">
                  <c:v>0.76322710526168214</c:v>
                </c:pt>
                <c:pt idx="5">
                  <c:v>0.33099364598109315</c:v>
                </c:pt>
                <c:pt idx="6">
                  <c:v>0.71068114255192405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3-0B46-AB0F-34EAEF4A4D44}"/>
            </c:ext>
          </c:extLst>
        </c:ser>
        <c:ser>
          <c:idx val="2"/>
          <c:order val="3"/>
          <c:tx>
            <c:strRef>
              <c:f>'aug13-all-fpj  FIGURES '!$AI$30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'!$AI$31:$AI$37</c:f>
              <c:numCache>
                <c:formatCode>General</c:formatCode>
                <c:ptCount val="7"/>
                <c:pt idx="0">
                  <c:v>0.87919755778456177</c:v>
                </c:pt>
                <c:pt idx="1">
                  <c:v>0.83917943522856775</c:v>
                </c:pt>
                <c:pt idx="2">
                  <c:v>0.8080959046014915</c:v>
                </c:pt>
                <c:pt idx="3">
                  <c:v>1.063380281690141</c:v>
                </c:pt>
                <c:pt idx="4">
                  <c:v>0.68841787406015509</c:v>
                </c:pt>
                <c:pt idx="5">
                  <c:v>0.33717190594788599</c:v>
                </c:pt>
                <c:pt idx="6">
                  <c:v>0.75134174551670174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B3-0B46-AB0F-34EAEF4A4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At val="1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"optimized"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Blocking, comparing to worst (small programs)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'!$W$40:$W$44</c:f>
              <c:numCache>
                <c:formatCode>General</c:formatCode>
                <c:ptCount val="5"/>
                <c:pt idx="0">
                  <c:v>4.7511160714285712</c:v>
                </c:pt>
                <c:pt idx="1">
                  <c:v>4.6614858407524773</c:v>
                </c:pt>
                <c:pt idx="2">
                  <c:v>3.2896928300926693</c:v>
                </c:pt>
                <c:pt idx="3">
                  <c:v>6.7121802363329435</c:v>
                </c:pt>
                <c:pt idx="4">
                  <c:v>25.719920061129724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7-7347-92DD-AECD136D9FC0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'!$X$40:$X$44</c:f>
              <c:numCache>
                <c:formatCode>General</c:formatCode>
                <c:ptCount val="5"/>
                <c:pt idx="0">
                  <c:v>4.6143562567746601</c:v>
                </c:pt>
                <c:pt idx="1">
                  <c:v>5.0523360409965647</c:v>
                </c:pt>
                <c:pt idx="2">
                  <c:v>1.6871951097103164</c:v>
                </c:pt>
                <c:pt idx="3">
                  <c:v>7.7057990459153247</c:v>
                </c:pt>
                <c:pt idx="4">
                  <c:v>18.185843903173939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7-7347-92DD-AECD136D9FC0}"/>
            </c:ext>
          </c:extLst>
        </c:ser>
        <c:ser>
          <c:idx val="0"/>
          <c:order val="2"/>
          <c:tx>
            <c:strRef>
              <c:f>'aug13-all-fpj  FIGURES '!$X$30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'!$X$31:$X$35</c:f>
              <c:numCache>
                <c:formatCode>General</c:formatCode>
                <c:ptCount val="5"/>
                <c:pt idx="0">
                  <c:v>3.7139395114385421</c:v>
                </c:pt>
                <c:pt idx="1">
                  <c:v>4.6458291558050924</c:v>
                </c:pt>
                <c:pt idx="2">
                  <c:v>2.2686610474885782</c:v>
                </c:pt>
                <c:pt idx="3">
                  <c:v>7.1514250138350857</c:v>
                </c:pt>
                <c:pt idx="4">
                  <c:v>18.327329080357167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7-7347-92DD-AECD136D9FC0}"/>
            </c:ext>
          </c:extLst>
        </c:ser>
        <c:ser>
          <c:idx val="1"/>
          <c:order val="3"/>
          <c:tx>
            <c:strRef>
              <c:f>'aug13-all-fpj  FIGURES '!$Y$30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'!$Y$31:$Y$35</c:f>
              <c:numCache>
                <c:formatCode>General</c:formatCode>
                <c:ptCount val="5"/>
                <c:pt idx="0">
                  <c:v>3.5146316851664987</c:v>
                </c:pt>
                <c:pt idx="1">
                  <c:v>4.6753607103218648</c:v>
                </c:pt>
                <c:pt idx="2">
                  <c:v>1.980949294363749</c:v>
                </c:pt>
                <c:pt idx="3">
                  <c:v>8.1089497215467876</c:v>
                </c:pt>
                <c:pt idx="4">
                  <c:v>17.594853107486617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7-7347-92DD-AECD136D9FC0}"/>
            </c:ext>
          </c:extLst>
        </c:ser>
        <c:ser>
          <c:idx val="2"/>
          <c:order val="4"/>
          <c:tx>
            <c:strRef>
              <c:f>'aug13-all-fpj  FIGURES '!$Z$30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'!$Z$31:$Z$35</c:f>
              <c:numCache>
                <c:formatCode>General</c:formatCode>
                <c:ptCount val="5"/>
                <c:pt idx="0">
                  <c:v>4.2060599407179708</c:v>
                </c:pt>
                <c:pt idx="1">
                  <c:v>11.708780795957043</c:v>
                </c:pt>
                <c:pt idx="2">
                  <c:v>11.782454787606898</c:v>
                </c:pt>
                <c:pt idx="3">
                  <c:v>13.457563134600365</c:v>
                </c:pt>
                <c:pt idx="4">
                  <c:v>116.04787004806894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7-7347-92DD-AECD136D9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egendEntry>
        <c:idx val="4"/>
        <c:txPr>
          <a:bodyPr rot="0" vert="horz"/>
          <a:lstStyle/>
          <a:p>
            <a:pPr>
              <a:defRPr/>
            </a:pPr>
            <a:endParaRPr lang="en-CH"/>
          </a:p>
        </c:txPr>
      </c:legendEntry>
      <c:layout>
        <c:manualLayout>
          <c:xMode val="edge"/>
          <c:yMode val="edge"/>
          <c:x val="0.2673443618354639"/>
          <c:y val="0.10883123948617567"/>
          <c:w val="0.44869331785270361"/>
          <c:h val="0.4934467198656232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Blocking, comparing to best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'!$Y$39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'!$V$40:$V$46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'!$Y$40:$Y$46</c:f>
              <c:numCache>
                <c:formatCode>General</c:formatCode>
                <c:ptCount val="7"/>
                <c:pt idx="0">
                  <c:v>0.97121522341322419</c:v>
                </c:pt>
                <c:pt idx="1">
                  <c:v>1.0838466990132474</c:v>
                </c:pt>
                <c:pt idx="2">
                  <c:v>0.51287314556441088</c:v>
                </c:pt>
                <c:pt idx="3">
                  <c:v>1.1480322003577816</c:v>
                </c:pt>
                <c:pt idx="4">
                  <c:v>0.70707233381561074</c:v>
                </c:pt>
                <c:pt idx="5">
                  <c:v>0.66740016478911446</c:v>
                </c:pt>
                <c:pt idx="6">
                  <c:v>0.92239300426115856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0-EC4F-B0E0-8F53C4B66CFE}"/>
            </c:ext>
          </c:extLst>
        </c:ser>
        <c:ser>
          <c:idx val="0"/>
          <c:order val="1"/>
          <c:tx>
            <c:strRef>
              <c:f>'aug13-all-fpj  FIGURES '!$AA$30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'!$AA$31:$AA$37</c:f>
              <c:numCache>
                <c:formatCode>General</c:formatCode>
                <c:ptCount val="7"/>
                <c:pt idx="0">
                  <c:v>0.78169833268708799</c:v>
                </c:pt>
                <c:pt idx="1">
                  <c:v>0.99664126729496683</c:v>
                </c:pt>
                <c:pt idx="2">
                  <c:v>0.68962701524466363</c:v>
                </c:pt>
                <c:pt idx="3">
                  <c:v>1.0654399557277257</c:v>
                </c:pt>
                <c:pt idx="4">
                  <c:v>0.71257332980809251</c:v>
                </c:pt>
                <c:pt idx="5">
                  <c:v>0.32495678619353147</c:v>
                </c:pt>
                <c:pt idx="6">
                  <c:v>0.67971135512064507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EC4F-B0E0-8F53C4B66CFE}"/>
            </c:ext>
          </c:extLst>
        </c:ser>
        <c:ser>
          <c:idx val="1"/>
          <c:order val="2"/>
          <c:tx>
            <c:strRef>
              <c:f>'aug13-all-fpj  FIGURES '!$AB$30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'!$AB$31:$AB$37</c:f>
              <c:numCache>
                <c:formatCode>General</c:formatCode>
                <c:ptCount val="7"/>
                <c:pt idx="0">
                  <c:v>0.73974864691312725</c:v>
                </c:pt>
                <c:pt idx="1">
                  <c:v>1.0029764907678338</c:v>
                </c:pt>
                <c:pt idx="2">
                  <c:v>0.60216846881352937</c:v>
                </c:pt>
                <c:pt idx="3">
                  <c:v>1.2080947525296102</c:v>
                </c:pt>
                <c:pt idx="4">
                  <c:v>0.6840943932044935</c:v>
                </c:pt>
                <c:pt idx="5">
                  <c:v>0.34770770262377543</c:v>
                </c:pt>
                <c:pt idx="6">
                  <c:v>0.64187516567141933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0-EC4F-B0E0-8F53C4B66CFE}"/>
            </c:ext>
          </c:extLst>
        </c:ser>
        <c:ser>
          <c:idx val="2"/>
          <c:order val="3"/>
          <c:tx>
            <c:strRef>
              <c:f>'aug13-all-fpj  FIGURES '!$AC$30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'!$AC$31:$AC$37</c:f>
              <c:numCache>
                <c:formatCode>General</c:formatCode>
                <c:ptCount val="7"/>
                <c:pt idx="0">
                  <c:v>0.88527829619058063</c:v>
                </c:pt>
                <c:pt idx="1">
                  <c:v>2.5118130132659506</c:v>
                </c:pt>
                <c:pt idx="2">
                  <c:v>3.5816276461516896</c:v>
                </c:pt>
                <c:pt idx="3">
                  <c:v>2.0049466284821662</c:v>
                </c:pt>
                <c:pt idx="4">
                  <c:v>4.5119840875186474</c:v>
                </c:pt>
                <c:pt idx="5">
                  <c:v>0.44132146185769344</c:v>
                </c:pt>
                <c:pt idx="6">
                  <c:v>1.0711095289771966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EC4F-B0E0-8F53C4B66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At val="1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"optimized"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Async, comparing to worst (TASTy programs)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'!$W$45:$W$46</c:f>
              <c:numCache>
                <c:formatCode>General</c:formatCode>
                <c:ptCount val="2"/>
                <c:pt idx="0">
                  <c:v>590.33130327862693</c:v>
                </c:pt>
                <c:pt idx="1">
                  <c:v>2262.7547762234044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9-7C41-80D1-E51228FBEFA9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'!$X$45:$X$46</c:f>
              <c:numCache>
                <c:formatCode>General</c:formatCode>
                <c:ptCount val="2"/>
                <c:pt idx="0">
                  <c:v>393.98720908832837</c:v>
                </c:pt>
                <c:pt idx="1">
                  <c:v>2087.1491759469914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9-7C41-80D1-E51228FBEFA9}"/>
            </c:ext>
          </c:extLst>
        </c:ser>
        <c:ser>
          <c:idx val="0"/>
          <c:order val="2"/>
          <c:tx>
            <c:strRef>
              <c:f>'aug13-all-fpj  FIGURES '!$AD$30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'!$AD$36:$AD$37</c:f>
              <c:numCache>
                <c:formatCode>General</c:formatCode>
                <c:ptCount val="2"/>
                <c:pt idx="0">
                  <c:v>347.44887936210472</c:v>
                </c:pt>
                <c:pt idx="1">
                  <c:v>1674.4167167030851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9-7C41-80D1-E51228FBEFA9}"/>
            </c:ext>
          </c:extLst>
        </c:ser>
        <c:ser>
          <c:idx val="1"/>
          <c:order val="3"/>
          <c:tx>
            <c:strRef>
              <c:f>'aug13-all-fpj  FIGURES '!$AE$30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'!$AE$36:$AE$37</c:f>
              <c:numCache>
                <c:formatCode>General</c:formatCode>
                <c:ptCount val="2"/>
                <c:pt idx="0">
                  <c:v>195.39591040896318</c:v>
                </c:pt>
                <c:pt idx="1">
                  <c:v>1608.0971496812724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49-7C41-80D1-E51228FBEFA9}"/>
            </c:ext>
          </c:extLst>
        </c:ser>
        <c:ser>
          <c:idx val="2"/>
          <c:order val="4"/>
          <c:tx>
            <c:strRef>
              <c:f>'aug13-all-fpj  FIGURES '!$AF$30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'!$AF$36:$AF$37</c:f>
              <c:numCache>
                <c:formatCode>General</c:formatCode>
                <c:ptCount val="2"/>
                <c:pt idx="0">
                  <c:v>199.04313066715417</c:v>
                </c:pt>
                <c:pt idx="1">
                  <c:v>1700.1021232439466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49-7C41-80D1-E51228FBE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Speedup over</a:t>
                </a:r>
                <a:r>
                  <a:rPr lang="en-US" baseline="0"/>
                  <a:t> "unoptimized"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7.5399604161326711E-2"/>
          <c:y val="8.4065936372533956E-2"/>
          <c:w val="0.5618510313473577"/>
          <c:h val="0.4149142466128041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Blocking, comparing to worst (TASTy programs)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'!$W$45:$W$46</c:f>
              <c:numCache>
                <c:formatCode>General</c:formatCode>
                <c:ptCount val="2"/>
                <c:pt idx="0">
                  <c:v>590.33130327862693</c:v>
                </c:pt>
                <c:pt idx="1">
                  <c:v>2262.7547762234044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F-7549-93EC-8C3DFA7CD87D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'!$X$45:$X$46</c:f>
              <c:numCache>
                <c:formatCode>General</c:formatCode>
                <c:ptCount val="2"/>
                <c:pt idx="0">
                  <c:v>393.98720908832837</c:v>
                </c:pt>
                <c:pt idx="1">
                  <c:v>2087.1491759469914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F-7549-93EC-8C3DFA7CD87D}"/>
            </c:ext>
          </c:extLst>
        </c:ser>
        <c:ser>
          <c:idx val="0"/>
          <c:order val="2"/>
          <c:tx>
            <c:strRef>
              <c:f>'aug13-all-fpj  FIGURES '!$X$30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'!$X$36:$X$37</c:f>
              <c:numCache>
                <c:formatCode>General</c:formatCode>
                <c:ptCount val="2"/>
                <c:pt idx="0">
                  <c:v>191.83216310286159</c:v>
                </c:pt>
                <c:pt idx="1">
                  <c:v>1538.0201152525224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F-7549-93EC-8C3DFA7CD87D}"/>
            </c:ext>
          </c:extLst>
        </c:ser>
        <c:ser>
          <c:idx val="1"/>
          <c:order val="3"/>
          <c:tx>
            <c:strRef>
              <c:f>'aug13-all-fpj  FIGURES '!$Y$30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'!$Y$36:$Y$37</c:f>
              <c:numCache>
                <c:formatCode>General</c:formatCode>
                <c:ptCount val="2"/>
                <c:pt idx="0">
                  <c:v>205.26274124991062</c:v>
                </c:pt>
                <c:pt idx="1">
                  <c:v>1452.4060968621932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F-7549-93EC-8C3DFA7CD87D}"/>
            </c:ext>
          </c:extLst>
        </c:ser>
        <c:ser>
          <c:idx val="2"/>
          <c:order val="4"/>
          <c:tx>
            <c:strRef>
              <c:f>'aug13-all-fpj  FIGURES '!$Z$30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'!$Z$36:$Z$37</c:f>
              <c:numCache>
                <c:formatCode>General</c:formatCode>
                <c:ptCount val="2"/>
                <c:pt idx="0">
                  <c:v>260.52587374328101</c:v>
                </c:pt>
                <c:pt idx="1">
                  <c:v>2423.6582025515527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F-7549-93EC-8C3DFA7C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2179147387808275E-2"/>
          <c:y val="0.10285450370631553"/>
          <c:w val="0.5618510313473577"/>
          <c:h val="0.37717686135178463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427391908492257"/>
          <c:y val="3.4514071157771949E-2"/>
          <c:w val="0.85061094286291139"/>
          <c:h val="0.803016550014581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'!$W$45:$W$46</c:f>
              <c:numCache>
                <c:formatCode>General</c:formatCode>
                <c:ptCount val="2"/>
                <c:pt idx="0">
                  <c:v>590.33130327862693</c:v>
                </c:pt>
                <c:pt idx="1">
                  <c:v>2262.7547762234044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A-2E48-9386-DCA0C76AB3E5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'!$X$45:$X$46</c:f>
              <c:numCache>
                <c:formatCode>General</c:formatCode>
                <c:ptCount val="2"/>
                <c:pt idx="0">
                  <c:v>393.98720908832837</c:v>
                </c:pt>
                <c:pt idx="1">
                  <c:v>2087.1491759469914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A-2E48-9386-DCA0C76AB3E5}"/>
            </c:ext>
          </c:extLst>
        </c:ser>
        <c:ser>
          <c:idx val="0"/>
          <c:order val="2"/>
          <c:tx>
            <c:strRef>
              <c:f>'aug13-all-fpj  FIGURES '!$AD$30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'!$AD$36:$AD$37</c:f>
              <c:numCache>
                <c:formatCode>General</c:formatCode>
                <c:ptCount val="2"/>
                <c:pt idx="0">
                  <c:v>347.44887936210472</c:v>
                </c:pt>
                <c:pt idx="1">
                  <c:v>1674.4167167030851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A-2E48-9386-DCA0C76AB3E5}"/>
            </c:ext>
          </c:extLst>
        </c:ser>
        <c:ser>
          <c:idx val="1"/>
          <c:order val="3"/>
          <c:tx>
            <c:strRef>
              <c:f>'aug13-all-fpj  FIGURES '!$AE$30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'!$AE$36:$AE$37</c:f>
              <c:numCache>
                <c:formatCode>General</c:formatCode>
                <c:ptCount val="2"/>
                <c:pt idx="0">
                  <c:v>195.39591040896318</c:v>
                </c:pt>
                <c:pt idx="1">
                  <c:v>1608.0971496812724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A-2E48-9386-DCA0C76AB3E5}"/>
            </c:ext>
          </c:extLst>
        </c:ser>
        <c:ser>
          <c:idx val="2"/>
          <c:order val="4"/>
          <c:tx>
            <c:strRef>
              <c:f>'aug13-all-fpj  FIGURES '!$AF$30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'!$AF$36:$AF$37</c:f>
              <c:numCache>
                <c:formatCode>General</c:formatCode>
                <c:ptCount val="2"/>
                <c:pt idx="0">
                  <c:v>199.04313066715417</c:v>
                </c:pt>
                <c:pt idx="1">
                  <c:v>1700.1021232439466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A-2E48-9386-DCA0C76A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b="1"/>
                  <a:t>Benchmark</a:t>
                </a:r>
              </a:p>
            </c:rich>
          </c:tx>
          <c:layout>
            <c:manualLayout>
              <c:xMode val="edge"/>
              <c:yMode val="edge"/>
              <c:x val="0.46102786190187767"/>
              <c:y val="0.91495698454359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  <c:max val="23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 sz="1100" b="1"/>
                </a:pPr>
                <a:r>
                  <a:rPr lang="en-US" sz="1100" b="1"/>
                  <a:t>Speedup over "unoptimized"</a:t>
                </a:r>
              </a:p>
            </c:rich>
          </c:tx>
          <c:layout>
            <c:manualLayout>
              <c:xMode val="edge"/>
              <c:yMode val="edge"/>
              <c:x val="1.7611548556430447E-3"/>
              <c:y val="6.8842592592592594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7.1540884312537856E-2"/>
          <c:y val="2.6276611256926218E-2"/>
          <c:w val="0.43464223702806382"/>
          <c:h val="0.54389485053306386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427391908492257"/>
          <c:y val="3.4514071157771949E-2"/>
          <c:w val="0.85061094286291139"/>
          <c:h val="0.803016550014581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'!$W$45:$W$46</c:f>
              <c:numCache>
                <c:formatCode>General</c:formatCode>
                <c:ptCount val="2"/>
                <c:pt idx="0">
                  <c:v>590.33130327862693</c:v>
                </c:pt>
                <c:pt idx="1">
                  <c:v>2262.7547762234044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A-2E48-9386-DCA0C76AB3E5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'!$V$45:$V$46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'!$X$45:$X$46</c:f>
              <c:numCache>
                <c:formatCode>General</c:formatCode>
                <c:ptCount val="2"/>
                <c:pt idx="0">
                  <c:v>393.98720908832837</c:v>
                </c:pt>
                <c:pt idx="1">
                  <c:v>2087.1491759469914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A-2E48-9386-DCA0C76AB3E5}"/>
            </c:ext>
          </c:extLst>
        </c:ser>
        <c:ser>
          <c:idx val="0"/>
          <c:order val="2"/>
          <c:tx>
            <c:strRef>
              <c:f>'aug13-all-fpj  FIGURES '!$X$30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'!$X$36:$X$37</c:f>
              <c:numCache>
                <c:formatCode>General</c:formatCode>
                <c:ptCount val="2"/>
                <c:pt idx="0">
                  <c:v>191.83216310286159</c:v>
                </c:pt>
                <c:pt idx="1">
                  <c:v>1538.0201152525224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A-2E48-9386-DCA0C76AB3E5}"/>
            </c:ext>
          </c:extLst>
        </c:ser>
        <c:ser>
          <c:idx val="1"/>
          <c:order val="3"/>
          <c:tx>
            <c:strRef>
              <c:f>'aug13-all-fpj  FIGURES '!$Y$30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'!$Y$36:$Y$37</c:f>
              <c:numCache>
                <c:formatCode>General</c:formatCode>
                <c:ptCount val="2"/>
                <c:pt idx="0">
                  <c:v>205.26274124991062</c:v>
                </c:pt>
                <c:pt idx="1">
                  <c:v>1452.4060968621932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A-2E48-9386-DCA0C76AB3E5}"/>
            </c:ext>
          </c:extLst>
        </c:ser>
        <c:ser>
          <c:idx val="2"/>
          <c:order val="4"/>
          <c:tx>
            <c:strRef>
              <c:f>'aug13-all-fpj  FIGURES '!$Z$30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'!$V$36:$V$37</c:f>
              <c:strCache>
                <c:ptCount val="2"/>
                <c:pt idx="0">
                  <c:v>Points-To</c:v>
                </c:pt>
                <c:pt idx="1">
                  <c:v>Inverse Functions</c:v>
                </c:pt>
              </c:strCache>
            </c:strRef>
          </c:cat>
          <c:val>
            <c:numRef>
              <c:f>'aug13-all-fpj  FIGURES '!$Z$36:$Z$37</c:f>
              <c:numCache>
                <c:formatCode>General</c:formatCode>
                <c:ptCount val="2"/>
                <c:pt idx="0">
                  <c:v>260.52587374328101</c:v>
                </c:pt>
                <c:pt idx="1">
                  <c:v>2423.6582025515527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A-2E48-9386-DCA0C76A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Benchmark</a:t>
                </a:r>
              </a:p>
            </c:rich>
          </c:tx>
          <c:layout>
            <c:manualLayout>
              <c:xMode val="edge"/>
              <c:yMode val="edge"/>
              <c:x val="0.46102786190187767"/>
              <c:y val="0.91495698454359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  <c:max val="23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 sz="1100" b="1"/>
                </a:pPr>
                <a:r>
                  <a:rPr lang="en-US" sz="11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</a:t>
                </a:r>
              </a:p>
            </c:rich>
          </c:tx>
          <c:layout>
            <c:manualLayout>
              <c:xMode val="edge"/>
              <c:yMode val="edge"/>
              <c:x val="1.7611548556430447E-3"/>
              <c:y val="6.8842592592592594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7.1540884312537856E-2"/>
          <c:y val="2.6276611256926218E-2"/>
          <c:w val="0.43464223702806382"/>
          <c:h val="0.54389485053306386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87280436099334"/>
          <c:y val="3.4514071157771949E-2"/>
          <c:w val="0.87881607106803972"/>
          <c:h val="0.7706091426071740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'!$W$40:$W$44</c:f>
              <c:numCache>
                <c:formatCode>General</c:formatCode>
                <c:ptCount val="5"/>
                <c:pt idx="0">
                  <c:v>4.7511160714285712</c:v>
                </c:pt>
                <c:pt idx="1">
                  <c:v>4.6614858407524773</c:v>
                </c:pt>
                <c:pt idx="2">
                  <c:v>3.2896928300926693</c:v>
                </c:pt>
                <c:pt idx="3">
                  <c:v>6.7121802363329435</c:v>
                </c:pt>
                <c:pt idx="4">
                  <c:v>25.719920061129724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A-2E48-9386-DCA0C76AB3E5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'!$X$40:$X$44</c:f>
              <c:numCache>
                <c:formatCode>General</c:formatCode>
                <c:ptCount val="5"/>
                <c:pt idx="0">
                  <c:v>4.6143562567746601</c:v>
                </c:pt>
                <c:pt idx="1">
                  <c:v>5.0523360409965647</c:v>
                </c:pt>
                <c:pt idx="2">
                  <c:v>1.6871951097103164</c:v>
                </c:pt>
                <c:pt idx="3">
                  <c:v>7.7057990459153247</c:v>
                </c:pt>
                <c:pt idx="4">
                  <c:v>18.185843903173939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A-2E48-9386-DCA0C76AB3E5}"/>
            </c:ext>
          </c:extLst>
        </c:ser>
        <c:ser>
          <c:idx val="0"/>
          <c:order val="2"/>
          <c:tx>
            <c:strRef>
              <c:f>'aug13-all-fpj  FIGURES '!$AD$30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'!$AD$31:$AD$35</c:f>
              <c:numCache>
                <c:formatCode>General</c:formatCode>
                <c:ptCount val="5"/>
                <c:pt idx="0">
                  <c:v>3.8439851509982943</c:v>
                </c:pt>
                <c:pt idx="1">
                  <c:v>4.932669789227166</c:v>
                </c:pt>
                <c:pt idx="2">
                  <c:v>2.264077369126432</c:v>
                </c:pt>
                <c:pt idx="3">
                  <c:v>8.268495561065345</c:v>
                </c:pt>
                <c:pt idx="4">
                  <c:v>18.531511548499463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A-2E48-9386-DCA0C76AB3E5}"/>
            </c:ext>
          </c:extLst>
        </c:ser>
        <c:ser>
          <c:idx val="1"/>
          <c:order val="3"/>
          <c:tx>
            <c:strRef>
              <c:f>'aug13-all-fpj  FIGURES '!$AE$30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'!$AE$31:$AE$35</c:f>
              <c:numCache>
                <c:formatCode>General</c:formatCode>
                <c:ptCount val="5"/>
                <c:pt idx="0">
                  <c:v>3.6460791777693187</c:v>
                </c:pt>
                <c:pt idx="1">
                  <c:v>5.2047062787824325</c:v>
                </c:pt>
                <c:pt idx="2">
                  <c:v>2.1232142180453977</c:v>
                </c:pt>
                <c:pt idx="3">
                  <c:v>7.7149999999999999</c:v>
                </c:pt>
                <c:pt idx="4">
                  <c:v>19.630140135817907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A-2E48-9386-DCA0C76AB3E5}"/>
            </c:ext>
          </c:extLst>
        </c:ser>
        <c:ser>
          <c:idx val="2"/>
          <c:order val="4"/>
          <c:tx>
            <c:strRef>
              <c:f>'aug13-all-fpj  FIGURES '!$AF$30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'!$V$40:$V$44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'!$AF$31:$AF$35</c:f>
              <c:numCache>
                <c:formatCode>General</c:formatCode>
                <c:ptCount val="5"/>
                <c:pt idx="0">
                  <c:v>4.1771696467509818</c:v>
                </c:pt>
                <c:pt idx="1">
                  <c:v>3.9118230551686293</c:v>
                </c:pt>
                <c:pt idx="2">
                  <c:v>2.6583873033947762</c:v>
                </c:pt>
                <c:pt idx="3">
                  <c:v>7.1376001104667219</c:v>
                </c:pt>
                <c:pt idx="4">
                  <c:v>17.70605268948006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A-2E48-9386-DCA0C76A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Benchmark</a:t>
                </a:r>
              </a:p>
            </c:rich>
          </c:tx>
          <c:layout>
            <c:manualLayout>
              <c:xMode val="edge"/>
              <c:yMode val="edge"/>
              <c:x val="0.47128427215828789"/>
              <c:y val="0.91495698454359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 sz="1100" b="1"/>
                </a:pPr>
                <a:r>
                  <a:rPr lang="en-US" sz="11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</a:t>
                </a:r>
              </a:p>
            </c:rich>
          </c:tx>
          <c:layout>
            <c:manualLayout>
              <c:xMode val="edge"/>
              <c:yMode val="edge"/>
              <c:x val="1.7611548556430447E-3"/>
              <c:y val="6.8842592592592594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 anchor="b" anchorCtr="0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7.1540884312537856E-2"/>
          <c:y val="2.6276611256926218E-2"/>
          <c:w val="0.43464223702806382"/>
          <c:h val="0.54389485053306386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427391908492257"/>
          <c:y val="3.4514071157771949E-2"/>
          <c:w val="0.85061094286291139"/>
          <c:h val="0.76597951297754452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'!$W$39</c:f>
              <c:strCache>
                <c:ptCount val="1"/>
                <c:pt idx="0">
                  <c:v>Hand-optimized</c:v>
                </c:pt>
              </c:strCache>
            </c:strRef>
          </c:tx>
          <c:spPr>
            <a:pattFill prst="lgConfetti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'!$W$40:$W$44</c:f>
              <c:numCache>
                <c:formatCode>General</c:formatCode>
                <c:ptCount val="5"/>
                <c:pt idx="0">
                  <c:v>4.7511160714285712</c:v>
                </c:pt>
                <c:pt idx="1">
                  <c:v>4.6614858407524773</c:v>
                </c:pt>
                <c:pt idx="2">
                  <c:v>3.2896928300926693</c:v>
                </c:pt>
                <c:pt idx="3">
                  <c:v>6.7121802363329435</c:v>
                </c:pt>
                <c:pt idx="4">
                  <c:v>25.719920061129724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A-2E48-9386-DCA0C76AB3E5}"/>
            </c:ext>
          </c:extLst>
        </c:ser>
        <c:ser>
          <c:idx val="4"/>
          <c:order val="1"/>
          <c:tx>
            <c:strRef>
              <c:f>'aug13-all-fpj  FIGURES '!$X$39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'!$X$40:$X$44</c:f>
              <c:numCache>
                <c:formatCode>General</c:formatCode>
                <c:ptCount val="5"/>
                <c:pt idx="0">
                  <c:v>4.6143562567746601</c:v>
                </c:pt>
                <c:pt idx="1">
                  <c:v>5.0523360409965647</c:v>
                </c:pt>
                <c:pt idx="2">
                  <c:v>1.6871951097103164</c:v>
                </c:pt>
                <c:pt idx="3">
                  <c:v>7.7057990459153247</c:v>
                </c:pt>
                <c:pt idx="4">
                  <c:v>18.185843903173939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A-2E48-9386-DCA0C76AB3E5}"/>
            </c:ext>
          </c:extLst>
        </c:ser>
        <c:ser>
          <c:idx val="0"/>
          <c:order val="2"/>
          <c:tx>
            <c:strRef>
              <c:f>'aug13-all-fpj  FIGURES '!$X$30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'!$X$31:$X$35</c:f>
              <c:numCache>
                <c:formatCode>General</c:formatCode>
                <c:ptCount val="5"/>
                <c:pt idx="0">
                  <c:v>3.7139395114385421</c:v>
                </c:pt>
                <c:pt idx="1">
                  <c:v>4.6458291558050924</c:v>
                </c:pt>
                <c:pt idx="2">
                  <c:v>2.2686610474885782</c:v>
                </c:pt>
                <c:pt idx="3">
                  <c:v>7.1514250138350857</c:v>
                </c:pt>
                <c:pt idx="4">
                  <c:v>18.327329080357167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A-2E48-9386-DCA0C76AB3E5}"/>
            </c:ext>
          </c:extLst>
        </c:ser>
        <c:ser>
          <c:idx val="1"/>
          <c:order val="3"/>
          <c:tx>
            <c:strRef>
              <c:f>'aug13-all-fpj  FIGURES '!$Y$30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'!$Y$31:$Y$35</c:f>
              <c:numCache>
                <c:formatCode>General</c:formatCode>
                <c:ptCount val="5"/>
                <c:pt idx="0">
                  <c:v>3.5146316851664987</c:v>
                </c:pt>
                <c:pt idx="1">
                  <c:v>4.6753607103218648</c:v>
                </c:pt>
                <c:pt idx="2">
                  <c:v>1.980949294363749</c:v>
                </c:pt>
                <c:pt idx="3">
                  <c:v>8.1089497215467876</c:v>
                </c:pt>
                <c:pt idx="4">
                  <c:v>17.594853107486617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A-2E48-9386-DCA0C76AB3E5}"/>
            </c:ext>
          </c:extLst>
        </c:ser>
        <c:ser>
          <c:idx val="2"/>
          <c:order val="4"/>
          <c:tx>
            <c:strRef>
              <c:f>'aug13-all-fpj  FIGURES '!$Z$30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'!$V$31:$V$35</c:f>
              <c:strCache>
                <c:ptCount val="5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</c:strCache>
            </c:strRef>
          </c:cat>
          <c:val>
            <c:numRef>
              <c:f>'aug13-all-fpj  FIGURES '!$Z$31:$Z$35</c:f>
              <c:numCache>
                <c:formatCode>General</c:formatCode>
                <c:ptCount val="5"/>
                <c:pt idx="0">
                  <c:v>4.2060599407179708</c:v>
                </c:pt>
                <c:pt idx="1">
                  <c:v>11.708780795957043</c:v>
                </c:pt>
                <c:pt idx="2">
                  <c:v>11.782454787606898</c:v>
                </c:pt>
                <c:pt idx="3">
                  <c:v>13.457563134600365</c:v>
                </c:pt>
                <c:pt idx="4">
                  <c:v>116.04787004806894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A-2E48-9386-DCA0C76A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Benchmark</a:t>
                </a:r>
              </a:p>
            </c:rich>
          </c:tx>
          <c:layout>
            <c:manualLayout>
              <c:xMode val="edge"/>
              <c:yMode val="edge"/>
              <c:x val="0.46102786190187767"/>
              <c:y val="0.91495698454359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  <c:max val="12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Book Antiqua" panose="02040602050305030304" pitchFamily="18" charset="0"/>
                    <a:cs typeface="Arial" panose="020B0604020202020204" pitchFamily="34" charset="0"/>
                  </a:rPr>
                  <a:t>Speedup over "unoptimized"</a:t>
                </a:r>
              </a:p>
            </c:rich>
          </c:tx>
          <c:layout>
            <c:manualLayout>
              <c:xMode val="edge"/>
              <c:yMode val="edge"/>
              <c:x val="1.7610806029320135E-3"/>
              <c:y val="6.88425925925925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7.1540884312537856E-2"/>
          <c:y val="2.6276611256926218E-2"/>
          <c:w val="0.43464223702806382"/>
          <c:h val="0.54389485053306386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206100844078295"/>
          <c:y val="9.4424950787401568E-2"/>
          <c:w val="0.85793899155921705"/>
          <c:h val="0.6353772145669290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'!$Y$39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'!$V$40:$V$46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'!$Y$40:$Y$46</c:f>
              <c:numCache>
                <c:formatCode>General</c:formatCode>
                <c:ptCount val="7"/>
                <c:pt idx="0">
                  <c:v>0.97121522341322419</c:v>
                </c:pt>
                <c:pt idx="1">
                  <c:v>1.0838466990132474</c:v>
                </c:pt>
                <c:pt idx="2">
                  <c:v>0.51287314556441088</c:v>
                </c:pt>
                <c:pt idx="3">
                  <c:v>1.1480322003577816</c:v>
                </c:pt>
                <c:pt idx="4">
                  <c:v>0.70707233381561074</c:v>
                </c:pt>
                <c:pt idx="5">
                  <c:v>0.66740016478911446</c:v>
                </c:pt>
                <c:pt idx="6">
                  <c:v>0.92239300426115856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D-1B46-A259-3B50D0660133}"/>
            </c:ext>
          </c:extLst>
        </c:ser>
        <c:ser>
          <c:idx val="0"/>
          <c:order val="1"/>
          <c:tx>
            <c:strRef>
              <c:f>'aug13-all-fpj  FIGURES '!$AG$30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'!$AG$31:$AG$37</c:f>
              <c:numCache>
                <c:formatCode>General</c:formatCode>
                <c:ptCount val="7"/>
                <c:pt idx="0">
                  <c:v>0.8090699307715461</c:v>
                </c:pt>
                <c:pt idx="1">
                  <c:v>1.0581754311262508</c:v>
                </c:pt>
                <c:pt idx="2">
                  <c:v>0.68823366984772671</c:v>
                </c:pt>
                <c:pt idx="3">
                  <c:v>1.2318643525553867</c:v>
                </c:pt>
                <c:pt idx="4">
                  <c:v>0.72051201965071277</c:v>
                </c:pt>
                <c:pt idx="5">
                  <c:v>0.58856590770710726</c:v>
                </c:pt>
                <c:pt idx="6">
                  <c:v>0.73999035790247203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D-1B46-A259-3B50D0660133}"/>
            </c:ext>
          </c:extLst>
        </c:ser>
        <c:ser>
          <c:idx val="1"/>
          <c:order val="2"/>
          <c:tx>
            <c:strRef>
              <c:f>'aug13-all-fpj  FIGURES '!$AH$30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'!$AH$31:$AH$37</c:f>
              <c:numCache>
                <c:formatCode>General</c:formatCode>
                <c:ptCount val="7"/>
                <c:pt idx="0">
                  <c:v>0.76741530262657021</c:v>
                </c:pt>
                <c:pt idx="1">
                  <c:v>1.1165337526676402</c:v>
                </c:pt>
                <c:pt idx="2">
                  <c:v>0.64541412457210712</c:v>
                </c:pt>
                <c:pt idx="3">
                  <c:v>1.1494029850746268</c:v>
                </c:pt>
                <c:pt idx="4">
                  <c:v>0.76322710526168214</c:v>
                </c:pt>
                <c:pt idx="5">
                  <c:v>0.33099364598109315</c:v>
                </c:pt>
                <c:pt idx="6">
                  <c:v>0.71068114255192405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D-1B46-A259-3B50D0660133}"/>
            </c:ext>
          </c:extLst>
        </c:ser>
        <c:ser>
          <c:idx val="2"/>
          <c:order val="3"/>
          <c:tx>
            <c:strRef>
              <c:f>'aug13-all-fpj  FIGURES '!$AI$30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'!$AI$31:$AI$37</c:f>
              <c:numCache>
                <c:formatCode>General</c:formatCode>
                <c:ptCount val="7"/>
                <c:pt idx="0">
                  <c:v>0.87919755778456177</c:v>
                </c:pt>
                <c:pt idx="1">
                  <c:v>0.83917943522856775</c:v>
                </c:pt>
                <c:pt idx="2">
                  <c:v>0.8080959046014915</c:v>
                </c:pt>
                <c:pt idx="3">
                  <c:v>1.063380281690141</c:v>
                </c:pt>
                <c:pt idx="4">
                  <c:v>0.68841787406015509</c:v>
                </c:pt>
                <c:pt idx="5">
                  <c:v>0.33717190594788599</c:v>
                </c:pt>
                <c:pt idx="6">
                  <c:v>0.75134174551670174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4D-1B46-A259-3B50D066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>
            <c:manualLayout>
              <c:xMode val="edge"/>
              <c:yMode val="edge"/>
              <c:x val="0.46221302350059712"/>
              <c:y val="0.9423262795275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At val="1"/>
        <c:auto val="1"/>
        <c:lblAlgn val="ctr"/>
        <c:lblOffset val="100"/>
        <c:noMultiLvlLbl val="0"/>
      </c:catAx>
      <c:valAx>
        <c:axId val="825594240"/>
        <c:scaling>
          <c:orientation val="minMax"/>
          <c:max val="1.5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Speedup over "optimized" </a:t>
                </a:r>
              </a:p>
            </c:rich>
          </c:tx>
          <c:layout>
            <c:manualLayout>
              <c:xMode val="edge"/>
              <c:yMode val="edge"/>
              <c:x val="2.2441267719763812E-3"/>
              <c:y val="7.583552055993000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4254502781248285"/>
          <c:y val="6.5972222222222224E-2"/>
          <c:w val="0.85745501285347048"/>
          <c:h val="6.800295275590551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411563070606623"/>
          <c:y val="0.12179371491090997"/>
          <c:w val="0.8558843125378558"/>
          <c:h val="0.58072297780959203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'aug13-all-fpj  FIGURES '!$Y$39</c:f>
              <c:strCache>
                <c:ptCount val="1"/>
                <c:pt idx="0">
                  <c:v>JIT IRGenerator</c:v>
                </c:pt>
              </c:strCache>
            </c:strRef>
          </c:tx>
          <c:spPr>
            <a:pattFill prst="dkHorz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'aug13-all-fpj  FIGURES '!$V$40:$V$46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'!$Y$40:$Y$46</c:f>
              <c:numCache>
                <c:formatCode>General</c:formatCode>
                <c:ptCount val="7"/>
                <c:pt idx="0">
                  <c:v>0.97121522341322419</c:v>
                </c:pt>
                <c:pt idx="1">
                  <c:v>1.0838466990132474</c:v>
                </c:pt>
                <c:pt idx="2">
                  <c:v>0.51287314556441088</c:v>
                </c:pt>
                <c:pt idx="3">
                  <c:v>1.1480322003577816</c:v>
                </c:pt>
                <c:pt idx="4">
                  <c:v>0.70707233381561074</c:v>
                </c:pt>
                <c:pt idx="5">
                  <c:v>0.66740016478911446</c:v>
                </c:pt>
                <c:pt idx="6">
                  <c:v>0.92239300426115856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A-7746-B8E1-3108D1671ACA}"/>
            </c:ext>
          </c:extLst>
        </c:ser>
        <c:ser>
          <c:idx val="0"/>
          <c:order val="1"/>
          <c:tx>
            <c:strRef>
              <c:f>'aug13-all-fpj  FIGURES '!$AA$30</c:f>
              <c:strCache>
                <c:ptCount val="1"/>
                <c:pt idx="0">
                  <c:v>JIT Quotes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'!$AA$31:$AA$37</c:f>
              <c:numCache>
                <c:formatCode>General</c:formatCode>
                <c:ptCount val="7"/>
                <c:pt idx="0">
                  <c:v>0.78169833268708799</c:v>
                </c:pt>
                <c:pt idx="1">
                  <c:v>0.99664126729496683</c:v>
                </c:pt>
                <c:pt idx="2">
                  <c:v>0.68962701524466363</c:v>
                </c:pt>
                <c:pt idx="3">
                  <c:v>1.0654399557277257</c:v>
                </c:pt>
                <c:pt idx="4">
                  <c:v>0.71257332980809251</c:v>
                </c:pt>
                <c:pt idx="5">
                  <c:v>0.32495678619353147</c:v>
                </c:pt>
                <c:pt idx="6">
                  <c:v>0.67971135512064507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A-7746-B8E1-3108D1671ACA}"/>
            </c:ext>
          </c:extLst>
        </c:ser>
        <c:ser>
          <c:idx val="1"/>
          <c:order val="2"/>
          <c:tx>
            <c:strRef>
              <c:f>'aug13-all-fpj  FIGURES '!$AB$30</c:f>
              <c:strCache>
                <c:ptCount val="1"/>
                <c:pt idx="0">
                  <c:v>JIT Bytecode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'!$AB$31:$AB$37</c:f>
              <c:numCache>
                <c:formatCode>General</c:formatCode>
                <c:ptCount val="7"/>
                <c:pt idx="0">
                  <c:v>0.73974864691312725</c:v>
                </c:pt>
                <c:pt idx="1">
                  <c:v>1.0029764907678338</c:v>
                </c:pt>
                <c:pt idx="2">
                  <c:v>0.60216846881352937</c:v>
                </c:pt>
                <c:pt idx="3">
                  <c:v>1.2080947525296102</c:v>
                </c:pt>
                <c:pt idx="4">
                  <c:v>0.6840943932044935</c:v>
                </c:pt>
                <c:pt idx="5">
                  <c:v>0.34770770262377543</c:v>
                </c:pt>
                <c:pt idx="6">
                  <c:v>0.64187516567141933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FA-7746-B8E1-3108D1671ACA}"/>
            </c:ext>
          </c:extLst>
        </c:ser>
        <c:ser>
          <c:idx val="2"/>
          <c:order val="3"/>
          <c:tx>
            <c:strRef>
              <c:f>'aug13-all-fpj  FIGURES '!$AC$30</c:f>
              <c:strCache>
                <c:ptCount val="1"/>
                <c:pt idx="0">
                  <c:v>JIT Lambda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cat>
            <c:strRef>
              <c:f>'aug13-all-fpj  FIGURES '!$V$31:$V$37</c:f>
              <c:strCache>
                <c:ptCount val="7"/>
                <c:pt idx="0">
                  <c:v>CBA</c:v>
                </c:pt>
                <c:pt idx="1">
                  <c:v>Equal</c:v>
                </c:pt>
                <c:pt idx="2">
                  <c:v>Fibbonacci</c:v>
                </c:pt>
                <c:pt idx="3">
                  <c:v>Primes</c:v>
                </c:pt>
                <c:pt idx="4">
                  <c:v>Ackermann</c:v>
                </c:pt>
                <c:pt idx="5">
                  <c:v>Points-To</c:v>
                </c:pt>
                <c:pt idx="6">
                  <c:v>Inverse Functions</c:v>
                </c:pt>
              </c:strCache>
            </c:strRef>
          </c:cat>
          <c:val>
            <c:numRef>
              <c:f>'aug13-all-fpj  FIGURES '!$AC$31:$AC$37</c:f>
              <c:numCache>
                <c:formatCode>General</c:formatCode>
                <c:ptCount val="7"/>
                <c:pt idx="0">
                  <c:v>0.88527829619058063</c:v>
                </c:pt>
                <c:pt idx="1">
                  <c:v>2.5118130132659506</c:v>
                </c:pt>
                <c:pt idx="2">
                  <c:v>3.5816276461516896</c:v>
                </c:pt>
                <c:pt idx="3">
                  <c:v>2.0049466284821662</c:v>
                </c:pt>
                <c:pt idx="4">
                  <c:v>4.5119840875186474</c:v>
                </c:pt>
                <c:pt idx="5">
                  <c:v>0.44132146185769344</c:v>
                </c:pt>
                <c:pt idx="6">
                  <c:v>1.0711095289771966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FA-7746-B8E1-3108D1671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>
            <c:manualLayout>
              <c:xMode val="edge"/>
              <c:yMode val="edge"/>
              <c:x val="0.47028124369069252"/>
              <c:y val="0.942389356502851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At val="1"/>
        <c:auto val="1"/>
        <c:lblAlgn val="ctr"/>
        <c:lblOffset val="100"/>
        <c:noMultiLvlLbl val="0"/>
      </c:catAx>
      <c:valAx>
        <c:axId val="825594240"/>
        <c:scaling>
          <c:orientation val="minMax"/>
          <c:max val="5.2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Speedup over "optimized" </a:t>
                </a:r>
              </a:p>
            </c:rich>
          </c:tx>
          <c:layout>
            <c:manualLayout>
              <c:xMode val="edge"/>
              <c:yMode val="edge"/>
              <c:x val="1.3397771772993516E-4"/>
              <c:y val="7.4215150189559653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97452163498013"/>
          <c:y val="8.1615266841644801E-2"/>
          <c:w val="0.85769230769230764"/>
          <c:h val="6.5081331918149729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[Carac-Experiments-Repro.xlsx]sota-compare!PivotTable3</c:name>
    <c:fmtId val="6"/>
  </c:pivotSource>
  <c:chart>
    <c:autoTitleDeleted val="1"/>
    <c:pivotFmts>
      <c:pivotFmt>
        <c:idx val="0"/>
        <c:spPr>
          <a:solidFill>
            <a:srgbClr val="D8B9EF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UpDiag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gConfetti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8B9EF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wdUpDiag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gConfetti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dkHorz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wdUpDiag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lgConfetti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wdUpDiag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dkHorz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wdUpDiag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dkHorz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wdUpDiag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C000"/>
          </a:solidFill>
          <a:ln>
            <a:solidFill>
              <a:srgbClr val="FFC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lgCheck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pattFill prst="wdUpDiag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788922341508"/>
          <c:y val="4.6425547959511551E-2"/>
          <c:w val="0.88721107765849194"/>
          <c:h val="0.458766067138744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'sota-compare'!$N$25:$N$26</c:f>
              <c:strCache>
                <c:ptCount val="1"/>
                <c:pt idx="0">
                  <c:v>Ackermann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'sota-compare'!$N$27:$N$39</c:f>
              <c:numCache>
                <c:formatCode>General</c:formatCode>
                <c:ptCount val="11"/>
                <c:pt idx="0">
                  <c:v>1.118123</c:v>
                </c:pt>
                <c:pt idx="1">
                  <c:v>0.91772799999999999</c:v>
                </c:pt>
                <c:pt idx="2">
                  <c:v>5.4896950000000002</c:v>
                </c:pt>
                <c:pt idx="3">
                  <c:v>4.8432000000000003E-2</c:v>
                </c:pt>
                <c:pt idx="4">
                  <c:v>2.7706999999999999E-2</c:v>
                </c:pt>
                <c:pt idx="5">
                  <c:v>4.3660000000000001E-3</c:v>
                </c:pt>
                <c:pt idx="6">
                  <c:v>0.62567600000000001</c:v>
                </c:pt>
                <c:pt idx="7">
                  <c:v>27.761897000000001</c:v>
                </c:pt>
                <c:pt idx="8">
                  <c:v>0.132163</c:v>
                </c:pt>
                <c:pt idx="9">
                  <c:v>12.213957000000001</c:v>
                </c:pt>
                <c:pt idx="10">
                  <c:v>6.2334000000000001E-2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99-334F-84CD-17FEFFD8782F}"/>
            </c:ext>
          </c:extLst>
        </c:ser>
        <c:ser>
          <c:idx val="0"/>
          <c:order val="1"/>
          <c:tx>
            <c:strRef>
              <c:f>'sota-compare'!$O$25:$O$26</c:f>
              <c:strCache>
                <c:ptCount val="1"/>
                <c:pt idx="0">
                  <c:v>CBA</c:v>
                </c:pt>
              </c:strCache>
            </c:strRef>
          </c:tx>
          <c:spPr>
            <a:pattFill prst="lgCheck">
              <a:fgClr>
                <a:srgbClr val="D8B9EF"/>
              </a:fgClr>
              <a:bgClr>
                <a:sysClr val="window" lastClr="FFFFFF"/>
              </a:bgClr>
            </a:pattFill>
            <a:ln>
              <a:solidFill>
                <a:srgbClr val="D8B9EF"/>
              </a:solidFill>
            </a:ln>
          </c:spPr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'sota-compare'!$O$27:$O$39</c:f>
              <c:numCache>
                <c:formatCode>General</c:formatCode>
                <c:ptCount val="11"/>
                <c:pt idx="0">
                  <c:v>0.99094400000000005</c:v>
                </c:pt>
                <c:pt idx="1">
                  <c:v>0.84092</c:v>
                </c:pt>
                <c:pt idx="2">
                  <c:v>4.2273459999999998</c:v>
                </c:pt>
                <c:pt idx="3">
                  <c:v>3.2690999999999998E-2</c:v>
                </c:pt>
                <c:pt idx="4">
                  <c:v>1.3263E-2</c:v>
                </c:pt>
                <c:pt idx="5">
                  <c:v>1.8550000000000001E-3</c:v>
                </c:pt>
                <c:pt idx="6">
                  <c:v>0.29306199999999999</c:v>
                </c:pt>
                <c:pt idx="7">
                  <c:v>33.316645000000001</c:v>
                </c:pt>
                <c:pt idx="8">
                  <c:v>0.119134</c:v>
                </c:pt>
                <c:pt idx="9">
                  <c:v>14.571261</c:v>
                </c:pt>
                <c:pt idx="10">
                  <c:v>5.8762000000000002E-2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99-334F-84CD-17FEFFD8782F}"/>
            </c:ext>
          </c:extLst>
        </c:ser>
        <c:ser>
          <c:idx val="2"/>
          <c:order val="2"/>
          <c:tx>
            <c:strRef>
              <c:f>'sota-compare'!$P$25:$P$26</c:f>
              <c:strCache>
                <c:ptCount val="1"/>
                <c:pt idx="0">
                  <c:v>Points-To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</c:spPr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'sota-compare'!$P$27:$P$39</c:f>
              <c:numCache>
                <c:formatCode>General</c:formatCode>
                <c:ptCount val="11"/>
                <c:pt idx="0">
                  <c:v>3.8663159999999999</c:v>
                </c:pt>
                <c:pt idx="1">
                  <c:v>3.438129</c:v>
                </c:pt>
                <c:pt idx="2">
                  <c:v>18.116986000000001</c:v>
                </c:pt>
                <c:pt idx="3">
                  <c:v>4.5163229999999999</c:v>
                </c:pt>
                <c:pt idx="4">
                  <c:v>1.014974</c:v>
                </c:pt>
                <c:pt idx="5">
                  <c:v>0.68038200000000004</c:v>
                </c:pt>
                <c:pt idx="6">
                  <c:v>6.7278149999999997</c:v>
                </c:pt>
                <c:pt idx="7">
                  <c:v>58.833680000000001</c:v>
                </c:pt>
                <c:pt idx="8">
                  <c:v>0.49130000000000001</c:v>
                </c:pt>
                <c:pt idx="9">
                  <c:v>24.830204999999999</c:v>
                </c:pt>
                <c:pt idx="10">
                  <c:v>0.206454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99-334F-84CD-17FEFFD8782F}"/>
            </c:ext>
          </c:extLst>
        </c:ser>
        <c:ser>
          <c:idx val="3"/>
          <c:order val="3"/>
          <c:tx>
            <c:strRef>
              <c:f>'sota-compare'!$Q$25:$Q$26</c:f>
              <c:strCache>
                <c:ptCount val="1"/>
                <c:pt idx="0">
                  <c:v>Inverse Functions</c:v>
                </c:pt>
              </c:strCache>
            </c:strRef>
          </c:tx>
          <c:spPr>
            <a:pattFill prst="wdUpDiag">
              <a:fgClr>
                <a:srgbClr val="FFC000"/>
              </a:fgClr>
              <a:bgClr>
                <a:sysClr val="window" lastClr="FFFFFF"/>
              </a:bgClr>
            </a:pattFill>
            <a:ln>
              <a:solidFill>
                <a:srgbClr val="FFC000"/>
              </a:solidFill>
            </a:ln>
          </c:spPr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'sota-compare'!$Q$27:$Q$39</c:f>
              <c:numCache>
                <c:formatCode>General</c:formatCode>
                <c:ptCount val="11"/>
                <c:pt idx="0">
                  <c:v>4.5726149999999999</c:v>
                </c:pt>
                <c:pt idx="1">
                  <c:v>3.455104</c:v>
                </c:pt>
                <c:pt idx="2">
                  <c:v>18.385228000000001</c:v>
                </c:pt>
                <c:pt idx="3">
                  <c:v>4.5736220000000003</c:v>
                </c:pt>
                <c:pt idx="4">
                  <c:v>1.0331060000000001</c:v>
                </c:pt>
                <c:pt idx="5">
                  <c:v>0.80602799999999997</c:v>
                </c:pt>
                <c:pt idx="6">
                  <c:v>6.7296189999999996</c:v>
                </c:pt>
                <c:pt idx="7">
                  <c:v>63.08887</c:v>
                </c:pt>
                <c:pt idx="8">
                  <c:v>0.52680800000000005</c:v>
                </c:pt>
                <c:pt idx="9">
                  <c:v>26.354303999999999</c:v>
                </c:pt>
                <c:pt idx="10">
                  <c:v>0.221161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99-334F-84CD-17FEFFD87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11836509223850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1057213937889838"/>
          <c:y val="2.4049065633489568E-2"/>
          <c:w val="0.88877907339845053"/>
          <c:h val="6.4633572962073033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[Carac-Experiments-Repro.xlsx]sota-compare!PivotTable3</c:name>
    <c:fmtId val="4"/>
  </c:pivotSource>
  <c:chart>
    <c:autoTitleDeleted val="1"/>
    <c:pivotFmts>
      <c:pivotFmt>
        <c:idx val="0"/>
        <c:spPr>
          <a:solidFill>
            <a:srgbClr val="D8B9EF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UpDiag">
            <a:fgClr>
              <a:srgbClr val="D8B9EF"/>
            </a:fgClr>
            <a:bgClr>
              <a:sysClr val="window" lastClr="FFFFFF"/>
            </a:bgClr>
          </a:pattFill>
          <a:ln>
            <a:solidFill>
              <a:srgbClr val="D8B9EF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gConfetti">
            <a:fgClr>
              <a:srgbClr val="FFC000"/>
            </a:fgClr>
            <a:bgClr>
              <a:sysClr val="window" lastClr="FFFFFF"/>
            </a:bgClr>
          </a:patt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788922341508"/>
          <c:y val="4.6425547959511551E-2"/>
          <c:w val="0.88721107765849194"/>
          <c:h val="0.458766067138744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'sota-compare'!$N$25:$N$26</c:f>
              <c:strCache>
                <c:ptCount val="1"/>
                <c:pt idx="0">
                  <c:v>Ackermann</c:v>
                </c:pt>
              </c:strCache>
            </c:strRef>
          </c:tx>
          <c:spPr>
            <a:solidFill>
              <a:srgbClr val="D8B9EF"/>
            </a:solidFill>
          </c:spPr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'sota-compare'!$N$27:$N$39</c:f>
              <c:numCache>
                <c:formatCode>General</c:formatCode>
                <c:ptCount val="11"/>
                <c:pt idx="0">
                  <c:v>1.118123</c:v>
                </c:pt>
                <c:pt idx="1">
                  <c:v>0.91772799999999999</c:v>
                </c:pt>
                <c:pt idx="2">
                  <c:v>5.4896950000000002</c:v>
                </c:pt>
                <c:pt idx="3">
                  <c:v>4.8432000000000003E-2</c:v>
                </c:pt>
                <c:pt idx="4">
                  <c:v>2.7706999999999999E-2</c:v>
                </c:pt>
                <c:pt idx="5">
                  <c:v>4.3660000000000001E-3</c:v>
                </c:pt>
                <c:pt idx="6">
                  <c:v>0.62567600000000001</c:v>
                </c:pt>
                <c:pt idx="7">
                  <c:v>27.761897000000001</c:v>
                </c:pt>
                <c:pt idx="8">
                  <c:v>0.132163</c:v>
                </c:pt>
                <c:pt idx="9">
                  <c:v>12.213957000000001</c:v>
                </c:pt>
                <c:pt idx="10">
                  <c:v>6.2334000000000001E-2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D-C047-A192-6070ACCD0F93}"/>
            </c:ext>
          </c:extLst>
        </c:ser>
        <c:ser>
          <c:idx val="0"/>
          <c:order val="1"/>
          <c:tx>
            <c:strRef>
              <c:f>'sota-compare'!$O$25:$O$26</c:f>
              <c:strCache>
                <c:ptCount val="1"/>
                <c:pt idx="0">
                  <c:v>CBA</c:v>
                </c:pt>
              </c:strCache>
            </c:strRef>
          </c:tx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'sota-compare'!$O$27:$O$39</c:f>
              <c:numCache>
                <c:formatCode>General</c:formatCode>
                <c:ptCount val="11"/>
                <c:pt idx="0">
                  <c:v>0.99094400000000005</c:v>
                </c:pt>
                <c:pt idx="1">
                  <c:v>0.84092</c:v>
                </c:pt>
                <c:pt idx="2">
                  <c:v>4.2273459999999998</c:v>
                </c:pt>
                <c:pt idx="3">
                  <c:v>3.2690999999999998E-2</c:v>
                </c:pt>
                <c:pt idx="4">
                  <c:v>1.3263E-2</c:v>
                </c:pt>
                <c:pt idx="5">
                  <c:v>1.8550000000000001E-3</c:v>
                </c:pt>
                <c:pt idx="6">
                  <c:v>0.29306199999999999</c:v>
                </c:pt>
                <c:pt idx="7">
                  <c:v>33.316645000000001</c:v>
                </c:pt>
                <c:pt idx="8">
                  <c:v>0.119134</c:v>
                </c:pt>
                <c:pt idx="9">
                  <c:v>14.571261</c:v>
                </c:pt>
                <c:pt idx="10">
                  <c:v>5.8762000000000002E-2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B6-6548-BE17-93F9A8007963}"/>
            </c:ext>
          </c:extLst>
        </c:ser>
        <c:ser>
          <c:idx val="2"/>
          <c:order val="2"/>
          <c:tx>
            <c:strRef>
              <c:f>'sota-compare'!$P$25:$P$26</c:f>
              <c:strCache>
                <c:ptCount val="1"/>
                <c:pt idx="0">
                  <c:v>Points-To</c:v>
                </c:pt>
              </c:strCache>
            </c:strRef>
          </c:tx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'sota-compare'!$P$27:$P$39</c:f>
              <c:numCache>
                <c:formatCode>General</c:formatCode>
                <c:ptCount val="11"/>
                <c:pt idx="0">
                  <c:v>3.8663159999999999</c:v>
                </c:pt>
                <c:pt idx="1">
                  <c:v>3.438129</c:v>
                </c:pt>
                <c:pt idx="2">
                  <c:v>18.116986000000001</c:v>
                </c:pt>
                <c:pt idx="3">
                  <c:v>4.5163229999999999</c:v>
                </c:pt>
                <c:pt idx="4">
                  <c:v>1.014974</c:v>
                </c:pt>
                <c:pt idx="5">
                  <c:v>0.68038200000000004</c:v>
                </c:pt>
                <c:pt idx="6">
                  <c:v>6.7278149999999997</c:v>
                </c:pt>
                <c:pt idx="7">
                  <c:v>58.833680000000001</c:v>
                </c:pt>
                <c:pt idx="8">
                  <c:v>0.49130000000000001</c:v>
                </c:pt>
                <c:pt idx="9">
                  <c:v>24.830204999999999</c:v>
                </c:pt>
                <c:pt idx="10">
                  <c:v>0.206454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B6-6548-BE17-93F9A8007963}"/>
            </c:ext>
          </c:extLst>
        </c:ser>
        <c:ser>
          <c:idx val="3"/>
          <c:order val="3"/>
          <c:tx>
            <c:strRef>
              <c:f>'sota-compare'!$Q$25:$Q$26</c:f>
              <c:strCache>
                <c:ptCount val="1"/>
                <c:pt idx="0">
                  <c:v>Inverse Functions</c:v>
                </c:pt>
              </c:strCache>
            </c:strRef>
          </c:tx>
          <c:invertIfNegative val="0"/>
          <c:cat>
            <c:multiLvlStrRef>
              <c:f>'sota-compare'!$M$27:$M$39</c:f>
              <c:multiLvlStrCache>
                <c:ptCount val="11"/>
                <c:lvl>
                  <c:pt idx="0">
                    <c:v>jar-bytecode</c:v>
                  </c:pt>
                  <c:pt idx="1">
                    <c:v>jar-lambda</c:v>
                  </c:pt>
                  <c:pt idx="2">
                    <c:v>jar-quotes</c:v>
                  </c:pt>
                  <c:pt idx="3">
                    <c:v>native-lambda</c:v>
                  </c:pt>
                  <c:pt idx="4">
                    <c:v>warm-bytecode</c:v>
                  </c:pt>
                  <c:pt idx="5">
                    <c:v>warm-lambda</c:v>
                  </c:pt>
                  <c:pt idx="6">
                    <c:v>warm-quotes</c:v>
                  </c:pt>
                  <c:pt idx="7">
                    <c:v>profile-compile</c:v>
                  </c:pt>
                  <c:pt idx="8">
                    <c:v>profile-interp</c:v>
                  </c:pt>
                  <c:pt idx="9">
                    <c:v>preprofiled-compile</c:v>
                  </c:pt>
                  <c:pt idx="10">
                    <c:v>preprofiled-interp</c:v>
                  </c:pt>
                </c:lvl>
                <c:lvl>
                  <c:pt idx="0">
                    <c:v>carac</c:v>
                  </c:pt>
                  <c:pt idx="7">
                    <c:v>souffle</c:v>
                  </c:pt>
                </c:lvl>
              </c:multiLvlStrCache>
            </c:multiLvlStrRef>
          </c:cat>
          <c:val>
            <c:numRef>
              <c:f>'sota-compare'!$Q$27:$Q$39</c:f>
              <c:numCache>
                <c:formatCode>General</c:formatCode>
                <c:ptCount val="11"/>
                <c:pt idx="0">
                  <c:v>4.5726149999999999</c:v>
                </c:pt>
                <c:pt idx="1">
                  <c:v>3.455104</c:v>
                </c:pt>
                <c:pt idx="2">
                  <c:v>18.385228000000001</c:v>
                </c:pt>
                <c:pt idx="3">
                  <c:v>4.5736220000000003</c:v>
                </c:pt>
                <c:pt idx="4">
                  <c:v>1.0331060000000001</c:v>
                </c:pt>
                <c:pt idx="5">
                  <c:v>0.80602799999999997</c:v>
                </c:pt>
                <c:pt idx="6">
                  <c:v>6.7296189999999996</c:v>
                </c:pt>
                <c:pt idx="7">
                  <c:v>63.08887</c:v>
                </c:pt>
                <c:pt idx="8">
                  <c:v>0.52680800000000005</c:v>
                </c:pt>
                <c:pt idx="9">
                  <c:v>26.354303999999999</c:v>
                </c:pt>
                <c:pt idx="10">
                  <c:v>0.221161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B6-6548-BE17-93F9A800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92592"/>
        <c:axId val="825594240"/>
      </c:barChart>
      <c:catAx>
        <c:axId val="825592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Execution Engine + Mode</a:t>
                </a:r>
              </a:p>
            </c:rich>
          </c:tx>
          <c:layout>
            <c:manualLayout>
              <c:xMode val="edge"/>
              <c:yMode val="edge"/>
              <c:x val="0.26215888486883804"/>
              <c:y val="0.944306371952061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4240"/>
        <c:crosses val="autoZero"/>
        <c:auto val="1"/>
        <c:lblAlgn val="ctr"/>
        <c:lblOffset val="100"/>
        <c:noMultiLvlLbl val="0"/>
      </c:catAx>
      <c:valAx>
        <c:axId val="8255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Execution Time (s)</a:t>
                </a:r>
              </a:p>
            </c:rich>
          </c:tx>
          <c:layout>
            <c:manualLayout>
              <c:xMode val="edge"/>
              <c:yMode val="edge"/>
              <c:x val="0"/>
              <c:y val="0.11836509223850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n-CH"/>
          </a:p>
        </c:txPr>
        <c:crossAx val="825592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1570581539613457"/>
          <c:y val="1.0062436177324755E-2"/>
          <c:w val="0.51166904602611851"/>
          <c:h val="5.532848032601465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Book Antiqua" panose="02040602050305030304" pitchFamily="18" charset="0"/>
          <a:cs typeface="Arial" panose="020B0604020202020204" pitchFamily="34" charset="0"/>
        </a:defRPr>
      </a:pPr>
      <a:endParaRPr lang="en-CH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665639</xdr:colOff>
      <xdr:row>54</xdr:row>
      <xdr:rowOff>24601</xdr:rowOff>
    </xdr:from>
    <xdr:to>
      <xdr:col>34</xdr:col>
      <xdr:colOff>1062535</xdr:colOff>
      <xdr:row>86</xdr:row>
      <xdr:rowOff>176689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1088742</xdr:colOff>
      <xdr:row>54</xdr:row>
      <xdr:rowOff>8878</xdr:rowOff>
    </xdr:from>
    <xdr:to>
      <xdr:col>51</xdr:col>
      <xdr:colOff>76562</xdr:colOff>
      <xdr:row>86</xdr:row>
      <xdr:rowOff>162579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645480</xdr:colOff>
      <xdr:row>86</xdr:row>
      <xdr:rowOff>177798</xdr:rowOff>
    </xdr:from>
    <xdr:to>
      <xdr:col>34</xdr:col>
      <xdr:colOff>1042376</xdr:colOff>
      <xdr:row>119</xdr:row>
      <xdr:rowOff>25710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1063543</xdr:colOff>
      <xdr:row>86</xdr:row>
      <xdr:rowOff>187474</xdr:rowOff>
    </xdr:from>
    <xdr:to>
      <xdr:col>50</xdr:col>
      <xdr:colOff>792957</xdr:colOff>
      <xdr:row>119</xdr:row>
      <xdr:rowOff>22686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830014</xdr:colOff>
      <xdr:row>54</xdr:row>
      <xdr:rowOff>36811</xdr:rowOff>
    </xdr:from>
    <xdr:to>
      <xdr:col>26</xdr:col>
      <xdr:colOff>635375</xdr:colOff>
      <xdr:row>86</xdr:row>
      <xdr:rowOff>188899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790893</xdr:colOff>
      <xdr:row>87</xdr:row>
      <xdr:rowOff>132581</xdr:rowOff>
    </xdr:from>
    <xdr:to>
      <xdr:col>26</xdr:col>
      <xdr:colOff>596254</xdr:colOff>
      <xdr:row>119</xdr:row>
      <xdr:rowOff>177562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6</xdr:col>
      <xdr:colOff>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0</xdr:colOff>
      <xdr:row>13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3048</xdr:colOff>
      <xdr:row>13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0</xdr:row>
      <xdr:rowOff>0</xdr:rowOff>
    </xdr:from>
    <xdr:to>
      <xdr:col>0</xdr:col>
      <xdr:colOff>596900</xdr:colOff>
      <xdr:row>1</xdr:row>
      <xdr:rowOff>144021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671394E-AEFF-284B-AF70-014FCC90331D}"/>
            </a:ext>
          </a:extLst>
        </xdr:cNvPr>
        <xdr:cNvSpPr txBox="1"/>
      </xdr:nvSpPr>
      <xdr:spPr>
        <a:xfrm>
          <a:off x="279400" y="0"/>
          <a:ext cx="317500" cy="3491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3048</xdr:colOff>
      <xdr:row>13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0</xdr:row>
      <xdr:rowOff>0</xdr:rowOff>
    </xdr:from>
    <xdr:to>
      <xdr:col>0</xdr:col>
      <xdr:colOff>622300</xdr:colOff>
      <xdr:row>1</xdr:row>
      <xdr:rowOff>49893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CEB342-E2B0-8753-CCB0-4B3D78CAA506}"/>
            </a:ext>
          </a:extLst>
        </xdr:cNvPr>
        <xdr:cNvSpPr txBox="1"/>
      </xdr:nvSpPr>
      <xdr:spPr>
        <a:xfrm>
          <a:off x="304800" y="0"/>
          <a:ext cx="3175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3048</xdr:colOff>
      <xdr:row>13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4178</xdr:rowOff>
    </xdr:from>
    <xdr:to>
      <xdr:col>5</xdr:col>
      <xdr:colOff>820193</xdr:colOff>
      <xdr:row>17</xdr:row>
      <xdr:rowOff>181811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443AA-D5A7-3142-84A1-F6872434C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505493</xdr:colOff>
      <xdr:row>9</xdr:row>
      <xdr:rowOff>12532</xdr:rowOff>
    </xdr:from>
    <xdr:to>
      <xdr:col>0</xdr:col>
      <xdr:colOff>609934</xdr:colOff>
      <xdr:row>15</xdr:row>
      <xdr:rowOff>82549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B9FCC-60B5-BB48-9811-6575CB5F12DD}"/>
            </a:ext>
          </a:extLst>
        </xdr:cNvPr>
        <xdr:cNvSpPr txBox="1"/>
      </xdr:nvSpPr>
      <xdr:spPr>
        <a:xfrm>
          <a:off x="505493" y="1841332"/>
          <a:ext cx="104441" cy="128921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530559</xdr:colOff>
      <xdr:row>15</xdr:row>
      <xdr:rowOff>60324</xdr:rowOff>
    </xdr:from>
    <xdr:to>
      <xdr:col>5</xdr:col>
      <xdr:colOff>100263</xdr:colOff>
      <xdr:row>17</xdr:row>
      <xdr:rowOff>177800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7825321-AF86-C54C-8B98-E3F35708683D}"/>
            </a:ext>
          </a:extLst>
        </xdr:cNvPr>
        <xdr:cNvSpPr txBox="1"/>
      </xdr:nvSpPr>
      <xdr:spPr>
        <a:xfrm>
          <a:off x="530559" y="3108324"/>
          <a:ext cx="3697204" cy="52387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en-C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— </a:t>
          </a:r>
          <a:r>
            <a:rPr lang="en-US" sz="1100">
              <a:solidFill>
                <a:schemeClr val="tx1"/>
              </a:solidFill>
              <a:latin typeface="Book Antiqua" panose="02040602050305030304" pitchFamily="18" charset="0"/>
            </a:rPr>
            <a:t>Carac </a:t>
          </a:r>
          <a:r>
            <a:rPr lang="en-C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</a:t>
          </a:r>
          <a:r>
            <a:rPr lang="en-US" sz="1100">
              <a:solidFill>
                <a:schemeClr val="tx1"/>
              </a:solidFill>
              <a:latin typeface="Book Antiqua" panose="02040602050305030304" pitchFamily="18" charset="0"/>
            </a:rPr>
            <a:t>                                 </a:t>
          </a:r>
          <a:r>
            <a:rPr lang="en-C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</a:t>
          </a:r>
          <a:r>
            <a:rPr lang="en-US" sz="1100">
              <a:solidFill>
                <a:schemeClr val="tx1"/>
              </a:solidFill>
              <a:latin typeface="Book Antiqua" panose="02040602050305030304" pitchFamily="18" charset="0"/>
            </a:rPr>
            <a:t> Soufflé </a:t>
          </a:r>
          <a:r>
            <a:rPr lang="en-C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</a:t>
          </a:r>
        </a:p>
        <a:p>
          <a:pPr algn="r"/>
          <a:endParaRPr lang="en-US" sz="500">
            <a:latin typeface="Book Antiqua" panose="02040602050305030304" pitchFamily="18" charset="0"/>
          </a:endParaRPr>
        </a:p>
        <a:p>
          <a:pPr algn="ctr"/>
          <a:r>
            <a:rPr lang="en-US" sz="1100" b="1">
              <a:latin typeface="Book Antiqua" panose="02040602050305030304" pitchFamily="18" charset="0"/>
            </a:rPr>
            <a:t>Execution Engine &amp; Compilation Mode</a:t>
          </a:r>
        </a:p>
      </xdr:txBody>
    </xdr:sp>
    <xdr:clientData/>
  </xdr:twoCellAnchor>
  <xdr:twoCellAnchor>
    <xdr:from>
      <xdr:col>4</xdr:col>
      <xdr:colOff>688975</xdr:colOff>
      <xdr:row>16</xdr:row>
      <xdr:rowOff>150393</xdr:rowOff>
    </xdr:from>
    <xdr:to>
      <xdr:col>5</xdr:col>
      <xdr:colOff>679450</xdr:colOff>
      <xdr:row>17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B1D645-118D-A34A-957B-4579B0EF3417}"/>
            </a:ext>
          </a:extLst>
        </xdr:cNvPr>
        <xdr:cNvSpPr txBox="1"/>
      </xdr:nvSpPr>
      <xdr:spPr>
        <a:xfrm>
          <a:off x="3990975" y="3401593"/>
          <a:ext cx="815975" cy="23060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1172308</xdr:colOff>
      <xdr:row>45</xdr:row>
      <xdr:rowOff>25400</xdr:rowOff>
    </xdr:from>
    <xdr:to>
      <xdr:col>24</xdr:col>
      <xdr:colOff>214923</xdr:colOff>
      <xdr:row>68</xdr:row>
      <xdr:rowOff>117230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C612F5-7A56-6809-0CFF-4941E1E60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Herlihy" refreshedDate="45170.554051851854" createdVersion="8" refreshedVersion="8" minRefreshableVersion="3" recordCount="91" xr:uid="{BAC85BAD-35BE-0445-85FB-45C095CF8625}">
  <cacheSource type="worksheet">
    <worksheetSource ref="A2:K93" sheet="sota-compare"/>
  </cacheSource>
  <cacheFields count="11">
    <cacheField name="Benchmark" numFmtId="2">
      <sharedItems count="10">
        <s v="Ackermann"/>
        <s v="CBA"/>
        <s v="equal"/>
        <s v="fib"/>
        <s v="prime"/>
        <s v="Points-To"/>
        <s v="Inverse Functions"/>
        <s v="cbaexprvalue" u="1"/>
        <s v="tastyslistlib" u="1"/>
        <s v="tastyslistlibinverse" u="1"/>
      </sharedItems>
    </cacheField>
    <cacheField name="engine" numFmtId="2">
      <sharedItems count="2">
        <s v="carac"/>
        <s v="souffle"/>
      </sharedItems>
    </cacheField>
    <cacheField name="build" numFmtId="2">
      <sharedItems containsBlank="1"/>
    </cacheField>
    <cacheField name="backend" numFmtId="2">
      <sharedItems/>
    </cacheField>
    <cacheField name="Mode" numFmtId="2">
      <sharedItems/>
    </cacheField>
    <cacheField name="Threads" numFmtId="2">
      <sharedItems containsSemiMixedTypes="0" containsString="0" containsNumber="1" containsInteger="1" minValue="1" maxValue="1"/>
    </cacheField>
    <cacheField name="Samples" numFmtId="2">
      <sharedItems containsSemiMixedTypes="0" containsString="0" containsNumber="1" containsInteger="1" minValue="10" maxValue="10"/>
    </cacheField>
    <cacheField name="Score" numFmtId="2">
      <sharedItems containsSemiMixedTypes="0" containsString="0" containsNumber="1" minValue="3.3300000000000002E-4" maxValue="63.08887"/>
    </cacheField>
    <cacheField name="Score Error (99.9%)" numFmtId="2">
      <sharedItems containsSemiMixedTypes="0" containsString="0" containsNumber="1" minValue="3.9999999999999998E-6" maxValue="0.65254699999999999"/>
    </cacheField>
    <cacheField name="Unit" numFmtId="2">
      <sharedItems/>
    </cacheField>
    <cacheField name="Fullname" numFmtId="2">
      <sharedItems count="13">
        <s v="jar-bytecode"/>
        <s v="jar-lambda"/>
        <s v="jar-quotes"/>
        <s v="native-lambda"/>
        <s v="warm-bytecode"/>
        <s v="warm-lambda"/>
        <s v="warm-quotes"/>
        <s v="-compile"/>
        <s v="-interp"/>
        <s v="preprofiled-compile"/>
        <s v="preprofiled-interp"/>
        <s v="profile-compile"/>
        <s v="profile-inter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x v="0"/>
    <s v="jar"/>
    <s v="bytecode"/>
    <s v="avgt"/>
    <n v="1"/>
    <n v="10"/>
    <n v="1.118123"/>
    <n v="5.7000000000000002E-3"/>
    <s v="s/op"/>
    <x v="0"/>
  </r>
  <r>
    <x v="0"/>
    <x v="0"/>
    <s v="jar"/>
    <s v="lambda"/>
    <s v="avgt"/>
    <n v="1"/>
    <n v="10"/>
    <n v="0.91772799999999999"/>
    <n v="7.9760000000000005E-3"/>
    <s v="s/op"/>
    <x v="1"/>
  </r>
  <r>
    <x v="0"/>
    <x v="0"/>
    <s v="jar"/>
    <s v="quotes"/>
    <s v="avgt"/>
    <n v="1"/>
    <n v="10"/>
    <n v="5.4896950000000002"/>
    <n v="9.4532000000000005E-2"/>
    <s v="s/op"/>
    <x v="2"/>
  </r>
  <r>
    <x v="0"/>
    <x v="0"/>
    <s v="native"/>
    <s v="lambda"/>
    <s v="avgt"/>
    <n v="1"/>
    <n v="10"/>
    <n v="4.8432000000000003E-2"/>
    <n v="2.0799999999999999E-4"/>
    <s v="s/op"/>
    <x v="3"/>
  </r>
  <r>
    <x v="0"/>
    <x v="0"/>
    <s v="warm"/>
    <s v="bytecode"/>
    <s v="avgt"/>
    <n v="1"/>
    <n v="10"/>
    <n v="2.7706999999999999E-2"/>
    <n v="6.11E-3"/>
    <s v="s/op"/>
    <x v="4"/>
  </r>
  <r>
    <x v="0"/>
    <x v="0"/>
    <s v="warm"/>
    <s v="lambda"/>
    <s v="avgt"/>
    <n v="1"/>
    <n v="10"/>
    <n v="4.3660000000000001E-3"/>
    <n v="6.4999999999999994E-5"/>
    <s v="s/op"/>
    <x v="5"/>
  </r>
  <r>
    <x v="0"/>
    <x v="0"/>
    <s v="warm"/>
    <s v="quotes"/>
    <s v="avgt"/>
    <n v="1"/>
    <n v="10"/>
    <n v="0.62567600000000001"/>
    <n v="6.4167000000000002E-2"/>
    <s v="s/op"/>
    <x v="6"/>
  </r>
  <r>
    <x v="0"/>
    <x v="1"/>
    <m/>
    <s v="compile"/>
    <s v="avgt"/>
    <n v="1"/>
    <n v="10"/>
    <n v="10.964352999999999"/>
    <n v="4.1730999999999997E-2"/>
    <s v="s/op"/>
    <x v="7"/>
  </r>
  <r>
    <x v="0"/>
    <x v="1"/>
    <m/>
    <s v="interp"/>
    <s v="avgt"/>
    <n v="1"/>
    <n v="10"/>
    <n v="4.5721999999999999E-2"/>
    <n v="8.0999999999999996E-4"/>
    <s v="s/op"/>
    <x v="8"/>
  </r>
  <r>
    <x v="0"/>
    <x v="1"/>
    <s v="preprofiled"/>
    <s v="compile"/>
    <s v="avgt"/>
    <n v="1"/>
    <n v="10"/>
    <n v="12.213957000000001"/>
    <n v="5.8257000000000003E-2"/>
    <s v="s/op"/>
    <x v="9"/>
  </r>
  <r>
    <x v="0"/>
    <x v="1"/>
    <s v="preprofiled"/>
    <s v="interp"/>
    <s v="avgt"/>
    <n v="1"/>
    <n v="10"/>
    <n v="6.2334000000000001E-2"/>
    <n v="2.8600000000000001E-4"/>
    <s v="s/op"/>
    <x v="10"/>
  </r>
  <r>
    <x v="0"/>
    <x v="1"/>
    <s v="profile"/>
    <s v="compile"/>
    <s v="avgt"/>
    <n v="1"/>
    <n v="10"/>
    <n v="27.761897000000001"/>
    <n v="7.5179999999999997E-2"/>
    <s v="s/op"/>
    <x v="11"/>
  </r>
  <r>
    <x v="0"/>
    <x v="1"/>
    <s v="profile"/>
    <s v="interp"/>
    <s v="avgt"/>
    <n v="1"/>
    <n v="10"/>
    <n v="0.132163"/>
    <n v="1.2459999999999999E-3"/>
    <s v="s/op"/>
    <x v="12"/>
  </r>
  <r>
    <x v="1"/>
    <x v="0"/>
    <s v="jar"/>
    <s v="bytecode"/>
    <s v="avgt"/>
    <n v="1"/>
    <n v="10"/>
    <n v="0.99094400000000005"/>
    <n v="6.6020000000000002E-3"/>
    <s v="s/op"/>
    <x v="0"/>
  </r>
  <r>
    <x v="1"/>
    <x v="0"/>
    <s v="jar"/>
    <s v="lambda"/>
    <s v="avgt"/>
    <n v="1"/>
    <n v="10"/>
    <n v="0.84092"/>
    <n v="4.2859999999999999E-3"/>
    <s v="s/op"/>
    <x v="1"/>
  </r>
  <r>
    <x v="1"/>
    <x v="0"/>
    <s v="jar"/>
    <s v="quotes"/>
    <s v="avgt"/>
    <n v="1"/>
    <n v="10"/>
    <n v="4.2273459999999998"/>
    <n v="6.5579999999999999E-2"/>
    <s v="s/op"/>
    <x v="2"/>
  </r>
  <r>
    <x v="1"/>
    <x v="0"/>
    <s v="native"/>
    <s v="lambda"/>
    <s v="avgt"/>
    <n v="1"/>
    <n v="10"/>
    <n v="3.2690999999999998E-2"/>
    <n v="1.76E-4"/>
    <s v="s/op"/>
    <x v="3"/>
  </r>
  <r>
    <x v="1"/>
    <x v="0"/>
    <s v="warm"/>
    <s v="bytecode"/>
    <s v="avgt"/>
    <n v="1"/>
    <n v="10"/>
    <n v="1.3263E-2"/>
    <n v="4.0870000000000004E-3"/>
    <s v="s/op"/>
    <x v="4"/>
  </r>
  <r>
    <x v="1"/>
    <x v="0"/>
    <s v="warm"/>
    <s v="lambda"/>
    <s v="avgt"/>
    <n v="1"/>
    <n v="10"/>
    <n v="1.8550000000000001E-3"/>
    <n v="3.0000000000000001E-5"/>
    <s v="s/op"/>
    <x v="5"/>
  </r>
  <r>
    <x v="1"/>
    <x v="0"/>
    <s v="warm"/>
    <s v="quotes"/>
    <s v="avgt"/>
    <n v="1"/>
    <n v="10"/>
    <n v="0.29306199999999999"/>
    <n v="2.8573000000000001E-2"/>
    <s v="s/op"/>
    <x v="6"/>
  </r>
  <r>
    <x v="1"/>
    <x v="1"/>
    <m/>
    <s v="compile"/>
    <s v="avgt"/>
    <n v="1"/>
    <n v="10"/>
    <n v="11.966688"/>
    <n v="4.1779999999999998E-2"/>
    <s v="s/op"/>
    <x v="7"/>
  </r>
  <r>
    <x v="1"/>
    <x v="1"/>
    <m/>
    <s v="interp"/>
    <s v="avgt"/>
    <n v="1"/>
    <n v="10"/>
    <n v="4.8750000000000002E-2"/>
    <n v="4.2499999999999998E-4"/>
    <s v="s/op"/>
    <x v="8"/>
  </r>
  <r>
    <x v="1"/>
    <x v="1"/>
    <s v="preprofiled"/>
    <s v="compile"/>
    <s v="avgt"/>
    <n v="1"/>
    <n v="10"/>
    <n v="14.571261"/>
    <n v="2.7924000000000001E-2"/>
    <s v="s/op"/>
    <x v="9"/>
  </r>
  <r>
    <x v="1"/>
    <x v="1"/>
    <s v="preprofiled"/>
    <s v="interp"/>
    <s v="avgt"/>
    <n v="1"/>
    <n v="10"/>
    <n v="5.8762000000000002E-2"/>
    <n v="4.3399999999999998E-4"/>
    <s v="s/op"/>
    <x v="10"/>
  </r>
  <r>
    <x v="1"/>
    <x v="1"/>
    <s v="profile"/>
    <s v="compile"/>
    <s v="avgt"/>
    <n v="1"/>
    <n v="10"/>
    <n v="33.316645000000001"/>
    <n v="5.9617000000000003E-2"/>
    <s v="s/op"/>
    <x v="11"/>
  </r>
  <r>
    <x v="1"/>
    <x v="1"/>
    <s v="profile"/>
    <s v="interp"/>
    <s v="avgt"/>
    <n v="1"/>
    <n v="10"/>
    <n v="0.119134"/>
    <n v="7.94E-4"/>
    <s v="s/op"/>
    <x v="12"/>
  </r>
  <r>
    <x v="2"/>
    <x v="0"/>
    <s v="jar"/>
    <s v="bytecode"/>
    <s v="avgt"/>
    <n v="1"/>
    <n v="10"/>
    <n v="0.90010400000000002"/>
    <n v="4.2009999999999999E-3"/>
    <s v="s/op"/>
    <x v="0"/>
  </r>
  <r>
    <x v="2"/>
    <x v="0"/>
    <s v="jar"/>
    <s v="lambda"/>
    <s v="avgt"/>
    <n v="1"/>
    <n v="10"/>
    <n v="0.784304"/>
    <n v="4.0610000000000004E-3"/>
    <s v="s/op"/>
    <x v="1"/>
  </r>
  <r>
    <x v="2"/>
    <x v="0"/>
    <s v="jar"/>
    <s v="quotes"/>
    <s v="avgt"/>
    <n v="1"/>
    <n v="10"/>
    <n v="3.7366269999999999"/>
    <n v="5.7711999999999999E-2"/>
    <s v="s/op"/>
    <x v="2"/>
  </r>
  <r>
    <x v="2"/>
    <x v="0"/>
    <s v="native"/>
    <s v="lambda"/>
    <s v="avgt"/>
    <n v="1"/>
    <n v="10"/>
    <n v="2.8162E-2"/>
    <n v="2.2000000000000001E-4"/>
    <s v="s/op"/>
    <x v="3"/>
  </r>
  <r>
    <x v="2"/>
    <x v="0"/>
    <s v="warm"/>
    <s v="bytecode"/>
    <s v="avgt"/>
    <n v="1"/>
    <n v="10"/>
    <n v="6.6579999999999999E-3"/>
    <n v="3.2560000000000002E-3"/>
    <s v="s/op"/>
    <x v="4"/>
  </r>
  <r>
    <x v="2"/>
    <x v="0"/>
    <s v="warm"/>
    <s v="lambda"/>
    <s v="avgt"/>
    <n v="1"/>
    <n v="10"/>
    <n v="3.3300000000000002E-4"/>
    <n v="5.0000000000000004E-6"/>
    <s v="s/op"/>
    <x v="5"/>
  </r>
  <r>
    <x v="2"/>
    <x v="0"/>
    <s v="warm"/>
    <s v="quotes"/>
    <s v="avgt"/>
    <n v="1"/>
    <n v="10"/>
    <n v="0.18262100000000001"/>
    <n v="1.7066999999999999E-2"/>
    <s v="s/op"/>
    <x v="6"/>
  </r>
  <r>
    <x v="2"/>
    <x v="1"/>
    <m/>
    <s v="compile"/>
    <s v="avgt"/>
    <n v="1"/>
    <n v="10"/>
    <n v="10.656075"/>
    <n v="4.7767999999999998E-2"/>
    <s v="s/op"/>
    <x v="7"/>
  </r>
  <r>
    <x v="2"/>
    <x v="1"/>
    <m/>
    <s v="interp"/>
    <s v="avgt"/>
    <n v="1"/>
    <n v="10"/>
    <n v="3.8094999999999997E-2"/>
    <n v="3.7500000000000001E-4"/>
    <s v="s/op"/>
    <x v="8"/>
  </r>
  <r>
    <x v="2"/>
    <x v="1"/>
    <s v="preprofiled"/>
    <s v="compile"/>
    <s v="avgt"/>
    <n v="1"/>
    <n v="10"/>
    <n v="11.251234"/>
    <n v="0.14021900000000001"/>
    <s v="s/op"/>
    <x v="9"/>
  </r>
  <r>
    <x v="2"/>
    <x v="1"/>
    <s v="preprofiled"/>
    <s v="interp"/>
    <s v="avgt"/>
    <n v="1"/>
    <n v="10"/>
    <n v="4.5587000000000003E-2"/>
    <n v="3.5599999999999998E-4"/>
    <s v="s/op"/>
    <x v="10"/>
  </r>
  <r>
    <x v="2"/>
    <x v="1"/>
    <s v="profile"/>
    <s v="compile"/>
    <s v="avgt"/>
    <n v="1"/>
    <n v="10"/>
    <n v="25.612808000000001"/>
    <n v="8.4862000000000007E-2"/>
    <s v="s/op"/>
    <x v="11"/>
  </r>
  <r>
    <x v="2"/>
    <x v="1"/>
    <s v="profile"/>
    <s v="interp"/>
    <s v="avgt"/>
    <n v="1"/>
    <n v="10"/>
    <n v="9.3368999999999994E-2"/>
    <n v="4.9399999999999997E-4"/>
    <s v="s/op"/>
    <x v="12"/>
  </r>
  <r>
    <x v="3"/>
    <x v="0"/>
    <s v="jar"/>
    <s v="bytecode"/>
    <s v="avgt"/>
    <n v="1"/>
    <n v="10"/>
    <n v="1.0073799999999999"/>
    <n v="6.3400000000000001E-3"/>
    <s v="s/op"/>
    <x v="0"/>
  </r>
  <r>
    <x v="3"/>
    <x v="0"/>
    <s v="jar"/>
    <s v="lambda"/>
    <s v="avgt"/>
    <n v="1"/>
    <n v="10"/>
    <n v="0.86087400000000003"/>
    <n v="6.8339999999999998E-3"/>
    <s v="s/op"/>
    <x v="1"/>
  </r>
  <r>
    <x v="3"/>
    <x v="0"/>
    <s v="jar"/>
    <s v="quotes"/>
    <s v="avgt"/>
    <n v="1"/>
    <n v="10"/>
    <n v="4.2692620000000003"/>
    <n v="5.3913000000000003E-2"/>
    <s v="s/op"/>
    <x v="2"/>
  </r>
  <r>
    <x v="3"/>
    <x v="0"/>
    <s v="native"/>
    <s v="lambda"/>
    <s v="avgt"/>
    <n v="1"/>
    <n v="10"/>
    <n v="3.8116999999999998E-2"/>
    <n v="4.0000000000000002E-4"/>
    <s v="s/op"/>
    <x v="3"/>
  </r>
  <r>
    <x v="3"/>
    <x v="0"/>
    <s v="warm"/>
    <s v="bytecode"/>
    <s v="avgt"/>
    <n v="1"/>
    <n v="10"/>
    <n v="1.5528999999999999E-2"/>
    <n v="5.5789999999999998E-3"/>
    <s v="s/op"/>
    <x v="4"/>
  </r>
  <r>
    <x v="3"/>
    <x v="0"/>
    <s v="warm"/>
    <s v="lambda"/>
    <s v="avgt"/>
    <n v="1"/>
    <n v="10"/>
    <n v="2.1819999999999999E-3"/>
    <n v="3.6000000000000001E-5"/>
    <s v="s/op"/>
    <x v="5"/>
  </r>
  <r>
    <x v="3"/>
    <x v="0"/>
    <s v="warm"/>
    <s v="quotes"/>
    <s v="avgt"/>
    <n v="1"/>
    <n v="10"/>
    <n v="0.29928900000000003"/>
    <n v="3.6414000000000002E-2"/>
    <s v="s/op"/>
    <x v="6"/>
  </r>
  <r>
    <x v="3"/>
    <x v="1"/>
    <m/>
    <s v="compile"/>
    <s v="avgt"/>
    <n v="1"/>
    <n v="10"/>
    <n v="10.824192"/>
    <n v="5.1794E-2"/>
    <s v="s/op"/>
    <x v="7"/>
  </r>
  <r>
    <x v="3"/>
    <x v="1"/>
    <m/>
    <s v="interp"/>
    <s v="avgt"/>
    <n v="1"/>
    <n v="10"/>
    <n v="3.9987000000000002E-2"/>
    <n v="3.8400000000000001E-4"/>
    <s v="s/op"/>
    <x v="8"/>
  </r>
  <r>
    <x v="3"/>
    <x v="1"/>
    <s v="preprofiled"/>
    <s v="compile"/>
    <s v="avgt"/>
    <n v="1"/>
    <n v="10"/>
    <n v="11.749051"/>
    <n v="5.0685000000000001E-2"/>
    <s v="s/op"/>
    <x v="9"/>
  </r>
  <r>
    <x v="3"/>
    <x v="1"/>
    <s v="preprofiled"/>
    <s v="interp"/>
    <s v="avgt"/>
    <n v="1"/>
    <n v="10"/>
    <n v="5.2561999999999998E-2"/>
    <n v="6.1799999999999995E-4"/>
    <s v="s/op"/>
    <x v="10"/>
  </r>
  <r>
    <x v="3"/>
    <x v="1"/>
    <s v="profile"/>
    <s v="compile"/>
    <s v="avgt"/>
    <n v="1"/>
    <n v="10"/>
    <n v="25.712885"/>
    <n v="6.0566000000000002E-2"/>
    <s v="s/op"/>
    <x v="11"/>
  </r>
  <r>
    <x v="3"/>
    <x v="1"/>
    <s v="profile"/>
    <s v="interp"/>
    <s v="avgt"/>
    <n v="1"/>
    <n v="10"/>
    <n v="0.10813300000000001"/>
    <n v="1.1709999999999999E-3"/>
    <s v="s/op"/>
    <x v="12"/>
  </r>
  <r>
    <x v="4"/>
    <x v="0"/>
    <s v="jar"/>
    <s v="bytecode"/>
    <s v="avgt"/>
    <n v="1"/>
    <n v="10"/>
    <n v="0.90143600000000002"/>
    <n v="4.8129999999999996E-3"/>
    <s v="s/op"/>
    <x v="0"/>
  </r>
  <r>
    <x v="4"/>
    <x v="0"/>
    <s v="jar"/>
    <s v="lambda"/>
    <s v="avgt"/>
    <n v="1"/>
    <n v="10"/>
    <n v="0.78787300000000005"/>
    <n v="5.2849999999999998E-3"/>
    <s v="s/op"/>
    <x v="1"/>
  </r>
  <r>
    <x v="4"/>
    <x v="0"/>
    <s v="jar"/>
    <s v="quotes"/>
    <s v="avgt"/>
    <n v="1"/>
    <n v="10"/>
    <n v="3.6039650000000001"/>
    <n v="5.6471E-2"/>
    <s v="s/op"/>
    <x v="2"/>
  </r>
  <r>
    <x v="4"/>
    <x v="0"/>
    <s v="native"/>
    <s v="lambda"/>
    <s v="avgt"/>
    <n v="1"/>
    <n v="10"/>
    <n v="2.8805999999999998E-2"/>
    <n v="1.95E-4"/>
    <s v="s/op"/>
    <x v="3"/>
  </r>
  <r>
    <x v="4"/>
    <x v="0"/>
    <s v="warm"/>
    <s v="bytecode"/>
    <s v="avgt"/>
    <n v="1"/>
    <n v="10"/>
    <n v="6.0569999999999999E-3"/>
    <n v="2.078E-3"/>
    <s v="s/op"/>
    <x v="4"/>
  </r>
  <r>
    <x v="4"/>
    <x v="0"/>
    <s v="warm"/>
    <s v="lambda"/>
    <s v="avgt"/>
    <n v="1"/>
    <n v="10"/>
    <n v="5.0799999999999999E-4"/>
    <n v="3.9999999999999998E-6"/>
    <s v="s/op"/>
    <x v="5"/>
  </r>
  <r>
    <x v="4"/>
    <x v="0"/>
    <s v="warm"/>
    <s v="quotes"/>
    <s v="avgt"/>
    <n v="1"/>
    <n v="10"/>
    <n v="0.16596900000000001"/>
    <n v="1.6036999999999999E-2"/>
    <s v="s/op"/>
    <x v="6"/>
  </r>
  <r>
    <x v="4"/>
    <x v="1"/>
    <m/>
    <s v="compile"/>
    <s v="avgt"/>
    <n v="1"/>
    <n v="10"/>
    <n v="10.119536999999999"/>
    <n v="3.1586000000000003E-2"/>
    <s v="s/op"/>
    <x v="7"/>
  </r>
  <r>
    <x v="4"/>
    <x v="1"/>
    <m/>
    <s v="interp"/>
    <s v="avgt"/>
    <n v="1"/>
    <n v="10"/>
    <n v="3.8824999999999998E-2"/>
    <n v="3.1599999999999998E-4"/>
    <s v="s/op"/>
    <x v="8"/>
  </r>
  <r>
    <x v="4"/>
    <x v="1"/>
    <s v="preprofiled"/>
    <s v="compile"/>
    <s v="avgt"/>
    <n v="1"/>
    <n v="10"/>
    <n v="10.179713"/>
    <n v="3.6857000000000001E-2"/>
    <s v="s/op"/>
    <x v="9"/>
  </r>
  <r>
    <x v="4"/>
    <x v="1"/>
    <s v="preprofiled"/>
    <s v="interp"/>
    <s v="avgt"/>
    <n v="1"/>
    <n v="10"/>
    <n v="4.6283999999999999E-2"/>
    <n v="3.7800000000000003E-4"/>
    <s v="s/op"/>
    <x v="10"/>
  </r>
  <r>
    <x v="4"/>
    <x v="1"/>
    <s v="profile"/>
    <s v="compile"/>
    <s v="avgt"/>
    <n v="1"/>
    <n v="10"/>
    <n v="23.609202"/>
    <n v="6.6269999999999996E-2"/>
    <s v="s/op"/>
    <x v="11"/>
  </r>
  <r>
    <x v="4"/>
    <x v="1"/>
    <s v="profile"/>
    <s v="interp"/>
    <s v="avgt"/>
    <n v="1"/>
    <n v="10"/>
    <n v="9.2691999999999997E-2"/>
    <n v="7.7399999999999995E-4"/>
    <s v="s/op"/>
    <x v="12"/>
  </r>
  <r>
    <x v="5"/>
    <x v="0"/>
    <s v="jar"/>
    <s v="bytecode"/>
    <s v="avgt"/>
    <n v="1"/>
    <n v="10"/>
    <n v="3.8663159999999999"/>
    <n v="0.46958299999999997"/>
    <s v="s/op"/>
    <x v="0"/>
  </r>
  <r>
    <x v="5"/>
    <x v="0"/>
    <s v="jar"/>
    <s v="lambda"/>
    <s v="avgt"/>
    <n v="1"/>
    <n v="10"/>
    <n v="3.438129"/>
    <n v="9.6368999999999996E-2"/>
    <s v="s/op"/>
    <x v="1"/>
  </r>
  <r>
    <x v="5"/>
    <x v="0"/>
    <s v="jar"/>
    <s v="quotes"/>
    <s v="avgt"/>
    <n v="1"/>
    <n v="10"/>
    <n v="18.116986000000001"/>
    <n v="0.62967600000000001"/>
    <s v="s/op"/>
    <x v="2"/>
  </r>
  <r>
    <x v="5"/>
    <x v="0"/>
    <s v="native"/>
    <s v="lambda"/>
    <s v="avgt"/>
    <n v="1"/>
    <n v="10"/>
    <n v="4.5163229999999999"/>
    <n v="8.175E-3"/>
    <s v="s/op"/>
    <x v="3"/>
  </r>
  <r>
    <x v="5"/>
    <x v="0"/>
    <s v="warm"/>
    <s v="bytecode"/>
    <s v="avgt"/>
    <n v="1"/>
    <n v="10"/>
    <n v="1.014974"/>
    <n v="7.4326000000000003E-2"/>
    <s v="s/op"/>
    <x v="4"/>
  </r>
  <r>
    <x v="5"/>
    <x v="0"/>
    <s v="warm"/>
    <s v="lambda"/>
    <s v="avgt"/>
    <n v="1"/>
    <n v="10"/>
    <n v="0.68038200000000004"/>
    <n v="7.4409999999999997E-3"/>
    <s v="s/op"/>
    <x v="5"/>
  </r>
  <r>
    <x v="5"/>
    <x v="0"/>
    <s v="warm"/>
    <s v="quotes"/>
    <s v="avgt"/>
    <n v="1"/>
    <n v="10"/>
    <n v="6.7278149999999997"/>
    <n v="0.61003700000000005"/>
    <s v="s/op"/>
    <x v="6"/>
  </r>
  <r>
    <x v="5"/>
    <x v="1"/>
    <m/>
    <s v="compile"/>
    <s v="avgt"/>
    <n v="1"/>
    <n v="10"/>
    <n v="22.159656999999999"/>
    <n v="5.8845000000000001E-2"/>
    <s v="s/op"/>
    <x v="7"/>
  </r>
  <r>
    <x v="5"/>
    <x v="1"/>
    <m/>
    <s v="interp"/>
    <s v="avgt"/>
    <n v="1"/>
    <n v="10"/>
    <n v="0.13572600000000001"/>
    <n v="5.9900000000000003E-4"/>
    <s v="s/op"/>
    <x v="8"/>
  </r>
  <r>
    <x v="5"/>
    <x v="1"/>
    <s v="preprofiled"/>
    <s v="compile"/>
    <s v="avgt"/>
    <n v="1"/>
    <n v="10"/>
    <n v="24.830204999999999"/>
    <n v="9.0885999999999995E-2"/>
    <s v="s/op"/>
    <x v="9"/>
  </r>
  <r>
    <x v="5"/>
    <x v="1"/>
    <s v="preprofiled"/>
    <s v="interp"/>
    <s v="avgt"/>
    <n v="1"/>
    <n v="10"/>
    <n v="0.206454"/>
    <n v="9.59E-4"/>
    <s v="s/op"/>
    <x v="10"/>
  </r>
  <r>
    <x v="5"/>
    <x v="1"/>
    <s v="profile"/>
    <s v="compile"/>
    <s v="avgt"/>
    <n v="1"/>
    <n v="10"/>
    <n v="58.833680000000001"/>
    <n v="0.14668900000000001"/>
    <s v="s/op"/>
    <x v="11"/>
  </r>
  <r>
    <x v="5"/>
    <x v="1"/>
    <s v="profile"/>
    <s v="interp"/>
    <s v="avgt"/>
    <n v="1"/>
    <n v="10"/>
    <n v="0.49130000000000001"/>
    <n v="2.8319999999999999E-3"/>
    <s v="s/op"/>
    <x v="12"/>
  </r>
  <r>
    <x v="6"/>
    <x v="0"/>
    <s v="jar"/>
    <s v="bytecode"/>
    <s v="avgt"/>
    <n v="1"/>
    <n v="10"/>
    <n v="4.5726149999999999"/>
    <n v="0.31332500000000002"/>
    <s v="s/op"/>
    <x v="0"/>
  </r>
  <r>
    <x v="6"/>
    <x v="0"/>
    <s v="jar"/>
    <s v="lambda"/>
    <s v="avgt"/>
    <n v="1"/>
    <n v="10"/>
    <n v="3.455104"/>
    <n v="0.16347400000000001"/>
    <s v="s/op"/>
    <x v="1"/>
  </r>
  <r>
    <x v="6"/>
    <x v="0"/>
    <s v="jar"/>
    <s v="quotes"/>
    <s v="avgt"/>
    <n v="1"/>
    <n v="10"/>
    <n v="18.385228000000001"/>
    <n v="0.65254699999999999"/>
    <s v="s/op"/>
    <x v="2"/>
  </r>
  <r>
    <x v="6"/>
    <x v="0"/>
    <s v="native"/>
    <s v="lambda"/>
    <s v="avgt"/>
    <n v="1"/>
    <n v="10"/>
    <n v="4.5736220000000003"/>
    <n v="6.4075999999999994E-2"/>
    <s v="s/op"/>
    <x v="3"/>
  </r>
  <r>
    <x v="6"/>
    <x v="0"/>
    <s v="warm"/>
    <s v="bytecode"/>
    <s v="avgt"/>
    <n v="1"/>
    <n v="10"/>
    <n v="1.0331060000000001"/>
    <n v="8.4845000000000004E-2"/>
    <s v="s/op"/>
    <x v="4"/>
  </r>
  <r>
    <x v="6"/>
    <x v="0"/>
    <s v="warm"/>
    <s v="lambda"/>
    <s v="avgt"/>
    <n v="1"/>
    <n v="10"/>
    <n v="0.80602799999999997"/>
    <n v="1.4597000000000001E-2"/>
    <s v="s/op"/>
    <x v="5"/>
  </r>
  <r>
    <x v="6"/>
    <x v="0"/>
    <s v="warm"/>
    <s v="quotes"/>
    <s v="avgt"/>
    <n v="1"/>
    <n v="10"/>
    <n v="6.7296189999999996"/>
    <n v="0.533335"/>
    <s v="s/op"/>
    <x v="6"/>
  </r>
  <r>
    <x v="6"/>
    <x v="1"/>
    <m/>
    <s v="compile"/>
    <s v="avgt"/>
    <n v="1"/>
    <n v="10"/>
    <n v="22.767716"/>
    <n v="6.7512000000000003E-2"/>
    <s v="s/op"/>
    <x v="7"/>
  </r>
  <r>
    <x v="6"/>
    <x v="1"/>
    <m/>
    <s v="interp"/>
    <s v="avgt"/>
    <n v="1"/>
    <n v="10"/>
    <n v="0.146061"/>
    <n v="7.7999999999999999E-4"/>
    <s v="s/op"/>
    <x v="8"/>
  </r>
  <r>
    <x v="6"/>
    <x v="1"/>
    <s v="preprofiled"/>
    <s v="compile"/>
    <s v="avgt"/>
    <n v="1"/>
    <n v="10"/>
    <n v="26.354303999999999"/>
    <n v="8.2498000000000002E-2"/>
    <s v="s/op"/>
    <x v="9"/>
  </r>
  <r>
    <x v="6"/>
    <x v="1"/>
    <s v="preprofiled"/>
    <s v="interp"/>
    <s v="avgt"/>
    <n v="1"/>
    <n v="10"/>
    <n v="0.221161"/>
    <n v="7.3099999999999999E-4"/>
    <s v="s/op"/>
    <x v="10"/>
  </r>
  <r>
    <x v="6"/>
    <x v="1"/>
    <s v="profile"/>
    <s v="compile"/>
    <s v="avgt"/>
    <n v="1"/>
    <n v="10"/>
    <n v="63.08887"/>
    <n v="0.215528"/>
    <s v="s/op"/>
    <x v="11"/>
  </r>
  <r>
    <x v="6"/>
    <x v="1"/>
    <s v="profile"/>
    <s v="interp"/>
    <s v="avgt"/>
    <n v="1"/>
    <n v="10"/>
    <n v="0.52680800000000005"/>
    <n v="2.4020000000000001E-3"/>
    <s v="s/op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7F1EB-ADC6-A64B-B163-1AEA1A1223ED}" name="PivotTable3" cacheId="6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>
  <location ref="M25:Q39" firstHeaderRow="1" firstDataRow="2" firstDataCol="1"/>
  <pivotFields count="11">
    <pivotField axis="axisCol" showAll="0" defaultSubtotal="0">
      <items count="10">
        <item x="0"/>
        <item h="1" m="1" x="7"/>
        <item h="1" x="2"/>
        <item h="1" x="3"/>
        <item h="1" x="4"/>
        <item h="1" m="1" x="8"/>
        <item h="1" m="1" x="9"/>
        <item x="1"/>
        <item x="5"/>
        <item x="6"/>
      </items>
    </pivotField>
    <pivotField axis="axisRow" showAll="0" defaultSubtotal="0">
      <items count="2">
        <item x="0"/>
        <item x="1"/>
      </items>
    </pivotField>
    <pivotField subtotalTop="0" showAll="0" defaultSubtotal="0"/>
    <pivotField showAll="0" defaultSubtotal="0"/>
    <pivotField showAll="0" defaultSubtotal="0"/>
    <pivotField subtotalTop="0" showAll="0" defaultSubtotal="0"/>
    <pivotField subtotalTop="0" showAll="0" defaultSubtotal="0"/>
    <pivotField dataField="1" numFmtId="2" showAll="0" defaultSubtotal="0"/>
    <pivotField subtotalTop="0" showAll="0" defaultSubtotal="0"/>
    <pivotField subtotalTop="0" showAll="0" defaultSubtotal="0"/>
    <pivotField axis="axisRow" subtotalTop="0" showAll="0" defaultSubtotal="0">
      <items count="13">
        <item h="1" x="7"/>
        <item h="1" x="8"/>
        <item x="0"/>
        <item x="1"/>
        <item x="2"/>
        <item x="3"/>
        <item x="11"/>
        <item x="12"/>
        <item x="4"/>
        <item x="5"/>
        <item x="6"/>
        <item x="9"/>
        <item x="10"/>
      </items>
    </pivotField>
  </pivotFields>
  <rowFields count="2">
    <field x="1"/>
    <field x="10"/>
  </rowFields>
  <rowItems count="13">
    <i>
      <x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>
      <x v="1"/>
    </i>
    <i r="1">
      <x v="6"/>
    </i>
    <i r="1">
      <x v="7"/>
    </i>
    <i r="1">
      <x v="11"/>
    </i>
    <i r="1">
      <x v="12"/>
    </i>
  </rowItems>
  <colFields count="1">
    <field x="0"/>
  </colFields>
  <colItems count="4">
    <i>
      <x/>
    </i>
    <i>
      <x v="7"/>
    </i>
    <i>
      <x v="8"/>
    </i>
    <i>
      <x v="9"/>
    </i>
  </colItems>
  <dataFields count="1">
    <dataField name="Sum of Score" fld="7" baseField="0" baseItem="0"/>
  </dataFields>
  <formats count="1">
    <format dxfId="39">
      <pivotArea type="all" dataOnly="0" outline="0" fieldPosition="0"/>
    </format>
  </formats>
  <chartFormats count="32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5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8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9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0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6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7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1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F3330-01A2-B443-A217-279BC0E659D3}" name="PivotTable4" cacheId="6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M2:T18" firstHeaderRow="1" firstDataRow="2" firstDataCol="1"/>
  <pivotFields count="11">
    <pivotField axis="axisCol" showAll="0" defaultSubtotal="0">
      <items count="10">
        <item x="0"/>
        <item m="1" x="7"/>
        <item x="2"/>
        <item x="3"/>
        <item x="4"/>
        <item m="1" x="8"/>
        <item m="1" x="9"/>
        <item x="1"/>
        <item x="5"/>
        <item x="6"/>
      </items>
    </pivotField>
    <pivotField axis="axisRow" showAll="0" defaultSubtotal="0">
      <items count="2">
        <item x="0"/>
        <item x="1"/>
      </items>
    </pivotField>
    <pivotField subtotalTop="0" showAll="0" defaultSubtotal="0"/>
    <pivotField showAll="0" defaultSubtotal="0"/>
    <pivotField showAll="0" defaultSubtotal="0"/>
    <pivotField subtotalTop="0" showAll="0" defaultSubtotal="0"/>
    <pivotField subtotalTop="0" showAll="0" defaultSubtotal="0"/>
    <pivotField dataField="1" numFmtId="2" showAll="0" defaultSubtotal="0"/>
    <pivotField subtotalTop="0" showAll="0" defaultSubtotal="0"/>
    <pivotField subtotalTop="0" showAll="0" defaultSubtotal="0"/>
    <pivotField axis="axisRow" subtotalTop="0" showAll="0" defaultSubtotal="0">
      <items count="13">
        <item x="7"/>
        <item x="8"/>
        <item x="0"/>
        <item x="1"/>
        <item x="2"/>
        <item x="3"/>
        <item x="11"/>
        <item x="12"/>
        <item x="4"/>
        <item x="5"/>
        <item x="6"/>
        <item x="9"/>
        <item x="10"/>
      </items>
    </pivotField>
  </pivotFields>
  <rowFields count="2">
    <field x="1"/>
    <field x="10"/>
  </rowFields>
  <rowItems count="15">
    <i>
      <x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>
      <x v="1"/>
    </i>
    <i r="1">
      <x/>
    </i>
    <i r="1">
      <x v="1"/>
    </i>
    <i r="1">
      <x v="6"/>
    </i>
    <i r="1">
      <x v="7"/>
    </i>
    <i r="1">
      <x v="11"/>
    </i>
    <i r="1">
      <x v="12"/>
    </i>
  </rowItems>
  <colFields count="1">
    <field x="0"/>
  </colFields>
  <colItems count="7">
    <i>
      <x/>
    </i>
    <i>
      <x v="2"/>
    </i>
    <i>
      <x v="3"/>
    </i>
    <i>
      <x v="4"/>
    </i>
    <i>
      <x v="7"/>
    </i>
    <i>
      <x v="8"/>
    </i>
    <i>
      <x v="9"/>
    </i>
  </colItems>
  <dataFields count="1">
    <dataField name="Sum of Score" fld="7" baseField="0" baseItem="0"/>
  </dataFields>
  <formats count="1">
    <format dxfId="4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13_fpj46_clean_1" connectionId="2" xr16:uid="{1A52B0D9-6FF9-7845-93A9-7DB2E49AD8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24-rerun46-bs1046_clean" connectionId="4" xr16:uid="{15DB84C5-0D4D-EA44-A947-D8A8561292A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13-fpj46_clean" connectionId="1" xr16:uid="{D1D7CA97-B5A3-CE49-90DC-38BD9273B74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24_rerun46_bs1046_clean_1" connectionId="5" xr16:uid="{C0DA35BC-2B88-5D4D-A24F-3D17A5A8A94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1_souf_preprofile46_clean_2" connectionId="8" xr16:uid="{56A44570-FF6D-0D44-A544-9399BF99734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1_souf_preprofile46_clean_1" connectionId="7" xr16:uid="{9FC2DD97-83C7-5C4D-B794-4B3C4D7DD76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1-souf-preprofile46_clean" connectionId="6" xr16:uid="{8373087B-8FC8-CD47-8333-001DFF8C84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23-souffle46" connectionId="3" xr16:uid="{95B1A48C-8FCE-2A47-A612-188DEADC64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7" Type="http://schemas.openxmlformats.org/officeDocument/2006/relationships/queryTable" Target="../queryTables/queryTable8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D41-B330-BC4D-86D7-0EB1B949FEA3}">
  <dimension ref="A1:CX399"/>
  <sheetViews>
    <sheetView tabSelected="1" zoomScale="50" zoomScaleNormal="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baseColWidth="10" defaultRowHeight="16" x14ac:dyDescent="0.2"/>
  <cols>
    <col min="1" max="1" width="29.33203125" customWidth="1"/>
    <col min="2" max="2" width="20.83203125" customWidth="1"/>
    <col min="3" max="3" width="18" customWidth="1"/>
    <col min="4" max="4" width="20.1640625" customWidth="1"/>
    <col min="5" max="5" width="24.83203125" customWidth="1"/>
    <col min="6" max="6" width="22.6640625" customWidth="1"/>
    <col min="7" max="7" width="21.6640625" customWidth="1"/>
    <col min="8" max="8" width="17.5" customWidth="1"/>
    <col min="9" max="9" width="21.33203125" customWidth="1"/>
    <col min="10" max="10" width="14.1640625" customWidth="1"/>
    <col min="11" max="11" width="19.33203125" customWidth="1"/>
    <col min="12" max="12" width="17.6640625" customWidth="1"/>
    <col min="13" max="13" width="26.83203125" customWidth="1"/>
    <col min="14" max="14" width="18.6640625" customWidth="1"/>
    <col min="15" max="15" width="14.6640625" style="1" customWidth="1"/>
    <col min="16" max="16" width="23.33203125" customWidth="1"/>
    <col min="17" max="17" width="16.33203125" customWidth="1"/>
    <col min="18" max="18" width="32.6640625" customWidth="1"/>
    <col min="19" max="19" width="20" customWidth="1"/>
    <col min="20" max="20" width="22.1640625" customWidth="1"/>
    <col min="21" max="21" width="21.5" customWidth="1"/>
    <col min="22" max="22" width="25.33203125" customWidth="1"/>
    <col min="23" max="23" width="42.6640625" style="2" customWidth="1"/>
    <col min="24" max="24" width="22.83203125" customWidth="1"/>
    <col min="25" max="25" width="21.1640625" customWidth="1"/>
    <col min="26" max="26" width="28" customWidth="1"/>
    <col min="27" max="27" width="18" customWidth="1"/>
    <col min="28" max="28" width="18.6640625" customWidth="1"/>
    <col min="29" max="29" width="17.33203125" customWidth="1"/>
    <col min="31" max="31" width="23.6640625" customWidth="1"/>
    <col min="32" max="32" width="17.6640625" customWidth="1"/>
    <col min="33" max="33" width="26.33203125" customWidth="1"/>
    <col min="34" max="34" width="14.1640625" customWidth="1"/>
    <col min="35" max="35" width="15" customWidth="1"/>
    <col min="43" max="43" width="17.5" customWidth="1"/>
    <col min="44" max="44" width="12.33203125" bestFit="1" customWidth="1"/>
    <col min="45" max="45" width="11.5" bestFit="1" customWidth="1"/>
    <col min="46" max="46" width="20.1640625" customWidth="1"/>
    <col min="48" max="48" width="18.83203125" customWidth="1"/>
    <col min="49" max="49" width="20.6640625" customWidth="1"/>
  </cols>
  <sheetData>
    <row r="1" spans="1:10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7"/>
      <c r="P1" s="8"/>
      <c r="Q1" s="8"/>
      <c r="R1" s="8"/>
    </row>
    <row r="2" spans="1:102" s="3" customFormat="1" ht="17" x14ac:dyDescent="0.2">
      <c r="A2" s="15" t="s">
        <v>0</v>
      </c>
      <c r="B2" s="15" t="s">
        <v>120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/>
      <c r="L2" s="15" t="s">
        <v>86</v>
      </c>
      <c r="M2" s="15" t="s">
        <v>87</v>
      </c>
      <c r="N2" s="15" t="s">
        <v>88</v>
      </c>
      <c r="O2" s="15" t="s">
        <v>9</v>
      </c>
      <c r="P2" s="15" t="s">
        <v>10</v>
      </c>
      <c r="Q2" s="15" t="s">
        <v>11</v>
      </c>
      <c r="R2" s="13" t="s">
        <v>12</v>
      </c>
      <c r="V2" s="11" t="s">
        <v>13</v>
      </c>
      <c r="W2" s="12"/>
      <c r="X2" s="11"/>
      <c r="Y2" s="11"/>
      <c r="Z2" s="11"/>
      <c r="AA2" s="11"/>
      <c r="AB2" s="11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13"/>
      <c r="CR2" s="13"/>
      <c r="CS2" s="13"/>
      <c r="CT2" s="13"/>
      <c r="CU2" s="13"/>
      <c r="CV2" s="13"/>
      <c r="CW2" s="13"/>
      <c r="CX2" s="13"/>
    </row>
    <row r="3" spans="1:102" x14ac:dyDescent="0.2">
      <c r="A3" s="15" t="s">
        <v>14</v>
      </c>
      <c r="B3" s="15" t="s">
        <v>15</v>
      </c>
      <c r="C3" s="15" t="s">
        <v>16</v>
      </c>
      <c r="D3" s="15" t="s">
        <v>17</v>
      </c>
      <c r="E3" s="15" t="s">
        <v>28</v>
      </c>
      <c r="F3" s="15"/>
      <c r="G3" s="15">
        <v>0</v>
      </c>
      <c r="H3" s="15"/>
      <c r="I3" s="15"/>
      <c r="J3" s="15"/>
      <c r="K3" s="15"/>
      <c r="L3" s="15" t="s">
        <v>19</v>
      </c>
      <c r="M3" s="15">
        <v>1</v>
      </c>
      <c r="N3" s="15">
        <v>10</v>
      </c>
      <c r="O3" s="15">
        <v>0.25847100000000001</v>
      </c>
      <c r="P3" s="15">
        <v>8.0000000000000002E-3</v>
      </c>
      <c r="Q3" s="15" t="s">
        <v>20</v>
      </c>
      <c r="R3" s="8" t="str">
        <f>_xlfn.CONCAT(C3, "-", E3, "-", H3, "-", I3, "-", J3)</f>
        <v>interpreted-sel---</v>
      </c>
      <c r="V3" s="11"/>
      <c r="W3" s="12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</row>
    <row r="4" spans="1:102" x14ac:dyDescent="0.2">
      <c r="A4" s="15" t="s">
        <v>14</v>
      </c>
      <c r="B4" s="15" t="s">
        <v>15</v>
      </c>
      <c r="C4" s="15" t="s">
        <v>16</v>
      </c>
      <c r="D4" s="15" t="s">
        <v>17</v>
      </c>
      <c r="E4" s="15" t="s">
        <v>18</v>
      </c>
      <c r="F4" s="15"/>
      <c r="G4" s="15">
        <v>0</v>
      </c>
      <c r="H4" s="15"/>
      <c r="I4" s="15"/>
      <c r="J4" s="15"/>
      <c r="K4" s="15"/>
      <c r="L4" s="15" t="s">
        <v>19</v>
      </c>
      <c r="M4" s="15">
        <v>1</v>
      </c>
      <c r="N4" s="15">
        <v>10</v>
      </c>
      <c r="O4" s="15">
        <v>0.27220800000000001</v>
      </c>
      <c r="P4" s="15">
        <v>1.2999999999999999E-2</v>
      </c>
      <c r="Q4" s="15" t="s">
        <v>20</v>
      </c>
      <c r="R4" s="8" t="str">
        <f t="shared" ref="R4:R67" si="0">_xlfn.CONCAT(C4, "-", E4, "-", H4, "-", I4, "-", J4)</f>
        <v>interpreted-unordered---</v>
      </c>
      <c r="V4" s="11" t="s">
        <v>14</v>
      </c>
      <c r="W4" s="12" cm="1">
        <f t="array" ref="W4">INDEX($O:$O,MATCH(1,($V4=$A:$A)*("optimized"=$B:$B)*("interpreted"=$C:$C)*("unordered"=$E:$E),0))</f>
        <v>0.27220800000000001</v>
      </c>
      <c r="X4" s="11" cm="1">
        <f t="array" ref="X4">INDEX($P:$P,MATCH(1,($V4=$A:$A)*("optimized"=$B:$B)*("interpreted"=$C:$C)*("unordered"=$E:$E),0))</f>
        <v>1.2999999999999999E-2</v>
      </c>
      <c r="Y4" s="11" cm="1">
        <f t="array" ref="Y4">INDEX($O:$O,MATCH(1,($V4=$A:$A)*("worst"=$B:$B)*("interpreted"=$C:$C)*("unordered"=$E:$E),0))</f>
        <v>7.0011679999999998</v>
      </c>
      <c r="Z4" s="11" cm="1">
        <f t="array" ref="Z4">INDEX($P:$P,MATCH(1,($V4=$A:$A)*("worst"=$B:$B)*("interpreted"=$C:$C)*("unordered"=$E:$E),0))</f>
        <v>4.3999999999999997E-2</v>
      </c>
      <c r="AA4" s="11" t="b">
        <f>ABS(Y4-W4) &gt; MAX(X4,Z4)</f>
        <v>1</v>
      </c>
      <c r="AB4" s="11">
        <f>Y4/W4</f>
        <v>25.719920061129724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</row>
    <row r="5" spans="1:102" x14ac:dyDescent="0.2">
      <c r="A5" s="15" t="s">
        <v>14</v>
      </c>
      <c r="B5" s="15" t="s">
        <v>15</v>
      </c>
      <c r="C5" s="15" t="s">
        <v>27</v>
      </c>
      <c r="D5" s="15" t="s">
        <v>17</v>
      </c>
      <c r="E5" s="15" t="s">
        <v>28</v>
      </c>
      <c r="F5" s="15"/>
      <c r="G5" s="15">
        <v>0</v>
      </c>
      <c r="H5" s="15" t="s">
        <v>29</v>
      </c>
      <c r="I5" s="15" t="s">
        <v>35</v>
      </c>
      <c r="J5" s="15" t="s">
        <v>30</v>
      </c>
      <c r="K5" s="15"/>
      <c r="L5" s="15" t="s">
        <v>19</v>
      </c>
      <c r="M5" s="15">
        <v>1</v>
      </c>
      <c r="N5" s="15">
        <v>10</v>
      </c>
      <c r="O5" s="15">
        <v>0.53913</v>
      </c>
      <c r="P5" s="15">
        <v>4.1000000000000002E-2</v>
      </c>
      <c r="Q5" s="15" t="s">
        <v>20</v>
      </c>
      <c r="R5" s="8" t="str">
        <f t="shared" si="0"/>
        <v>jit-sel-async-ALL-bytecode</v>
      </c>
      <c r="V5" s="11" t="s">
        <v>32</v>
      </c>
      <c r="W5" s="12" cm="1">
        <f t="array" ref="W5">INDEX($O:$O,MATCH(1,($V5=$A:$A)*("optimized"=$B:$B)*("interpreted"=$C:$C)*("unordered"=$E:$E),0))</f>
        <v>8.064E-3</v>
      </c>
      <c r="X5" s="11" cm="1">
        <f t="array" ref="X5">INDEX($P:$P,MATCH(1,($V5=$A:$A)*("optimized"=$B:$B)*("interpreted"=$C:$C)*("unordered"=$E:$E),0))</f>
        <v>1E-4</v>
      </c>
      <c r="Y5" s="11" cm="1">
        <f t="array" ref="Y5">INDEX($O:$O,MATCH(1,($V5=$A:$A)*("worst"=$B:$B)*("interpreted"=$C:$C)*("unordered"=$E:$E),0))</f>
        <v>3.8313E-2</v>
      </c>
      <c r="Z5" s="11" cm="1">
        <f t="array" ref="Z5">INDEX($P:$P,MATCH(1,($V5=$A:$A)*("worst"=$B:$B)*("interpreted"=$C:$C)*("unordered"=$E:$E),0))</f>
        <v>1E-3</v>
      </c>
      <c r="AA5" s="11" t="b">
        <f t="shared" ref="AA5:AA10" si="1">ABS(Y5-W5) &gt; MAX(X5,Z5)</f>
        <v>1</v>
      </c>
      <c r="AB5" s="11">
        <f t="shared" ref="AB5:AB10" si="2">Y5/W5</f>
        <v>4.7511160714285712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</row>
    <row r="6" spans="1:102" x14ac:dyDescent="0.2">
      <c r="A6" s="15" t="s">
        <v>14</v>
      </c>
      <c r="B6" s="15" t="s">
        <v>15</v>
      </c>
      <c r="C6" s="15" t="s">
        <v>27</v>
      </c>
      <c r="D6" s="15" t="s">
        <v>17</v>
      </c>
      <c r="E6" s="15" t="s">
        <v>28</v>
      </c>
      <c r="F6" s="15"/>
      <c r="G6" s="15">
        <v>0</v>
      </c>
      <c r="H6" s="15" t="s">
        <v>29</v>
      </c>
      <c r="I6" s="15" t="s">
        <v>35</v>
      </c>
      <c r="J6" s="15" t="s">
        <v>31</v>
      </c>
      <c r="K6" s="15"/>
      <c r="L6" s="15" t="s">
        <v>19</v>
      </c>
      <c r="M6" s="15">
        <v>1</v>
      </c>
      <c r="N6" s="15">
        <v>10</v>
      </c>
      <c r="O6" s="15">
        <v>0.36682100000000001</v>
      </c>
      <c r="P6" s="15">
        <v>4.0000000000000001E-3</v>
      </c>
      <c r="Q6" s="15" t="s">
        <v>20</v>
      </c>
      <c r="R6" s="8" t="str">
        <f t="shared" si="0"/>
        <v>jit-sel-async-ALL-lambda</v>
      </c>
      <c r="V6" s="11" t="s">
        <v>34</v>
      </c>
      <c r="W6" s="12" cm="1">
        <f t="array" ref="W6">INDEX($O:$O,MATCH(1,($V6=$A:$A)*("optimized"=$B:$B)*("interpreted"=$C:$C)*("unordered"=$E:$E),0))</f>
        <v>1.9880999999999999E-2</v>
      </c>
      <c r="X6" s="11" cm="1">
        <f t="array" ref="X6">INDEX($P:$P,MATCH(1,($V6=$A:$A)*("optimized"=$B:$B)*("interpreted"=$C:$C)*("unordered"=$E:$E),0))</f>
        <v>2.9999999999999997E-4</v>
      </c>
      <c r="Y6" s="11" cm="1">
        <f t="array" ref="Y6">INDEX($O:$O,MATCH(1,($V6=$A:$A)*("worst"=$B:$B)*("interpreted"=$C:$C)*("unordered"=$E:$E),0))</f>
        <v>9.2674999999999993E-2</v>
      </c>
      <c r="Z6" s="11" cm="1">
        <f t="array" ref="Z6">INDEX($P:$P,MATCH(1,($V6=$A:$A)*("worst"=$B:$B)*("interpreted"=$C:$C)*("unordered"=$E:$E),0))</f>
        <v>3.0000000000000001E-3</v>
      </c>
      <c r="AA6" s="11" t="b">
        <f t="shared" si="1"/>
        <v>1</v>
      </c>
      <c r="AB6" s="11">
        <f t="shared" si="2"/>
        <v>4.6614858407524773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</row>
    <row r="7" spans="1:102" x14ac:dyDescent="0.2">
      <c r="A7" s="15" t="s">
        <v>14</v>
      </c>
      <c r="B7" s="15" t="s">
        <v>15</v>
      </c>
      <c r="C7" s="15" t="s">
        <v>27</v>
      </c>
      <c r="D7" s="15" t="s">
        <v>17</v>
      </c>
      <c r="E7" s="15" t="s">
        <v>28</v>
      </c>
      <c r="F7" s="15"/>
      <c r="G7" s="15">
        <v>0</v>
      </c>
      <c r="H7" s="15" t="s">
        <v>29</v>
      </c>
      <c r="I7" s="15" t="s">
        <v>35</v>
      </c>
      <c r="J7" s="15" t="s">
        <v>33</v>
      </c>
      <c r="K7" s="15"/>
      <c r="L7" s="15" t="s">
        <v>19</v>
      </c>
      <c r="M7" s="15">
        <v>1</v>
      </c>
      <c r="N7" s="15">
        <v>10</v>
      </c>
      <c r="O7" s="15">
        <v>0.423792</v>
      </c>
      <c r="P7" s="15">
        <v>6.4000000000000001E-2</v>
      </c>
      <c r="Q7" s="15" t="s">
        <v>20</v>
      </c>
      <c r="R7" s="8" t="str">
        <f t="shared" si="0"/>
        <v>jit-sel-async-ALL-quotes</v>
      </c>
      <c r="V7" s="11" t="s">
        <v>36</v>
      </c>
      <c r="W7" s="12" cm="1">
        <f t="array" ref="W7">INDEX($O:$O,MATCH(1,($V7=$A:$A)*("optimized"=$B:$B)*("interpreted"=$C:$C)*("unordered"=$E:$E),0))</f>
        <v>0.102191</v>
      </c>
      <c r="X7" s="11" cm="1">
        <f t="array" ref="X7">INDEX($P:$P,MATCH(1,($V7=$A:$A)*("optimized"=$B:$B)*("interpreted"=$C:$C)*("unordered"=$E:$E),0))</f>
        <v>1E-3</v>
      </c>
      <c r="Y7" s="11" cm="1">
        <f t="array" ref="Y7">INDEX($O:$O,MATCH(1,($V7=$A:$A)*("worst"=$B:$B)*("interpreted"=$C:$C)*("unordered"=$E:$E),0))</f>
        <v>0.336177</v>
      </c>
      <c r="Z7" s="11" cm="1">
        <f t="array" ref="Z7">INDEX($P:$P,MATCH(1,($V7=$A:$A)*("worst"=$B:$B)*("interpreted"=$C:$C)*("unordered"=$E:$E),0))</f>
        <v>3.0000000000000001E-3</v>
      </c>
      <c r="AA7" s="11" t="b">
        <f t="shared" si="1"/>
        <v>1</v>
      </c>
      <c r="AB7" s="11">
        <f t="shared" si="2"/>
        <v>3.2896928300926693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</row>
    <row r="8" spans="1:102" x14ac:dyDescent="0.2">
      <c r="A8" s="15" t="s">
        <v>14</v>
      </c>
      <c r="B8" s="15" t="s">
        <v>15</v>
      </c>
      <c r="C8" s="15" t="s">
        <v>27</v>
      </c>
      <c r="D8" s="15" t="s">
        <v>17</v>
      </c>
      <c r="E8" s="15" t="s">
        <v>28</v>
      </c>
      <c r="F8" s="15"/>
      <c r="G8" s="15">
        <v>0</v>
      </c>
      <c r="H8" s="15" t="s">
        <v>29</v>
      </c>
      <c r="I8" s="15" t="s">
        <v>74</v>
      </c>
      <c r="J8" s="15" t="s">
        <v>30</v>
      </c>
      <c r="K8" s="15"/>
      <c r="L8" s="15" t="s">
        <v>19</v>
      </c>
      <c r="M8" s="15">
        <v>1</v>
      </c>
      <c r="N8" s="15">
        <v>10</v>
      </c>
      <c r="O8" s="15">
        <v>0.33787</v>
      </c>
      <c r="P8" s="15">
        <v>5.0000000000000001E-3</v>
      </c>
      <c r="Q8" s="15" t="s">
        <v>20</v>
      </c>
      <c r="R8" s="8" t="str">
        <f t="shared" si="0"/>
        <v>jit-sel-async-RULE-bytecode</v>
      </c>
      <c r="V8" s="11" t="s">
        <v>37</v>
      </c>
      <c r="W8" s="12" cm="1">
        <f t="array" ref="W8">INDEX($O:$O,MATCH(1,($V8=$A:$A)*("optimized"=$B:$B)*("interpreted"=$C:$C)*("unordered"=$E:$E),0))</f>
        <v>1.5402000000000001E-2</v>
      </c>
      <c r="X8" s="11" cm="1">
        <f t="array" ref="X8">INDEX($P:$P,MATCH(1,($V8=$A:$A)*("optimized"=$B:$B)*("interpreted"=$C:$C)*("unordered"=$E:$E),0))</f>
        <v>2.0000000000000001E-4</v>
      </c>
      <c r="Y8" s="11" cm="1">
        <f t="array" ref="Y8">INDEX($O:$O,MATCH(1,($V8=$A:$A)*("worst"=$B:$B)*("interpreted"=$C:$C)*("unordered"=$E:$E),0))</f>
        <v>0.103381</v>
      </c>
      <c r="Z8" s="11" cm="1">
        <f t="array" ref="Z8">INDEX($P:$P,MATCH(1,($V8=$A:$A)*("worst"=$B:$B)*("interpreted"=$C:$C)*("unordered"=$E:$E),0))</f>
        <v>5.0000000000000001E-3</v>
      </c>
      <c r="AA8" s="11" t="b">
        <f t="shared" si="1"/>
        <v>1</v>
      </c>
      <c r="AB8" s="11">
        <f t="shared" si="2"/>
        <v>6.7121802363329435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x14ac:dyDescent="0.2">
      <c r="A9" s="15" t="s">
        <v>14</v>
      </c>
      <c r="B9" s="15" t="s">
        <v>15</v>
      </c>
      <c r="C9" s="15" t="s">
        <v>27</v>
      </c>
      <c r="D9" s="15" t="s">
        <v>17</v>
      </c>
      <c r="E9" s="15" t="s">
        <v>28</v>
      </c>
      <c r="F9" s="15"/>
      <c r="G9" s="15">
        <v>0</v>
      </c>
      <c r="H9" s="15" t="s">
        <v>29</v>
      </c>
      <c r="I9" s="15" t="s">
        <v>74</v>
      </c>
      <c r="J9" s="15" t="s">
        <v>31</v>
      </c>
      <c r="K9" s="15"/>
      <c r="L9" s="15" t="s">
        <v>19</v>
      </c>
      <c r="M9" s="15">
        <v>1</v>
      </c>
      <c r="N9" s="15">
        <v>10</v>
      </c>
      <c r="O9" s="15">
        <v>0.32428099999999999</v>
      </c>
      <c r="P9" s="15">
        <v>0.01</v>
      </c>
      <c r="Q9" s="15" t="s">
        <v>20</v>
      </c>
      <c r="R9" s="8" t="str">
        <f t="shared" si="0"/>
        <v>jit-sel-async-RULE-lambda</v>
      </c>
      <c r="V9" s="11" t="s">
        <v>38</v>
      </c>
      <c r="W9" s="12" cm="1">
        <f t="array" ref="W9">INDEX($O:$O,MATCH(1,($V9=$A:$A)*("optimized"=$B:$B)*("interpreted"=$C:$C)*("unordered"=$E:$E),0))</f>
        <v>12.246468</v>
      </c>
      <c r="X9" s="11" cm="1">
        <f t="array" ref="X9">INDEX($P:$P,MATCH(1,($V9=$A:$A)*("optimized"=$B:$B)*("interpreted"=$C:$C)*("unordered"=$E:$E),0))</f>
        <v>1.42</v>
      </c>
      <c r="Y9" s="11" cm="1">
        <f t="array" ref="Y9">INDEX($O:$O,MATCH(1,($V9=$A:$A)*("worst"=$B:$B)*("interpreted"=$C:$C)*("unordered"=$E:$E),0))</f>
        <v>7229.4734150000004</v>
      </c>
      <c r="Z9" s="11" cm="1">
        <f t="array" ref="Z9">INDEX($P:$P,MATCH(1,($V9=$A:$A)*("worst"=$B:$B)*("interpreted"=$C:$C)*("unordered"=$E:$E),0))</f>
        <v>174.3</v>
      </c>
      <c r="AA9" s="11" t="b">
        <f t="shared" si="1"/>
        <v>1</v>
      </c>
      <c r="AB9" s="11">
        <f t="shared" si="2"/>
        <v>590.33130327862693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x14ac:dyDescent="0.2">
      <c r="A10" s="15" t="s">
        <v>14</v>
      </c>
      <c r="B10" s="15" t="s">
        <v>15</v>
      </c>
      <c r="C10" s="15" t="s">
        <v>27</v>
      </c>
      <c r="D10" s="15" t="s">
        <v>17</v>
      </c>
      <c r="E10" s="15" t="s">
        <v>28</v>
      </c>
      <c r="F10" s="15"/>
      <c r="G10" s="15">
        <v>0</v>
      </c>
      <c r="H10" s="15" t="s">
        <v>29</v>
      </c>
      <c r="I10" s="15" t="s">
        <v>74</v>
      </c>
      <c r="J10" s="15" t="s">
        <v>33</v>
      </c>
      <c r="K10" s="15"/>
      <c r="L10" s="15" t="s">
        <v>19</v>
      </c>
      <c r="M10" s="15">
        <v>1</v>
      </c>
      <c r="N10" s="15">
        <v>10</v>
      </c>
      <c r="O10" s="15">
        <v>0.36751600000000001</v>
      </c>
      <c r="P10" s="15">
        <v>6.0000000000000001E-3</v>
      </c>
      <c r="Q10" s="15" t="s">
        <v>20</v>
      </c>
      <c r="R10" s="8" t="str">
        <f t="shared" si="0"/>
        <v>jit-sel-async-RULE-quotes</v>
      </c>
      <c r="V10" s="11" t="s">
        <v>40</v>
      </c>
      <c r="W10" s="12" cm="1">
        <f t="array" ref="W10">INDEX($O:$O,MATCH(1,($V10=$A:$A)*("optimized"=$B:$B)*("interpreted"=$C:$C)*("unordered"=$E:$E),0))</f>
        <v>7.5042030000000004</v>
      </c>
      <c r="X10" s="11" cm="1">
        <f t="array" ref="X10">INDEX($P:$P,MATCH(1,($V10=$A:$A)*("optimized"=$B:$B)*("interpreted"=$C:$C)*("unordered"=$E:$E),0))</f>
        <v>0.22700000000000001</v>
      </c>
      <c r="Y10" s="11" cm="1">
        <f t="array" ref="Y10">INDEX($O:$O,MATCH(1,($V10=$A:$A)*("worst"=$B:$B)*("interpreted"=$C:$C)*("unordered"=$E:$E),0))</f>
        <v>16980.171180000001</v>
      </c>
      <c r="Z10" s="11" cm="1">
        <f t="array" ref="Z10">INDEX($P:$P,MATCH(1,($V10=$A:$A)*("worst"=$B:$B)*("interpreted"=$C:$C)*("unordered"=$E:$E),0))</f>
        <v>299.3</v>
      </c>
      <c r="AA10" s="11" t="b">
        <f t="shared" si="1"/>
        <v>1</v>
      </c>
      <c r="AB10" s="11">
        <f t="shared" si="2"/>
        <v>2262.7547762234044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</row>
    <row r="11" spans="1:102" x14ac:dyDescent="0.2">
      <c r="A11" s="15" t="s">
        <v>14</v>
      </c>
      <c r="B11" s="15" t="s">
        <v>15</v>
      </c>
      <c r="C11" s="15" t="s">
        <v>27</v>
      </c>
      <c r="D11" s="15" t="s">
        <v>17</v>
      </c>
      <c r="E11" s="15" t="s">
        <v>28</v>
      </c>
      <c r="F11" s="15"/>
      <c r="G11" s="15">
        <v>0</v>
      </c>
      <c r="H11" s="15" t="s">
        <v>39</v>
      </c>
      <c r="I11" s="15" t="s">
        <v>35</v>
      </c>
      <c r="J11" s="15" t="s">
        <v>30</v>
      </c>
      <c r="K11" s="15"/>
      <c r="L11" s="15" t="s">
        <v>19</v>
      </c>
      <c r="M11" s="15">
        <v>1</v>
      </c>
      <c r="N11" s="15">
        <v>10</v>
      </c>
      <c r="O11" s="15">
        <v>0.47131400000000001</v>
      </c>
      <c r="P11" s="15">
        <v>1.7000000000000001E-2</v>
      </c>
      <c r="Q11" s="15" t="s">
        <v>20</v>
      </c>
      <c r="R11" s="8" t="str">
        <f t="shared" si="0"/>
        <v>jit-sel-blocking-ALL-bytecode</v>
      </c>
      <c r="V11" s="8"/>
      <c r="W11" s="14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 t="s">
        <v>39</v>
      </c>
      <c r="AJ11" s="8" t="s">
        <v>39</v>
      </c>
      <c r="AK11" s="8" t="s">
        <v>39</v>
      </c>
      <c r="AL11" s="8" t="s">
        <v>39</v>
      </c>
      <c r="AM11" s="8" t="s">
        <v>39</v>
      </c>
      <c r="AN11" s="8" t="s">
        <v>39</v>
      </c>
      <c r="AO11" s="8" t="s">
        <v>39</v>
      </c>
      <c r="AP11" s="8" t="s">
        <v>39</v>
      </c>
      <c r="AQ11" s="8" t="s">
        <v>39</v>
      </c>
      <c r="AR11" s="8" t="s">
        <v>39</v>
      </c>
      <c r="AS11" s="8" t="s">
        <v>39</v>
      </c>
      <c r="AT11" s="8" t="s">
        <v>39</v>
      </c>
      <c r="AU11" s="8" t="s">
        <v>39</v>
      </c>
      <c r="AV11" s="8" t="s">
        <v>39</v>
      </c>
      <c r="AW11" s="8" t="s">
        <v>39</v>
      </c>
      <c r="AX11" s="8" t="s">
        <v>39</v>
      </c>
      <c r="AY11" s="8" t="s">
        <v>39</v>
      </c>
      <c r="AZ11" s="8" t="s">
        <v>39</v>
      </c>
      <c r="BA11" s="8" t="s">
        <v>39</v>
      </c>
      <c r="BB11" s="8" t="s">
        <v>39</v>
      </c>
      <c r="BC11" s="8" t="s">
        <v>39</v>
      </c>
      <c r="BD11" s="8" t="s">
        <v>39</v>
      </c>
      <c r="BE11" s="8" t="s">
        <v>39</v>
      </c>
      <c r="BF11" s="8" t="s">
        <v>39</v>
      </c>
      <c r="BG11" s="8" t="s">
        <v>39</v>
      </c>
      <c r="BH11" s="8" t="s">
        <v>39</v>
      </c>
      <c r="BI11" s="8" t="s">
        <v>39</v>
      </c>
      <c r="BJ11" s="8" t="s">
        <v>39</v>
      </c>
      <c r="BK11" s="8" t="s">
        <v>39</v>
      </c>
      <c r="BL11" s="8" t="s">
        <v>39</v>
      </c>
      <c r="BM11" s="15" t="s">
        <v>29</v>
      </c>
      <c r="BN11" s="15" t="s">
        <v>29</v>
      </c>
      <c r="BO11" s="15" t="s">
        <v>29</v>
      </c>
      <c r="BP11" s="15" t="s">
        <v>29</v>
      </c>
      <c r="BQ11" s="15" t="s">
        <v>29</v>
      </c>
      <c r="BR11" s="15" t="s">
        <v>29</v>
      </c>
      <c r="BS11" s="15" t="s">
        <v>29</v>
      </c>
      <c r="BT11" s="15" t="s">
        <v>29</v>
      </c>
      <c r="BU11" s="15" t="s">
        <v>29</v>
      </c>
      <c r="BV11" s="15" t="s">
        <v>29</v>
      </c>
      <c r="BW11" s="15" t="s">
        <v>29</v>
      </c>
      <c r="BX11" s="15" t="s">
        <v>29</v>
      </c>
      <c r="BY11" s="15" t="s">
        <v>29</v>
      </c>
      <c r="BZ11" s="15" t="s">
        <v>29</v>
      </c>
      <c r="CA11" s="15" t="s">
        <v>29</v>
      </c>
      <c r="CB11" s="15" t="s">
        <v>29</v>
      </c>
      <c r="CC11" s="15" t="s">
        <v>29</v>
      </c>
      <c r="CD11" s="15" t="s">
        <v>29</v>
      </c>
      <c r="CE11" s="15" t="s">
        <v>29</v>
      </c>
      <c r="CF11" s="15" t="s">
        <v>29</v>
      </c>
      <c r="CG11" s="15" t="s">
        <v>29</v>
      </c>
      <c r="CH11" s="15" t="s">
        <v>29</v>
      </c>
      <c r="CI11" s="15" t="s">
        <v>29</v>
      </c>
      <c r="CJ11" s="15" t="s">
        <v>29</v>
      </c>
      <c r="CK11" s="15" t="s">
        <v>29</v>
      </c>
      <c r="CL11" s="15" t="s">
        <v>29</v>
      </c>
      <c r="CM11" s="15" t="s">
        <v>29</v>
      </c>
      <c r="CN11" s="15" t="s">
        <v>29</v>
      </c>
      <c r="CO11" s="15" t="s">
        <v>29</v>
      </c>
      <c r="CP11" s="15" t="s">
        <v>29</v>
      </c>
      <c r="CQ11" s="8" t="s">
        <v>68</v>
      </c>
      <c r="CR11" s="8" t="s">
        <v>68</v>
      </c>
      <c r="CS11" s="8" t="s">
        <v>68</v>
      </c>
      <c r="CT11" s="8" t="s">
        <v>68</v>
      </c>
      <c r="CU11" s="8" t="s">
        <v>68</v>
      </c>
      <c r="CV11" s="8" t="s">
        <v>68</v>
      </c>
      <c r="CW11" s="8" t="s">
        <v>68</v>
      </c>
      <c r="CX11" s="8" t="s">
        <v>68</v>
      </c>
    </row>
    <row r="12" spans="1:102" ht="102" x14ac:dyDescent="0.2">
      <c r="A12" s="15" t="s">
        <v>14</v>
      </c>
      <c r="B12" s="15" t="s">
        <v>15</v>
      </c>
      <c r="C12" s="15" t="s">
        <v>27</v>
      </c>
      <c r="D12" s="15" t="s">
        <v>17</v>
      </c>
      <c r="E12" s="15" t="s">
        <v>28</v>
      </c>
      <c r="F12" s="15"/>
      <c r="G12" s="15">
        <v>0</v>
      </c>
      <c r="H12" s="15" t="s">
        <v>39</v>
      </c>
      <c r="I12" s="15" t="s">
        <v>35</v>
      </c>
      <c r="J12" s="15" t="s">
        <v>31</v>
      </c>
      <c r="K12" s="15"/>
      <c r="L12" s="15" t="s">
        <v>19</v>
      </c>
      <c r="M12" s="15">
        <v>1</v>
      </c>
      <c r="N12" s="15">
        <v>10</v>
      </c>
      <c r="O12" s="15">
        <v>0.34492600000000001</v>
      </c>
      <c r="P12" s="15">
        <v>6.0000000000000001E-3</v>
      </c>
      <c r="Q12" s="15" t="s">
        <v>20</v>
      </c>
      <c r="R12" s="8" t="str">
        <f t="shared" si="0"/>
        <v>jit-sel-blocking-ALL-lambda</v>
      </c>
      <c r="V12" s="16" t="s">
        <v>41</v>
      </c>
      <c r="W12" s="14" t="s">
        <v>1</v>
      </c>
      <c r="X12" s="17" t="s">
        <v>42</v>
      </c>
      <c r="Y12" s="8" t="s">
        <v>43</v>
      </c>
      <c r="Z12" s="8" t="s">
        <v>44</v>
      </c>
      <c r="AA12" s="18" t="s">
        <v>45</v>
      </c>
      <c r="AB12" s="13" t="s">
        <v>46</v>
      </c>
      <c r="AC12" s="19" t="s">
        <v>25</v>
      </c>
      <c r="AD12" s="20" t="s">
        <v>47</v>
      </c>
      <c r="AE12" s="20" t="s">
        <v>25</v>
      </c>
      <c r="AF12" s="20" t="s">
        <v>48</v>
      </c>
      <c r="AG12" s="20" t="s">
        <v>25</v>
      </c>
      <c r="AH12" s="20" t="s">
        <v>49</v>
      </c>
      <c r="AI12" s="21" t="s">
        <v>33</v>
      </c>
      <c r="AJ12" s="22" t="str">
        <f>_xlfn.CONCAT("Error Best JIT for ", AI12)</f>
        <v>Error Best JIT for quotes</v>
      </c>
      <c r="AK12" s="20" t="s">
        <v>25</v>
      </c>
      <c r="AL12" s="20" t="str">
        <f>_xlfn.CONCAT("Best JIT ",  AI12, " compared to baseline worst")</f>
        <v>Best JIT quotes compared to baseline worst</v>
      </c>
      <c r="AM12" s="20" t="s">
        <v>25</v>
      </c>
      <c r="AN12" s="23" t="str">
        <f>_xlfn.CONCAT("Best JIT ",  AI12, " compared to baseline best")</f>
        <v>Best JIT quotes compared to baseline best</v>
      </c>
      <c r="AO12" s="20" t="s">
        <v>25</v>
      </c>
      <c r="AP12" s="20" t="str">
        <f>_xlfn.CONCAT("Best JIT ",  AI12, " compared to interpreted unordered")</f>
        <v>Best JIT quotes compared to interpreted unordered</v>
      </c>
      <c r="AQ12" s="22" t="s">
        <v>50</v>
      </c>
      <c r="AR12" s="22" t="s">
        <v>51</v>
      </c>
      <c r="AS12" s="21" t="s">
        <v>30</v>
      </c>
      <c r="AT12" s="22" t="str">
        <f>_xlfn.CONCAT("Error Best JIT for ", AS12)</f>
        <v>Error Best JIT for bytecode</v>
      </c>
      <c r="AU12" s="24" t="s">
        <v>25</v>
      </c>
      <c r="AV12" s="24" t="str">
        <f>_xlfn.CONCAT("Best JIT ",  AS12, " compared to baseline worst")</f>
        <v>Best JIT bytecode compared to baseline worst</v>
      </c>
      <c r="AW12" s="24" t="s">
        <v>25</v>
      </c>
      <c r="AX12" s="25" t="str">
        <f>_xlfn.CONCAT("Best JIT ",  AS12, " compared to baseline best")</f>
        <v>Best JIT bytecode compared to baseline best</v>
      </c>
      <c r="AY12" s="24" t="s">
        <v>25</v>
      </c>
      <c r="AZ12" s="24" t="str">
        <f>_xlfn.CONCAT("Best JIT ",  AS12, " compared to interpreted unordered")</f>
        <v>Best JIT bytecode compared to interpreted unordered</v>
      </c>
      <c r="BA12" s="13" t="s">
        <v>50</v>
      </c>
      <c r="BB12" s="13" t="s">
        <v>51</v>
      </c>
      <c r="BC12" s="18" t="s">
        <v>31</v>
      </c>
      <c r="BD12" s="13" t="str">
        <f>_xlfn.CONCAT("Error Best JIT for ", BC12)</f>
        <v>Error Best JIT for lambda</v>
      </c>
      <c r="BE12" s="24" t="s">
        <v>25</v>
      </c>
      <c r="BF12" s="24" t="str">
        <f>_xlfn.CONCAT("Best JIT ",  BC12, " compared to baseline worst")</f>
        <v>Best JIT lambda compared to baseline worst</v>
      </c>
      <c r="BG12" s="24" t="s">
        <v>25</v>
      </c>
      <c r="BH12" s="25" t="str">
        <f>_xlfn.CONCAT("Best JIT ",  BC12, " compared to baseline best")</f>
        <v>Best JIT lambda compared to baseline best</v>
      </c>
      <c r="BI12" s="24" t="s">
        <v>25</v>
      </c>
      <c r="BJ12" s="24" t="str">
        <f>_xlfn.CONCAT("Best JIT ",  BC12, " compared to interpreted unordered")</f>
        <v>Best JIT lambda compared to interpreted unordered</v>
      </c>
      <c r="BK12" s="13" t="s">
        <v>50</v>
      </c>
      <c r="BL12" s="13" t="s">
        <v>51</v>
      </c>
      <c r="BM12" s="26" t="s">
        <v>33</v>
      </c>
      <c r="BN12" s="27" t="s">
        <v>52</v>
      </c>
      <c r="BO12" s="25" t="s">
        <v>25</v>
      </c>
      <c r="BP12" s="25" t="s">
        <v>53</v>
      </c>
      <c r="BQ12" s="25" t="s">
        <v>25</v>
      </c>
      <c r="BR12" s="25" t="s">
        <v>54</v>
      </c>
      <c r="BS12" s="25" t="s">
        <v>25</v>
      </c>
      <c r="BT12" s="27" t="s">
        <v>55</v>
      </c>
      <c r="BU12" s="27" t="s">
        <v>50</v>
      </c>
      <c r="BV12" s="27" t="s">
        <v>51</v>
      </c>
      <c r="BW12" s="26" t="s">
        <v>30</v>
      </c>
      <c r="BX12" s="27" t="s">
        <v>56</v>
      </c>
      <c r="BY12" s="20" t="s">
        <v>25</v>
      </c>
      <c r="BZ12" s="20" t="s">
        <v>57</v>
      </c>
      <c r="CA12" s="20" t="s">
        <v>25</v>
      </c>
      <c r="CB12" s="20" t="s">
        <v>58</v>
      </c>
      <c r="CC12" s="20" t="s">
        <v>25</v>
      </c>
      <c r="CD12" s="20" t="s">
        <v>59</v>
      </c>
      <c r="CE12" s="27" t="s">
        <v>50</v>
      </c>
      <c r="CF12" s="27" t="s">
        <v>51</v>
      </c>
      <c r="CG12" s="26" t="s">
        <v>31</v>
      </c>
      <c r="CH12" s="27" t="s">
        <v>60</v>
      </c>
      <c r="CI12" s="25" t="s">
        <v>25</v>
      </c>
      <c r="CJ12" s="25" t="s">
        <v>61</v>
      </c>
      <c r="CK12" s="25" t="s">
        <v>25</v>
      </c>
      <c r="CL12" s="25" t="s">
        <v>62</v>
      </c>
      <c r="CM12" s="25" t="s">
        <v>25</v>
      </c>
      <c r="CN12" s="25" t="s">
        <v>63</v>
      </c>
      <c r="CO12" s="27" t="s">
        <v>50</v>
      </c>
      <c r="CP12" s="27" t="s">
        <v>51</v>
      </c>
      <c r="CQ12" s="26" t="s">
        <v>69</v>
      </c>
      <c r="CR12" s="27" t="s">
        <v>70</v>
      </c>
      <c r="CS12" s="25" t="s">
        <v>25</v>
      </c>
      <c r="CT12" s="25" t="s">
        <v>71</v>
      </c>
      <c r="CU12" s="25" t="s">
        <v>25</v>
      </c>
      <c r="CV12" s="25" t="s">
        <v>72</v>
      </c>
      <c r="CW12" s="25" t="s">
        <v>25</v>
      </c>
      <c r="CX12" s="25" t="s">
        <v>73</v>
      </c>
    </row>
    <row r="13" spans="1:102" x14ac:dyDescent="0.2">
      <c r="A13" s="15" t="s">
        <v>14</v>
      </c>
      <c r="B13" s="15" t="s">
        <v>15</v>
      </c>
      <c r="C13" s="15" t="s">
        <v>27</v>
      </c>
      <c r="D13" s="15" t="s">
        <v>17</v>
      </c>
      <c r="E13" s="15" t="s">
        <v>28</v>
      </c>
      <c r="F13" s="15"/>
      <c r="G13" s="15">
        <v>0</v>
      </c>
      <c r="H13" s="15" t="s">
        <v>39</v>
      </c>
      <c r="I13" s="15" t="s">
        <v>35</v>
      </c>
      <c r="J13" s="15" t="s">
        <v>33</v>
      </c>
      <c r="K13" s="15"/>
      <c r="L13" s="15" t="s">
        <v>19</v>
      </c>
      <c r="M13" s="15">
        <v>1</v>
      </c>
      <c r="N13" s="15">
        <v>10</v>
      </c>
      <c r="O13" s="15">
        <v>1.4811030000000001</v>
      </c>
      <c r="P13" s="15">
        <v>0.13900000000000001</v>
      </c>
      <c r="Q13" s="15" t="s">
        <v>20</v>
      </c>
      <c r="R13" s="8" t="str">
        <f t="shared" si="0"/>
        <v>jit-sel-blocking-ALL-quotes</v>
      </c>
      <c r="V13" s="28" t="s">
        <v>64</v>
      </c>
      <c r="W13" s="14" t="s">
        <v>15</v>
      </c>
      <c r="X13" s="17" cm="1">
        <f t="array" ref="X13">INDEX($O:$O,MATCH(1,($V13=$A:$A)*($W13=$B:$B)*("interpreted"=$C:$C)*("unordered"=$E:$E),0))</f>
        <v>0.27220800000000001</v>
      </c>
      <c r="Y13" s="8" cm="1">
        <f t="array" ref="Y13">INDEX($P:$P,MATCH(1,($V13=$A:$A)*($W13=$B:$B)*("interpreted"=$C:$C)*("unordered"=$E:$E),0))</f>
        <v>1.2999999999999999E-2</v>
      </c>
      <c r="Z13" s="8" t="str" cm="1">
        <f t="array" ref="Z13">INDEX($R:$R, MATCH(MIN(IF(($A:$A=$V13)*($B:$B=$W13), $O:$O)), $O:$O, 0), 1)</f>
        <v>jit-sel-blocking-DELTA-lambda</v>
      </c>
      <c r="AA13" s="17" cm="1">
        <f t="array" ref="AA13">INDEX($O:$O, MATCH(MIN(IF(($A:$A=$V13)*($B:$B=$W13), $O:$O)), $O:$O, 0), 1)</f>
        <v>5.7259999999999998E-2</v>
      </c>
      <c r="AB13" s="8" cm="1">
        <f t="array" ref="AB13">INDEX($P:$P, MATCH(MIN(IF(($A:$A=$V13)*($B:$B=$W13), $O:$O)), $O:$O, 0), 1)</f>
        <v>5.9999999999999995E-4</v>
      </c>
      <c r="AC13" s="19" t="b">
        <f t="shared" ref="AC13:AC26" si="3">ABS(AA13-VLOOKUP($V13, $V$2:$AB$10, 4, FALSE))&gt;MAX(AB13, VLOOKUP($V13, $V$2:$AB$10, 5, FALSE))</f>
        <v>1</v>
      </c>
      <c r="AD13" s="19">
        <f t="shared" ref="AD13:AD26" si="4">VLOOKUP($V13, $V$2:$AB$10, 4, FALSE)/AA13</f>
        <v>122.2697869367796</v>
      </c>
      <c r="AE13" s="19" t="b">
        <f t="shared" ref="AE13:AE26" si="5">ABS(AA13-VLOOKUP($V13, $V$2:$AB$10, 2, FALSE))&gt;MAX(AB13, VLOOKUP($V13, $V$2:$AB$10, 3, FALSE))</f>
        <v>1</v>
      </c>
      <c r="AF13" s="19">
        <f t="shared" ref="AF13:AF26" si="6">VLOOKUP($V13, $V$2:$AB$10, 2, FALSE)/AA13</f>
        <v>4.7538945162417043</v>
      </c>
      <c r="AG13" s="19" t="b">
        <f t="shared" ref="AG13:AG26" si="7">ABS($X13-AA13)&gt;MAX($Y13,AB13)</f>
        <v>1</v>
      </c>
      <c r="AH13" s="19">
        <f t="shared" ref="AH13:AH26" si="8">$X13/AA13</f>
        <v>4.7538945162417043</v>
      </c>
      <c r="AI13" s="29" cm="1">
        <f t="array" ref="AI13">INDEX($O:$O,MATCH(MIN(IF(($A:$A=$V13)*($B:$B=$W13)*($J:$J=AI$12)*($H:$H=AI$11),$O:$O)),$O:$O,0),1)</f>
        <v>0.34706300000000001</v>
      </c>
      <c r="AJ13" s="14" cm="1">
        <f t="array" ref="AJ13">INDEX($P:$P,MATCH(MIN(IF(($A:$A=$V13)*($B:$B=$W13)*($J:$J=AI$12)*($H:$H=AI$11),$O:$O)),$O:$O,0),1)</f>
        <v>5.0000000000000001E-3</v>
      </c>
      <c r="AK13" s="19" t="b">
        <f t="shared" ref="AK13:AK26" si="9">ABS(AI13-VLOOKUP($V13, $V$2:$AB$10, 4, FALSE))&gt;MAX(AJ13, VLOOKUP($V13, $V$2:$AB$10, 5, FALSE))</f>
        <v>1</v>
      </c>
      <c r="AL13" s="19">
        <f t="shared" ref="AL13:AL26" si="10">VLOOKUP($V13, $V$2:$AB$10, 4, FALSE)/AI13</f>
        <v>20.172614193964783</v>
      </c>
      <c r="AM13" s="19" t="b">
        <f t="shared" ref="AM13:AM26" si="11">ABS(AI13-VLOOKUP($V13, $V$2:$AB$10, 2, FALSE))&gt;MAX(AJ13, VLOOKUP($V13, $V$2:$AB$10, 3, FALSE))</f>
        <v>1</v>
      </c>
      <c r="AN13" s="19">
        <f t="shared" ref="AN13:AN26" si="12">VLOOKUP($V13, $V$2:$AB$10, 2, FALSE)/AI13</f>
        <v>0.78431869718177971</v>
      </c>
      <c r="AO13" s="19" t="b">
        <f t="shared" ref="AO13:AO26" si="13">ABS($X13-AI13)&gt;MAX($Y13,AJ13)</f>
        <v>1</v>
      </c>
      <c r="AP13" s="19">
        <f t="shared" ref="AP13:AP26" si="14">$X13/AI13</f>
        <v>0.78431869718177971</v>
      </c>
      <c r="AQ13" s="14" t="str" cm="1">
        <f t="array" ref="AQ13">INDEX($I:$I,MATCH(MIN(IF(($A:$A=$V13)*($B:$B=$W13)*($J:$J=AI$12)*($H:$H=AI$11),$O:$O)),$O:$O,0),1)</f>
        <v>RULE</v>
      </c>
      <c r="AR13" s="14" cm="1">
        <f t="array" ref="AR13">IF(AVERAGEIFS($O:$O, $A:$A, $V13, $B:$B, $W13, $J:$J, AI$12, $H:$H, AI$11, $O:$O, "&lt;&gt;" &amp; INDEX($O:$O, MATCH(MIN(IF(($A:$A=$V13)*($B:$B=$W13)*($J:$J=AI$12)*($H:$H=AI$11), $O:$O)), $O:$O, 0), 1)) &lt;&gt; 0, ABS((INDEX($O:$O, MATCH(MIN(IF(($A:$A=$V13)*($B:$B=$W13)*($J:$J=AI$12)*($H:$H=AI$11), $O:$O)), $O:$O, 0), 1) - AVERAGEIFS($O:$O, $A:$A, $V13, $B:$B, $W13, $J:$J, AI$12, $H:$H, AI$11, $O:$O, "&lt;&gt;" &amp; INDEX($O:$O, MATCH(MIN(IF(($A:$A=$V13)*($B:$B=$W13)*($J:$J=AI$12)*($H:$H=AI$11), $O:$O)), $O:$O, 0), 1))) / AVERAGEIFS($O:$O, $A:$A, $V13, $B:$B, $W13, $J:$J, AI$12, $H:$H, AI$11, $O:$O, "&lt;&gt;" &amp; INDEX($O:$O, MATCH(MIN(IF(($A:$A=$V13)*($B:$B=$W13)*($J:$J=AI$12)*($H:$H=AI$11), $O:$O)), $O:$O, 0), 1))) * 100, "")</f>
        <v>63.016417410244507</v>
      </c>
      <c r="AS13" s="29" cm="1">
        <f t="array" ref="AS13">INDEX($O:$O,MATCH(MIN(IF(($A:$A=$V13)*($B:$B=$W13)*($J:$J=AS$12)*($H:$H=AS$11),$O:$O)),$O:$O,0),1)</f>
        <v>0.36727700000000002</v>
      </c>
      <c r="AT13" s="14" cm="1">
        <f t="array" ref="AT13">INDEX($P:$P,MATCH(MIN(IF(($A:$A=$V13)*($B:$B=$W13)*($J:$J=AS$12)*($H:$H=AS$11),$O:$O)),$O:$O,0),1)</f>
        <v>5.0000000000000001E-3</v>
      </c>
      <c r="AU13" s="30" t="b">
        <f>ABS(AS13-VLOOKUP($V13, $V$2:AT$10, 4, FALSE))&gt;MAX(AT13, VLOOKUP($V13, $V$2:$AB$10, 5, FALSE))</f>
        <v>1</v>
      </c>
      <c r="AV13" s="30">
        <f t="shared" ref="AV13:AV26" si="15">VLOOKUP($V13, $V$2:$AB$10, 4, FALSE)/AS13</f>
        <v>19.062364373483771</v>
      </c>
      <c r="AW13" s="30" t="b">
        <f t="shared" ref="AW13:AW26" si="16">ABS(AS13-VLOOKUP($V13, $V$2:$AB$10, 2, FALSE))&gt;MAX(AT13, VLOOKUP($V13, $V$2:$AB$10, 3, FALSE))</f>
        <v>1</v>
      </c>
      <c r="AX13" s="30">
        <f t="shared" ref="AX13:AX26" si="17">VLOOKUP($V13, $V$2:$AB$10, 2, FALSE)/AS13</f>
        <v>0.74115177372936503</v>
      </c>
      <c r="AY13" s="30" t="b">
        <f t="shared" ref="AY13:AY26" si="18">ABS($X13-AS13)&gt;MAX($Y13,AT13)</f>
        <v>1</v>
      </c>
      <c r="AZ13" s="30">
        <f t="shared" ref="AZ13:AZ26" si="19">$X13/AS13</f>
        <v>0.74115177372936503</v>
      </c>
      <c r="BA13" s="8" t="str" cm="1">
        <f t="array" ref="BA13">INDEX($I:$I,MATCH(MIN(IF(($A:$A=$V13)*($B:$B=$W13)*($J:$J=AS$12)*($H:$H=AS$11),$O:$O)),$O:$O,0),1)</f>
        <v>RULE</v>
      </c>
      <c r="BB13" s="8" cm="1">
        <f t="array" ref="BB13">IF(AVERAGEIFS($O:$O, $A:$A, $V13, $B:$B, $W13, $J:$J, AS$12, $H:$H, AS$11, $O:$O, "&lt;&gt;" &amp; INDEX($O:$O, MATCH(MIN(IF(($A:$A=$V13)*($B:$B=$W13)*($J:$J=AS$12)*($H:$H=AS$11), $O:$O)), $O:$O, 0), 1)) &lt;&gt; 0, ABS((INDEX($O:$O, MATCH(MIN(IF(($A:$A=$V13)*($B:$B=$W13)*($J:$J=AS$12)*($H:$H=AS$11), $O:$O)), $O:$O, 0), 1) - AVERAGEIFS($O:$O, $A:$A, $V13, $B:$B, $W13, $J:$J, AS$12, $H:$H, AS$11, $O:$O, "&lt;&gt;" &amp; INDEX($O:$O, MATCH(MIN(IF(($A:$A=$V13)*($B:$B=$W13)*($J:$J=AS$12)*($H:$H=AS$11), $O:$O)), $O:$O, 0), 1))) / AVERAGEIFS($O:$O, $A:$A, $V13, $B:$B, $W13, $J:$J, AS$12, $H:$H, AS$11, $O:$O, "&lt;&gt;" &amp; INDEX($O:$O, MATCH(MIN(IF(($A:$A=$V13)*($B:$B=$W13)*($J:$J=AS$12)*($H:$H=AS$11), $O:$O)), $O:$O, 0), 1))) * 100, "")</f>
        <v>14.261135895155316</v>
      </c>
      <c r="BC13" s="17" cm="1">
        <f t="array" ref="BC13">INDEX($O:$O,MATCH(MIN(IF(($A:$A=$V13)*($B:$B=$W13)*($J:$J=BC$12)*($H:$H=BC$11),$O:$O)),$O:$O,0),1)</f>
        <v>5.7259999999999998E-2</v>
      </c>
      <c r="BD13" s="8" cm="1">
        <f t="array" ref="BD13">INDEX($P:$P,MATCH(MIN(IF(($A:$A=$V13)*($B:$B=$W13)*($J:$J=BC$12)*($H:$H=BC$11),$O:$O)),$O:$O,0),1)</f>
        <v>5.9999999999999995E-4</v>
      </c>
      <c r="BE13" s="30" t="b">
        <f t="shared" ref="BE13:BE26" si="20">ABS(BC13-VLOOKUP($V13, $V$2:$AB$10, 4, FALSE))&gt;MAX(BD13, VLOOKUP($V13, $V$2:$AB$10, 5, FALSE))</f>
        <v>1</v>
      </c>
      <c r="BF13" s="30">
        <f t="shared" ref="BF13:BF26" si="21">VLOOKUP($V13, $V$2:$AB$10, 4, FALSE)/BC13</f>
        <v>122.2697869367796</v>
      </c>
      <c r="BG13" s="30" t="b">
        <f t="shared" ref="BG13:BG26" si="22">ABS(BC13-VLOOKUP($V13, $V$2:$AB$10, 2, FALSE))&gt;MAX(BD13, VLOOKUP($V13, $V$2:$AB$10, 3, FALSE))</f>
        <v>1</v>
      </c>
      <c r="BH13" s="30">
        <f t="shared" ref="BH13:BH26" si="23">VLOOKUP($V13, $V$2:$AB$10, 2, FALSE)/BC13</f>
        <v>4.7538945162417043</v>
      </c>
      <c r="BI13" s="30" t="b">
        <f t="shared" ref="BI13:BI26" si="24">ABS($X13-BC13)&gt;MAX($Y13,BD13)</f>
        <v>1</v>
      </c>
      <c r="BJ13" s="30">
        <f t="shared" ref="BJ13:BJ26" si="25">$X13/BC13</f>
        <v>4.7538945162417043</v>
      </c>
      <c r="BK13" s="8" t="str" cm="1">
        <f t="array" ref="BK13">INDEX($I:$I,MATCH(MIN(IF(($A:$A=$V13)*($B:$B=$W13)*($J:$J=BC$12)*($H:$H=BC$11),$O:$O)),$O:$O,0),1)</f>
        <v>DELTA</v>
      </c>
      <c r="BL13" s="8" cm="1">
        <f t="array" ref="BL13">IF(AVERAGEIFS($O:$O, $A:$A, $V13, $B:$B, $W13, $J:$J, BC$12, $H:$H, BC$11, $O:$O, "&lt;&gt;" &amp; INDEX($O:$O, MATCH(MIN(IF(($A:$A=$V13)*($B:$B=$W13)*($J:$J=BC$12)*($H:$H=BC$11), $O:$O)), $O:$O, 0), 1)) &lt;&gt; 0, ABS((INDEX($O:$O, MATCH(MIN(IF(($A:$A=$V13)*($B:$B=$W13)*($J:$J=BC$12)*($H:$H=BC$11), $O:$O)), $O:$O, 0), 1) - AVERAGEIFS($O:$O, $A:$A, $V13, $B:$B, $W13, $J:$J, BC$12, $H:$H, BC$11, $O:$O, "&lt;&gt;" &amp; INDEX($O:$O, MATCH(MIN(IF(($A:$A=$V13)*($B:$B=$W13)*($J:$J=BC$12)*($H:$H=BC$11), $O:$O)), $O:$O, 0), 1))) / AVERAGEIFS($O:$O, $A:$A, $V13, $B:$B, $W13, $J:$J, BC$12, $H:$H, BC$11, $O:$O, "&lt;&gt;" &amp; INDEX($O:$O, MATCH(MIN(IF(($A:$A=$V13)*($B:$B=$W13)*($J:$J=BC$12)*($H:$H=BC$11), $O:$O)), $O:$O, 0), 1))) * 100, "")</f>
        <v>83.572129426143448</v>
      </c>
      <c r="BM13" s="17" cm="1">
        <f t="array" ref="BM13">INDEX($O:$O,MATCH(MIN(IF(($A:$A=$V13)*($B:$B=$W13)*($J:$J=BM$12)*($H:$H=BM$11),$O:$O)),$O:$O,0),1)</f>
        <v>0.36751600000000001</v>
      </c>
      <c r="BN13" s="8" cm="1">
        <f t="array" ref="BN13">INDEX($P:$P,MATCH(MIN(IF(($A:$A=$V13)*($B:$B=$W13)*($J:$J=BM$12)*($H:$H=BM$11),$O:$O)),$O:$O,0),1)</f>
        <v>6.0000000000000001E-3</v>
      </c>
      <c r="BO13" s="30" t="b">
        <f t="shared" ref="BO13:BO26" si="26">ABS(BM13-VLOOKUP($V13, $V$2:$AB$10, 4, FALSE))&gt;MAX(BN13, VLOOKUP($V13, $V$2:$AB$10, 5, FALSE))</f>
        <v>1</v>
      </c>
      <c r="BP13" s="30">
        <f t="shared" ref="BP13:BP26" si="27">VLOOKUP($V13, $V$2:$AB$10, 4, FALSE)/BM13</f>
        <v>19.049967892554339</v>
      </c>
      <c r="BQ13" s="30" t="b">
        <f t="shared" ref="BQ13:BQ26" si="28">ABS(BM13-VLOOKUP($V13, $V$2:$AB$10, 2, FALSE))&gt;MAX(BN13, VLOOKUP($V13, $V$2:$AB$10, 3, FALSE))</f>
        <v>1</v>
      </c>
      <c r="BR13" s="30">
        <f t="shared" ref="BR13:BR26" si="29">VLOOKUP($V13, $V$2:$AB$10, 2, FALSE)/BM13</f>
        <v>0.7406697939681538</v>
      </c>
      <c r="BS13" s="30" t="b">
        <f t="shared" ref="BS13:BS26" si="30">ABS($X13-BM13)&gt;MAX($Y13,BN13)</f>
        <v>1</v>
      </c>
      <c r="BT13" s="8">
        <f t="shared" ref="BT13:BT26" si="31">$X13/BM13</f>
        <v>0.7406697939681538</v>
      </c>
      <c r="BU13" s="8" t="str" cm="1">
        <f t="array" ref="BU13">INDEX($I:$I,MATCH(MIN(IF(($A:$A=$V13)*($B:$B=$W13)*($J:$J=BM$12)*($H:$H=BM$11),$O:$O)),$O:$O,0),1)</f>
        <v>RULE</v>
      </c>
      <c r="BV13" s="8" cm="1">
        <f t="array" ref="BV13">IF(AVERAGEIFS($O:$O, $A:$A, $V13, $B:$B, $W13, $J:$J, BM$12, $H:$H, BM$11, $O:$O, "&lt;&gt;" &amp; INDEX($O:$O, MATCH(MIN(IF(($A:$A=$V13)*($B:$B=$W13)*($J:$J=BM$12)*($H:$H=BM$11), $O:$O)), $O:$O, 0), 1)) &lt;&gt; 0, ABS((INDEX($O:$O, MATCH(MIN(IF(($A:$A=$V13)*($B:$B=$W13)*($J:$J=BM$12)*($H:$H=BM$11), $O:$O)), $O:$O, 0), 1) - AVERAGEIFS($O:$O, $A:$A, $V13, $B:$B, $W13, $J:$J, BM$12, $H:$H, BM$11, $O:$O, "&lt;&gt;" &amp; INDEX($O:$O, MATCH(MIN(IF(($A:$A=$V13)*($B:$B=$W13)*($J:$J=BM$12)*($H:$H=BM$11), $O:$O)), $O:$O, 0), 1))) / AVERAGEIFS($O:$O, $A:$A, $V13, $B:$B, $W13, $J:$J, BM$12, $H:$H, BM$11, $O:$O, "&lt;&gt;" &amp; INDEX($O:$O, MATCH(MIN(IF(($A:$A=$V13)*($B:$B=$W13)*($J:$J=BM$12)*($H:$H=BM$11), $O:$O)), $O:$O, 0), 1))) * 100, "")</f>
        <v>13.279155812285271</v>
      </c>
      <c r="BW13" s="17" cm="1">
        <f t="array" ref="BW13">INDEX($O:$O,MATCH(MIN(IF(($A:$A=$V13)*($B:$B=$W13)*($J:$J=BW$12)*($H:$H=BW$11),$O:$O)),$O:$O,0),1)</f>
        <v>0.33787</v>
      </c>
      <c r="BX13" s="8" cm="1">
        <f t="array" ref="BX13">INDEX($P:$P,MATCH(MIN(IF(($A:$A=$V13)*($B:$B=$W13)*($J:$J=BW$12)*($H:$H=BW$11),$O:$O)),$O:$O,0),1)</f>
        <v>5.0000000000000001E-3</v>
      </c>
      <c r="BY13" s="19" t="b">
        <f>ABS(BW13-VLOOKUP($V13, $V$2:AB$10, 4, FALSE))&gt;MAX(BX13, VLOOKUP($V13, $V$2:$AB$10, 5, FALSE))</f>
        <v>1</v>
      </c>
      <c r="BZ13" s="19">
        <f t="shared" ref="BZ13:BZ26" si="32">VLOOKUP($V13, $V$2:$AB$10, 4, FALSE)/BW13</f>
        <v>20.721484594666588</v>
      </c>
      <c r="CA13" s="19" t="b">
        <f t="shared" ref="CA13:CA26" si="33">ABS(BW13-VLOOKUP($V13, $V$2:$AB$10, 2, FALSE))&gt;MAX(BX13, VLOOKUP($V13, $V$2:$AB$10, 3, FALSE))</f>
        <v>1</v>
      </c>
      <c r="CB13" s="19">
        <f t="shared" ref="CB13:CB26" si="34">VLOOKUP($V13, $V$2:$AB$10, 2, FALSE)/BW13</f>
        <v>0.80565898126498359</v>
      </c>
      <c r="CC13" s="19" t="b">
        <f t="shared" ref="CC13:CC26" si="35">ABS($X13-BW13)&gt;MAX($Y13,BX13)</f>
        <v>1</v>
      </c>
      <c r="CD13" s="19">
        <f t="shared" ref="CD13:CD26" si="36">$X13/BW13</f>
        <v>0.80565898126498359</v>
      </c>
      <c r="CE13" s="8" t="str" cm="1">
        <f t="array" ref="CE13">INDEX($I:$I,MATCH(MIN(IF(($A:$A=$V13)*($B:$B=$W13)*($J:$J=BW$12)*($H:$H=BW$11),$O:$O)),$O:$O,0),1)</f>
        <v>RULE</v>
      </c>
      <c r="CF13" s="8" cm="1">
        <f t="array" ref="CF13">IF(AVERAGEIFS($O:$O, $A:$A, $V13, $B:$B, $W13, $J:$J, BW$12, $H:$H, BW$11, $O:$O, "&lt;&gt;" &amp; INDEX($O:$O, MATCH(MIN(IF(($A:$A=$V13)*($B:$B=$W13)*($J:$J=BW$12)*($H:$H=BW$11), $O:$O)), $O:$O, 0), 1)) &lt;&gt; 0, ABS((INDEX($O:$O, MATCH(MIN(IF(($A:$A=$V13)*($B:$B=$W13)*($J:$J=BW$12)*($H:$H=BW$11), $O:$O)), $O:$O, 0), 1) - AVERAGEIFS($O:$O, $A:$A, $V13, $B:$B, $W13, $J:$J, BW$12, $H:$H, BW$11, $O:$O, "&lt;&gt;" &amp; INDEX($O:$O, MATCH(MIN(IF(($A:$A=$V13)*($B:$B=$W13)*($J:$J=BW$12)*($H:$H=BW$11), $O:$O)), $O:$O, 0), 1))) / AVERAGEIFS($O:$O, $A:$A, $V13, $B:$B, $W13, $J:$J, BW$12, $H:$H, BW$11, $O:$O, "&lt;&gt;" &amp; INDEX($O:$O, MATCH(MIN(IF(($A:$A=$V13)*($B:$B=$W13)*($J:$J=BW$12)*($H:$H=BW$11), $O:$O)), $O:$O, 0), 1))) * 100, "")</f>
        <v>37.330513976220949</v>
      </c>
      <c r="CG13" s="17" cm="1">
        <f t="array" ref="CG13">INDEX($O:$O,MATCH(MIN(IF(($A:$A=$V13)*($B:$B=$W13)*($J:$J=CG$12)*($H:$H=CG$11),$O:$O)),$O:$O,0),1)</f>
        <v>0.32428099999999999</v>
      </c>
      <c r="CH13" s="8" cm="1">
        <f t="array" ref="CH13">INDEX($P:$P,MATCH(MIN(IF(($A:$A=$V13)*($B:$B=$W13)*($J:$J=CG$12)*($H:$H=CG$11),$O:$O)),$O:$O,0),1)</f>
        <v>0.01</v>
      </c>
      <c r="CI13" s="30" t="b">
        <f>ABS(CG13-VLOOKUP($V13, $V$2:AB$10, 4, FALSE))&gt;MAX(CH13, VLOOKUP($V13, $V$2:$AB$10, 5, FALSE))</f>
        <v>1</v>
      </c>
      <c r="CJ13" s="30">
        <f t="shared" ref="CJ13:CJ26" si="37">VLOOKUP($V13, $V$2:$AB$10, 4, FALSE)/CG13</f>
        <v>21.58981870661556</v>
      </c>
      <c r="CK13" s="30" t="b">
        <f t="shared" ref="CK13:CK26" si="38">ABS(CG13-VLOOKUP($V13, $V$2:$AB$10, 2, FALSE))&gt;MAX(CH13, VLOOKUP($V13, $V$2:$AB$10, 3, FALSE))</f>
        <v>1</v>
      </c>
      <c r="CL13" s="30">
        <f t="shared" ref="CL13:CL26" si="39">VLOOKUP($V13, $V$2:$AB$10, 2, FALSE)/CG13</f>
        <v>0.83942013253937175</v>
      </c>
      <c r="CM13" s="30" t="b">
        <f t="shared" ref="CM13:CM26" si="40">ABS($X13-CG13)&gt;MAX($Y13,CH13)</f>
        <v>1</v>
      </c>
      <c r="CN13" s="30">
        <f t="shared" ref="CN13:CN26" si="41">$X13/CG13</f>
        <v>0.83942013253937175</v>
      </c>
      <c r="CO13" s="8" t="str" cm="1">
        <f t="array" ref="CO13">INDEX($I:$I,MATCH(MIN(IF(($A:$A=$V13)*($B:$B=$W13)*($J:$J=CG$12)*($H:$H=CG$11),$O:$O)),$O:$O,0),1)</f>
        <v>RULE</v>
      </c>
      <c r="CP13" s="8" cm="1">
        <f t="array" ref="CP13">IF(AVERAGEIFS($O:$O, $A:$A, $V13, $B:$B, $W13, $J:$J, CG$12, $H:$H, CG$11, $O:$O, "&lt;&gt;" &amp; INDEX($O:$O, MATCH(MIN(IF(($A:$A=$V13)*($B:$B=$W13)*($J:$J=CG$12)*($H:$H=CG$11), $O:$O)), $O:$O, 0), 1)) &lt;&gt; 0, ABS((INDEX($O:$O, MATCH(MIN(IF(($A:$A=$V13)*($B:$B=$W13)*($J:$J=CG$12)*($H:$H=CG$11), $O:$O)), $O:$O, 0), 1) - AVERAGEIFS($O:$O, $A:$A, $V13, $B:$B, $W13, $J:$J, CG$12, $H:$H, CG$11, $O:$O, "&lt;&gt;" &amp; INDEX($O:$O, MATCH(MIN(IF(($A:$A=$V13)*($B:$B=$W13)*($J:$J=CG$12)*($H:$H=CG$11), $O:$O)), $O:$O, 0), 1))) / AVERAGEIFS($O:$O, $A:$A, $V13, $B:$B, $W13, $J:$J, CG$12, $H:$H, CG$11, $O:$O, "&lt;&gt;" &amp; INDEX($O:$O, MATCH(MIN(IF(($A:$A=$V13)*($B:$B=$W13)*($J:$J=CG$12)*($H:$H=CG$11), $O:$O)), $O:$O, 0), 1))) * 100, "")</f>
        <v>11.596936925639486</v>
      </c>
      <c r="CQ13" s="17" cm="1">
        <f t="array" ref="CQ13">INDEX($O:$O,MATCH(1,($V13=$A:$A)*($W13=$B:$B)*("interpreted"=$C:$C)*("sel"=$E:$E),0))</f>
        <v>0.25847100000000001</v>
      </c>
      <c r="CR13" s="8" cm="1">
        <f t="array" ref="CR13">INDEX($P:$P,MATCH(1,($V13=$A:$A)*($W13=$B:$B)*("interpreted"=$C:$C)*("sel"=$E:$E),0))</f>
        <v>8.0000000000000002E-3</v>
      </c>
      <c r="CS13" s="30" t="b">
        <f>ABS(CQ13-VLOOKUP($V13, $V$2:AL$10, 4, FALSE))&gt;MAX(CR13, VLOOKUP($V13, $V$2:$AB$10, 5, FALSE))</f>
        <v>1</v>
      </c>
      <c r="CT13" s="30">
        <f>VLOOKUP($V13, $V$2:$AB$10, 4, FALSE)/CQ13</f>
        <v>27.086860808369217</v>
      </c>
      <c r="CU13" s="30" t="b">
        <f>ABS(CQ13-VLOOKUP($V13, $V$2:$AB$10, 2, FALSE))&gt;MAX(CR13, VLOOKUP($V13, $V$2:$AB$10, 3, FALSE))</f>
        <v>1</v>
      </c>
      <c r="CV13" s="30">
        <f>VLOOKUP($V13, $V$2:$AB$10, 2, FALSE)/CQ13</f>
        <v>1.0531471615771208</v>
      </c>
      <c r="CW13" s="30" t="b">
        <f>ABS($X13-CQ13)&gt;MAX($Y13,CR13)</f>
        <v>1</v>
      </c>
      <c r="CX13" s="30">
        <f>$X13/CQ13</f>
        <v>1.0531471615771208</v>
      </c>
    </row>
    <row r="14" spans="1:102" x14ac:dyDescent="0.2">
      <c r="A14" s="15" t="s">
        <v>14</v>
      </c>
      <c r="B14" s="15" t="s">
        <v>15</v>
      </c>
      <c r="C14" s="15" t="s">
        <v>27</v>
      </c>
      <c r="D14" s="15" t="s">
        <v>17</v>
      </c>
      <c r="E14" s="15" t="s">
        <v>28</v>
      </c>
      <c r="F14" s="15"/>
      <c r="G14" s="15">
        <v>0</v>
      </c>
      <c r="H14" s="15" t="s">
        <v>39</v>
      </c>
      <c r="I14" s="15" t="s">
        <v>75</v>
      </c>
      <c r="J14" s="15" t="s">
        <v>30</v>
      </c>
      <c r="K14" s="15"/>
      <c r="L14" s="15" t="s">
        <v>19</v>
      </c>
      <c r="M14" s="15">
        <v>1</v>
      </c>
      <c r="N14" s="15">
        <v>10</v>
      </c>
      <c r="O14" s="15">
        <v>0.38541999999999998</v>
      </c>
      <c r="P14" s="15">
        <v>5.0000000000000001E-3</v>
      </c>
      <c r="Q14" s="15" t="s">
        <v>20</v>
      </c>
      <c r="R14" s="8" t="str">
        <f t="shared" si="0"/>
        <v>jit-sel-blocking-DELTA-bytecode</v>
      </c>
      <c r="V14" s="28" t="s">
        <v>64</v>
      </c>
      <c r="W14" s="14" t="s">
        <v>65</v>
      </c>
      <c r="X14" s="17" cm="1">
        <f t="array" ref="X14">INDEX($O:$O,MATCH(1,($V14=$A:$A)*($W14=$B:$B)*("interpreted"=$C:$C)*("unordered"=$E:$E),0))</f>
        <v>7.0011679999999998</v>
      </c>
      <c r="Y14" s="8" cm="1">
        <f t="array" ref="Y14">INDEX($P:$P,MATCH(1,($V14=$A:$A)*($W14=$B:$B)*("interpreted"=$C:$C)*("unordered"=$E:$E),0))</f>
        <v>4.3999999999999997E-2</v>
      </c>
      <c r="Z14" s="8" t="str" cm="1">
        <f t="array" ref="Z14">INDEX($R:$R, MATCH(MIN(IF(($A:$A=$V14)*($B:$B=$W14), $O:$O)), $O:$O, 0), 1)</f>
        <v>jit-sel-blocking-DELTA-lambda</v>
      </c>
      <c r="AA14" s="17" cm="1">
        <f t="array" ref="AA14">INDEX($O:$O, MATCH(MIN(IF(($A:$A=$V14)*($B:$B=$W14), $O:$O)), $O:$O, 0), 1)</f>
        <v>6.0330000000000002E-2</v>
      </c>
      <c r="AB14" s="8" cm="1">
        <f t="array" ref="AB14">INDEX($P:$P, MATCH(MIN(IF(($A:$A=$V14)*($B:$B=$W14), $O:$O)), $O:$O, 0), 1)</f>
        <v>8.9999999999999998E-4</v>
      </c>
      <c r="AC14" s="19" t="b">
        <f t="shared" si="3"/>
        <v>1</v>
      </c>
      <c r="AD14" s="19">
        <f t="shared" si="4"/>
        <v>116.04787004806894</v>
      </c>
      <c r="AE14" s="19" t="b">
        <f t="shared" si="5"/>
        <v>1</v>
      </c>
      <c r="AF14" s="19">
        <f t="shared" si="6"/>
        <v>4.5119840875186474</v>
      </c>
      <c r="AG14" s="19" t="b">
        <f t="shared" si="7"/>
        <v>1</v>
      </c>
      <c r="AH14" s="19">
        <f t="shared" si="8"/>
        <v>116.04787004806894</v>
      </c>
      <c r="AI14" s="29" cm="1">
        <f t="array" ref="AI14">INDEX($O:$O,MATCH(MIN(IF(($A:$A=$V14)*($B:$B=$W14)*($J:$J=AI$12)*($H:$H=AI$11),$O:$O)),$O:$O,0),1)</f>
        <v>0.38200699999999999</v>
      </c>
      <c r="AJ14" s="14" cm="1">
        <f t="array" ref="AJ14">INDEX($P:$P,MATCH(MIN(IF(($A:$A=$V14)*($B:$B=$W14)*($J:$J=AI$12)*($H:$H=AI$11),$O:$O)),$O:$O,0),1)</f>
        <v>4.0000000000000001E-3</v>
      </c>
      <c r="AK14" s="19" t="b">
        <f t="shared" si="9"/>
        <v>1</v>
      </c>
      <c r="AL14" s="19">
        <f t="shared" si="10"/>
        <v>18.327329080357167</v>
      </c>
      <c r="AM14" s="19" t="b">
        <f t="shared" si="11"/>
        <v>1</v>
      </c>
      <c r="AN14" s="19">
        <f t="shared" si="12"/>
        <v>0.71257332980809251</v>
      </c>
      <c r="AO14" s="19" t="b">
        <f t="shared" si="13"/>
        <v>1</v>
      </c>
      <c r="AP14" s="19">
        <f t="shared" si="14"/>
        <v>18.327329080357167</v>
      </c>
      <c r="AQ14" s="14" t="str" cm="1">
        <f t="array" ref="AQ14">INDEX($I:$I,MATCH(MIN(IF(($A:$A=$V14)*($B:$B=$W14)*($J:$J=AI$12)*($H:$H=AI$11),$O:$O)),$O:$O,0),1)</f>
        <v>RULE</v>
      </c>
      <c r="AR14" s="14" cm="1">
        <f t="array" ref="AR14">IF(AVERAGEIFS($O:$O, $A:$A, $V14, $B:$B, $W14, $J:$J, AI$12, $H:$H, AI$11, $O:$O, "&lt;&gt;" &amp; INDEX($O:$O, MATCH(MIN(IF(($A:$A=$V14)*($B:$B=$W14)*($J:$J=AI$12)*($H:$H=AI$11), $O:$O)), $O:$O, 0), 1)) &lt;&gt; 0, ABS((INDEX($O:$O, MATCH(MIN(IF(($A:$A=$V14)*($B:$B=$W14)*($J:$J=AI$12)*($H:$H=AI$11), $O:$O)), $O:$O, 0), 1) - AVERAGEIFS($O:$O, $A:$A, $V14, $B:$B, $W14, $J:$J, AI$12, $H:$H, AI$11, $O:$O, "&lt;&gt;" &amp; INDEX($O:$O, MATCH(MIN(IF(($A:$A=$V14)*($B:$B=$W14)*($J:$J=AI$12)*($H:$H=AI$11), $O:$O)), $O:$O, 0), 1))) / AVERAGEIFS($O:$O, $A:$A, $V14, $B:$B, $W14, $J:$J, AI$12, $H:$H, AI$11, $O:$O, "&lt;&gt;" &amp; INDEX($O:$O, MATCH(MIN(IF(($A:$A=$V14)*($B:$B=$W14)*($J:$J=AI$12)*($H:$H=AI$11), $O:$O)), $O:$O, 0), 1))) * 100, "")</f>
        <v>62.656793381966594</v>
      </c>
      <c r="AS14" s="29" cm="1">
        <f t="array" ref="AS14">INDEX($O:$O,MATCH(MIN(IF(($A:$A=$V14)*($B:$B=$W14)*($J:$J=AS$12)*($H:$H=AS$11),$O:$O)),$O:$O,0),1)</f>
        <v>0.39790999999999999</v>
      </c>
      <c r="AT14" s="14" cm="1">
        <f t="array" ref="AT14">INDEX($P:$P,MATCH(MIN(IF(($A:$A=$V14)*($B:$B=$W14)*($J:$J=AS$12)*($H:$H=AS$11),$O:$O)),$O:$O,0),1)</f>
        <v>4.0000000000000001E-3</v>
      </c>
      <c r="AU14" s="30" t="b">
        <f>ABS(AS14-VLOOKUP($V14, $V$2:AT$10, 4, FALSE))&gt;MAX(AT14, VLOOKUP($V14, $V$2:$AB$10, 5, FALSE))</f>
        <v>1</v>
      </c>
      <c r="AV14" s="30">
        <f t="shared" si="15"/>
        <v>17.594853107486617</v>
      </c>
      <c r="AW14" s="30" t="b">
        <f t="shared" si="16"/>
        <v>1</v>
      </c>
      <c r="AX14" s="30">
        <f t="shared" si="17"/>
        <v>0.6840943932044935</v>
      </c>
      <c r="AY14" s="30" t="b">
        <f t="shared" si="18"/>
        <v>1</v>
      </c>
      <c r="AZ14" s="30">
        <f t="shared" si="19"/>
        <v>17.594853107486617</v>
      </c>
      <c r="BA14" s="8" t="str" cm="1">
        <f t="array" ref="BA14">INDEX($I:$I,MATCH(MIN(IF(($A:$A=$V14)*($B:$B=$W14)*($J:$J=AS$12)*($H:$H=AS$11),$O:$O)),$O:$O,0),1)</f>
        <v>DELTA</v>
      </c>
      <c r="BB14" s="8" cm="1">
        <f t="array" ref="BB14">IF(AVERAGEIFS($O:$O, $A:$A, $V14, $B:$B, $W14, $J:$J, AS$12, $H:$H, AS$11, $O:$O, "&lt;&gt;" &amp; INDEX($O:$O, MATCH(MIN(IF(($A:$A=$V14)*($B:$B=$W14)*($J:$J=AS$12)*($H:$H=AS$11), $O:$O)), $O:$O, 0), 1)) &lt;&gt; 0, ABS((INDEX($O:$O, MATCH(MIN(IF(($A:$A=$V14)*($B:$B=$W14)*($J:$J=AS$12)*($H:$H=AS$11), $O:$O)), $O:$O, 0), 1) - AVERAGEIFS($O:$O, $A:$A, $V14, $B:$B, $W14, $J:$J, AS$12, $H:$H, AS$11, $O:$O, "&lt;&gt;" &amp; INDEX($O:$O, MATCH(MIN(IF(($A:$A=$V14)*($B:$B=$W14)*($J:$J=AS$12)*($H:$H=AS$11), $O:$O)), $O:$O, 0), 1))) / AVERAGEIFS($O:$O, $A:$A, $V14, $B:$B, $W14, $J:$J, AS$12, $H:$H, AS$11, $O:$O, "&lt;&gt;" &amp; INDEX($O:$O, MATCH(MIN(IF(($A:$A=$V14)*($B:$B=$W14)*($J:$J=AS$12)*($H:$H=AS$11), $O:$O)), $O:$O, 0), 1))) * 100, "")</f>
        <v>12.186832769664505</v>
      </c>
      <c r="BC14" s="17" cm="1">
        <f t="array" ref="BC14">INDEX($O:$O,MATCH(MIN(IF(($A:$A=$V14)*($B:$B=$W14)*($J:$J=BC$12)*($H:$H=BC$11),$O:$O)),$O:$O,0),1)</f>
        <v>6.0330000000000002E-2</v>
      </c>
      <c r="BD14" s="8" cm="1">
        <f t="array" ref="BD14">INDEX($P:$P,MATCH(MIN(IF(($A:$A=$V14)*($B:$B=$W14)*($J:$J=BC$12)*($H:$H=BC$11),$O:$O)),$O:$O,0),1)</f>
        <v>8.9999999999999998E-4</v>
      </c>
      <c r="BE14" s="30" t="b">
        <f t="shared" si="20"/>
        <v>1</v>
      </c>
      <c r="BF14" s="30">
        <f t="shared" si="21"/>
        <v>116.04787004806894</v>
      </c>
      <c r="BG14" s="30" t="b">
        <f t="shared" si="22"/>
        <v>1</v>
      </c>
      <c r="BH14" s="30">
        <f t="shared" si="23"/>
        <v>4.5119840875186474</v>
      </c>
      <c r="BI14" s="30" t="b">
        <f t="shared" si="24"/>
        <v>1</v>
      </c>
      <c r="BJ14" s="30">
        <f t="shared" si="25"/>
        <v>116.04787004806894</v>
      </c>
      <c r="BK14" s="8" t="str" cm="1">
        <f t="array" ref="BK14">INDEX($I:$I,MATCH(MIN(IF(($A:$A=$V14)*($B:$B=$W14)*($J:$J=BC$12)*($H:$H=BC$11),$O:$O)),$O:$O,0),1)</f>
        <v>DELTA</v>
      </c>
      <c r="BL14" s="8" cm="1">
        <f t="array" ref="BL14">IF(AVERAGEIFS($O:$O, $A:$A, $V14, $B:$B, $W14, $J:$J, BC$12, $H:$H, BC$11, $O:$O, "&lt;&gt;" &amp; INDEX($O:$O, MATCH(MIN(IF(($A:$A=$V14)*($B:$B=$W14)*($J:$J=BC$12)*($H:$H=BC$11), $O:$O)), $O:$O, 0), 1)) &lt;&gt; 0, ABS((INDEX($O:$O, MATCH(MIN(IF(($A:$A=$V14)*($B:$B=$W14)*($J:$J=BC$12)*($H:$H=BC$11), $O:$O)), $O:$O, 0), 1) - AVERAGEIFS($O:$O, $A:$A, $V14, $B:$B, $W14, $J:$J, BC$12, $H:$H, BC$11, $O:$O, "&lt;&gt;" &amp; INDEX($O:$O, MATCH(MIN(IF(($A:$A=$V14)*($B:$B=$W14)*($J:$J=BC$12)*($H:$H=BC$11), $O:$O)), $O:$O, 0), 1))) / AVERAGEIFS($O:$O, $A:$A, $V14, $B:$B, $W14, $J:$J, BC$12, $H:$H, BC$11, $O:$O, "&lt;&gt;" &amp; INDEX($O:$O, MATCH(MIN(IF(($A:$A=$V14)*($B:$B=$W14)*($J:$J=BC$12)*($H:$H=BC$11), $O:$O)), $O:$O, 0), 1))) * 100, "")</f>
        <v>83.955384639933612</v>
      </c>
      <c r="BM14" s="17" cm="1">
        <f t="array" ref="BM14">INDEX($O:$O,MATCH(MIN(IF(($A:$A=$V14)*($B:$B=$W14)*($J:$J=BM$12)*($H:$H=BM$11),$O:$O)),$O:$O,0),1)</f>
        <v>0.37779800000000002</v>
      </c>
      <c r="BN14" s="8" cm="1">
        <f t="array" ref="BN14">INDEX($P:$P,MATCH(MIN(IF(($A:$A=$V14)*($B:$B=$W14)*($J:$J=BM$12)*($H:$H=BM$11),$O:$O)),$O:$O,0),1)</f>
        <v>6.0000000000000001E-3</v>
      </c>
      <c r="BO14" s="30" t="b">
        <f t="shared" si="26"/>
        <v>1</v>
      </c>
      <c r="BP14" s="30">
        <f t="shared" si="27"/>
        <v>18.531511548499463</v>
      </c>
      <c r="BQ14" s="30" t="b">
        <f t="shared" si="28"/>
        <v>1</v>
      </c>
      <c r="BR14" s="30">
        <f t="shared" si="29"/>
        <v>0.72051201965071277</v>
      </c>
      <c r="BS14" s="30" t="b">
        <f t="shared" si="30"/>
        <v>1</v>
      </c>
      <c r="BT14" s="8">
        <f t="shared" si="31"/>
        <v>18.531511548499463</v>
      </c>
      <c r="BU14" s="8" t="str" cm="1">
        <f t="array" ref="BU14">INDEX($I:$I,MATCH(MIN(IF(($A:$A=$V14)*($B:$B=$W14)*($J:$J=BM$12)*($H:$H=BM$11),$O:$O)),$O:$O,0),1)</f>
        <v>RULE</v>
      </c>
      <c r="BV14" s="8" cm="1">
        <f t="array" ref="BV14">IF(AVERAGEIFS($O:$O, $A:$A, $V14, $B:$B, $W14, $J:$J, BM$12, $H:$H, BM$11, $O:$O, "&lt;&gt;" &amp; INDEX($O:$O, MATCH(MIN(IF(($A:$A=$V14)*($B:$B=$W14)*($J:$J=BM$12)*($H:$H=BM$11), $O:$O)), $O:$O, 0), 1)) &lt;&gt; 0, ABS((INDEX($O:$O, MATCH(MIN(IF(($A:$A=$V14)*($B:$B=$W14)*($J:$J=BM$12)*($H:$H=BM$11), $O:$O)), $O:$O, 0), 1) - AVERAGEIFS($O:$O, $A:$A, $V14, $B:$B, $W14, $J:$J, BM$12, $H:$H, BM$11, $O:$O, "&lt;&gt;" &amp; INDEX($O:$O, MATCH(MIN(IF(($A:$A=$V14)*($B:$B=$W14)*($J:$J=BM$12)*($H:$H=BM$11), $O:$O)), $O:$O, 0), 1))) / AVERAGEIFS($O:$O, $A:$A, $V14, $B:$B, $W14, $J:$J, BM$12, $H:$H, BM$11, $O:$O, "&lt;&gt;" &amp; INDEX($O:$O, MATCH(MIN(IF(($A:$A=$V14)*($B:$B=$W14)*($J:$J=BM$12)*($H:$H=BM$11), $O:$O)), $O:$O, 0), 1))) * 100, "")</f>
        <v>16.195736563075346</v>
      </c>
      <c r="BW14" s="17" cm="1">
        <f t="array" ref="BW14">INDEX($O:$O,MATCH(MIN(IF(($A:$A=$V14)*($B:$B=$W14)*($J:$J=BW$12)*($H:$H=BW$11),$O:$O)),$O:$O,0),1)</f>
        <v>0.35665400000000003</v>
      </c>
      <c r="BX14" s="8" cm="1">
        <f t="array" ref="BX14">INDEX($P:$P,MATCH(MIN(IF(($A:$A=$V14)*($B:$B=$W14)*($J:$J=BW$12)*($H:$H=BW$11),$O:$O)),$O:$O,0),1)</f>
        <v>3.0000000000000001E-3</v>
      </c>
      <c r="BY14" s="19" t="b">
        <f>ABS(BW14-VLOOKUP($V14, $V$2:AB$10, 4, FALSE))&gt;MAX(BX14, VLOOKUP($V14, $V$2:$AB$10, 5, FALSE))</f>
        <v>1</v>
      </c>
      <c r="BZ14" s="19">
        <f t="shared" si="32"/>
        <v>19.630140135817907</v>
      </c>
      <c r="CA14" s="19" t="b">
        <f t="shared" si="33"/>
        <v>1</v>
      </c>
      <c r="CB14" s="19">
        <f t="shared" si="34"/>
        <v>0.76322710526168214</v>
      </c>
      <c r="CC14" s="19" t="b">
        <f t="shared" si="35"/>
        <v>1</v>
      </c>
      <c r="CD14" s="19">
        <f t="shared" si="36"/>
        <v>19.630140135817907</v>
      </c>
      <c r="CE14" s="8" t="str" cm="1">
        <f t="array" ref="CE14">INDEX($I:$I,MATCH(MIN(IF(($A:$A=$V14)*($B:$B=$W14)*($J:$J=BW$12)*($H:$H=BW$11),$O:$O)),$O:$O,0),1)</f>
        <v>RULE</v>
      </c>
      <c r="CF14" s="8" cm="1">
        <f t="array" ref="CF14">IF(AVERAGEIFS($O:$O, $A:$A, $V14, $B:$B, $W14, $J:$J, BW$12, $H:$H, BW$11, $O:$O, "&lt;&gt;" &amp; INDEX($O:$O, MATCH(MIN(IF(($A:$A=$V14)*($B:$B=$W14)*($J:$J=BW$12)*($H:$H=BW$11), $O:$O)), $O:$O, 0), 1)) &lt;&gt; 0, ABS((INDEX($O:$O, MATCH(MIN(IF(($A:$A=$V14)*($B:$B=$W14)*($J:$J=BW$12)*($H:$H=BW$11), $O:$O)), $O:$O, 0), 1) - AVERAGEIFS($O:$O, $A:$A, $V14, $B:$B, $W14, $J:$J, BW$12, $H:$H, BW$11, $O:$O, "&lt;&gt;" &amp; INDEX($O:$O, MATCH(MIN(IF(($A:$A=$V14)*($B:$B=$W14)*($J:$J=BW$12)*($H:$H=BW$11), $O:$O)), $O:$O, 0), 1))) / AVERAGEIFS($O:$O, $A:$A, $V14, $B:$B, $W14, $J:$J, BW$12, $H:$H, BW$11, $O:$O, "&lt;&gt;" &amp; INDEX($O:$O, MATCH(MIN(IF(($A:$A=$V14)*($B:$B=$W14)*($J:$J=BW$12)*($H:$H=BW$11), $O:$O)), $O:$O, 0), 1))) * 100, "")</f>
        <v>34.344464489525421</v>
      </c>
      <c r="CG14" s="17" cm="1">
        <f t="array" ref="CG14">INDEX($O:$O,MATCH(MIN(IF(($A:$A=$V14)*($B:$B=$W14)*($J:$J=CG$12)*($H:$H=CG$11),$O:$O)),$O:$O,0),1)</f>
        <v>0.39541100000000001</v>
      </c>
      <c r="CH14" s="8" cm="1">
        <f t="array" ref="CH14">INDEX($P:$P,MATCH(MIN(IF(($A:$A=$V14)*($B:$B=$W14)*($J:$J=CG$12)*($H:$H=CG$11),$O:$O)),$O:$O,0),1)</f>
        <v>1.6E-2</v>
      </c>
      <c r="CI14" s="30" t="b">
        <f>ABS(CG14-VLOOKUP($V14, $V$2:AB$10, 4, FALSE))&gt;MAX(CH14, VLOOKUP($V14, $V$2:$AB$10, 5, FALSE))</f>
        <v>1</v>
      </c>
      <c r="CJ14" s="30">
        <f t="shared" si="37"/>
        <v>17.70605268948006</v>
      </c>
      <c r="CK14" s="30" t="b">
        <f t="shared" si="38"/>
        <v>1</v>
      </c>
      <c r="CL14" s="30">
        <f t="shared" si="39"/>
        <v>0.68841787406015509</v>
      </c>
      <c r="CM14" s="30" t="b">
        <f t="shared" si="40"/>
        <v>1</v>
      </c>
      <c r="CN14" s="30">
        <f t="shared" si="41"/>
        <v>17.70605268948006</v>
      </c>
      <c r="CO14" s="8" t="str" cm="1">
        <f t="array" ref="CO14">INDEX($I:$I,MATCH(MIN(IF(($A:$A=$V14)*($B:$B=$W14)*($J:$J=CG$12)*($H:$H=CG$11),$O:$O)),$O:$O,0),1)</f>
        <v>ALL</v>
      </c>
      <c r="CP14" s="8" cm="1">
        <f t="array" ref="CP14">IF(AVERAGEIFS($O:$O, $A:$A, $V14, $B:$B, $W14, $J:$J, CG$12, $H:$H, CG$11, $O:$O, "&lt;&gt;" &amp; INDEX($O:$O, MATCH(MIN(IF(($A:$A=$V14)*($B:$B=$W14)*($J:$J=CG$12)*($H:$H=CG$11), $O:$O)), $O:$O, 0), 1)) &lt;&gt; 0, ABS((INDEX($O:$O, MATCH(MIN(IF(($A:$A=$V14)*($B:$B=$W14)*($J:$J=CG$12)*($H:$H=CG$11), $O:$O)), $O:$O, 0), 1) - AVERAGEIFS($O:$O, $A:$A, $V14, $B:$B, $W14, $J:$J, CG$12, $H:$H, CG$11, $O:$O, "&lt;&gt;" &amp; INDEX($O:$O, MATCH(MIN(IF(($A:$A=$V14)*($B:$B=$W14)*($J:$J=CG$12)*($H:$H=CG$11), $O:$O)), $O:$O, 0), 1))) / AVERAGEIFS($O:$O, $A:$A, $V14, $B:$B, $W14, $J:$J, CG$12, $H:$H, CG$11, $O:$O, "&lt;&gt;" &amp; INDEX($O:$O, MATCH(MIN(IF(($A:$A=$V14)*($B:$B=$W14)*($J:$J=CG$12)*($H:$H=CG$11), $O:$O)), $O:$O, 0), 1))) * 100, "")</f>
        <v>3.202028930869953</v>
      </c>
      <c r="CQ14" s="17" cm="1">
        <f t="array" ref="CQ14">INDEX($O:$O,MATCH(1,($V14=$A:$A)*($W14=$B:$B)*("interpreted"=$C:$C)*("sel"=$E:$E),0))</f>
        <v>0.38497900000000002</v>
      </c>
      <c r="CR14" s="8" cm="1">
        <f t="array" ref="CR14">INDEX($P:$P,MATCH(1,($V14=$A:$A)*($W14=$B:$B)*("interpreted"=$C:$C)*("sel"=$E:$E),0))</f>
        <v>4.0000000000000001E-3</v>
      </c>
      <c r="CS14" s="30" t="b">
        <f>ABS(CQ14-VLOOKUP($V14, $V$2:AL$10, 4, FALSE))&gt;MAX(CR14, VLOOKUP($V14, $V$2:$AB$10, 5, FALSE))</f>
        <v>1</v>
      </c>
      <c r="CT14" s="30">
        <f t="shared" ref="CT14:CT26" si="42">VLOOKUP($V14, $V$2:$AB$10, 4, FALSE)/CQ14</f>
        <v>18.185843903173939</v>
      </c>
      <c r="CU14" s="30" t="b">
        <f t="shared" ref="CU14:CU26" si="43">ABS(CQ14-VLOOKUP($V14, $V$2:$AB$10, 2, FALSE))&gt;MAX(CR14, VLOOKUP($V14, $V$2:$AB$10, 3, FALSE))</f>
        <v>1</v>
      </c>
      <c r="CV14" s="30">
        <f t="shared" ref="CV14:CV26" si="44">VLOOKUP($V14, $V$2:$AB$10, 2, FALSE)/CQ14</f>
        <v>0.70707233381561074</v>
      </c>
      <c r="CW14" s="30" t="b">
        <f t="shared" ref="CW14:CW26" si="45">ABS($X14-CQ14)&gt;MAX($Y14,CR14)</f>
        <v>1</v>
      </c>
      <c r="CX14" s="30">
        <f t="shared" ref="CX14:CX26" si="46">$X14/CQ14</f>
        <v>18.185843903173939</v>
      </c>
    </row>
    <row r="15" spans="1:102" x14ac:dyDescent="0.2">
      <c r="A15" s="15" t="s">
        <v>14</v>
      </c>
      <c r="B15" s="15" t="s">
        <v>15</v>
      </c>
      <c r="C15" s="15" t="s">
        <v>27</v>
      </c>
      <c r="D15" s="15" t="s">
        <v>17</v>
      </c>
      <c r="E15" s="15" t="s">
        <v>28</v>
      </c>
      <c r="F15" s="15"/>
      <c r="G15" s="15">
        <v>0</v>
      </c>
      <c r="H15" s="15" t="s">
        <v>39</v>
      </c>
      <c r="I15" s="15" t="s">
        <v>75</v>
      </c>
      <c r="J15" s="15" t="s">
        <v>31</v>
      </c>
      <c r="K15" s="15"/>
      <c r="L15" s="15" t="s">
        <v>19</v>
      </c>
      <c r="M15" s="15">
        <v>1</v>
      </c>
      <c r="N15" s="15">
        <v>10</v>
      </c>
      <c r="O15" s="15">
        <v>5.7259999999999998E-2</v>
      </c>
      <c r="P15" s="15">
        <v>5.9999999999999995E-4</v>
      </c>
      <c r="Q15" s="15" t="s">
        <v>20</v>
      </c>
      <c r="R15" s="8" t="str">
        <f t="shared" si="0"/>
        <v>jit-sel-blocking-DELTA-lambda</v>
      </c>
      <c r="V15" s="8" t="s">
        <v>32</v>
      </c>
      <c r="W15" s="14" t="s">
        <v>15</v>
      </c>
      <c r="X15" s="17" cm="1">
        <f t="array" ref="X15">INDEX($O:$O,MATCH(1,($V15=$A:$A)*($W15=$B:$B)*("interpreted"=$C:$C)*("unordered"=$E:$E),0))</f>
        <v>8.064E-3</v>
      </c>
      <c r="Y15" s="8" cm="1">
        <f t="array" ref="Y15">INDEX($P:$P,MATCH(1,($V15=$A:$A)*($W15=$B:$B)*("interpreted"=$C:$C)*("unordered"=$E:$E),0))</f>
        <v>1E-4</v>
      </c>
      <c r="Z15" s="8" t="str" cm="1">
        <f t="array" ref="Z15">INDEX($R:$R, MATCH(MIN(IF(($A:$A=$V15)*($B:$B=$W15), $O:$O)), $O:$O, 0), 1)</f>
        <v>interpreted-unordered---</v>
      </c>
      <c r="AA15" s="17" cm="1">
        <f t="array" ref="AA15">INDEX($O:$O, MATCH(MIN(IF(($A:$A=$V15)*($B:$B=$W15), $O:$O)), $O:$O, 0), 1)</f>
        <v>8.064E-3</v>
      </c>
      <c r="AB15" s="8" cm="1">
        <f t="array" ref="AB15">INDEX($P:$P, MATCH(MIN(IF(($A:$A=$V15)*($B:$B=$W15), $O:$O)), $O:$O, 0), 1)</f>
        <v>1E-4</v>
      </c>
      <c r="AC15" s="19" t="b">
        <f t="shared" si="3"/>
        <v>1</v>
      </c>
      <c r="AD15" s="19">
        <f t="shared" si="4"/>
        <v>4.7511160714285712</v>
      </c>
      <c r="AE15" s="19" t="b">
        <f t="shared" si="5"/>
        <v>0</v>
      </c>
      <c r="AF15" s="19">
        <f t="shared" si="6"/>
        <v>1</v>
      </c>
      <c r="AG15" s="19" t="b">
        <f t="shared" si="7"/>
        <v>0</v>
      </c>
      <c r="AH15" s="19">
        <f t="shared" si="8"/>
        <v>1</v>
      </c>
      <c r="AI15" s="29" cm="1">
        <f t="array" ref="AI15">INDEX($O:$O,MATCH(MIN(IF(($A:$A=$V15)*($B:$B=$W15)*($J:$J=AI$12)*($H:$H=AI$11),$O:$O)),$O:$O,0),1)</f>
        <v>1.3105E-2</v>
      </c>
      <c r="AJ15" s="14" cm="1">
        <f t="array" ref="AJ15">INDEX($P:$P,MATCH(MIN(IF(($A:$A=$V15)*($B:$B=$W15)*($J:$J=AI$12)*($H:$H=AI$11),$O:$O)),$O:$O,0),1)</f>
        <v>2.0000000000000001E-4</v>
      </c>
      <c r="AK15" s="19" t="b">
        <f t="shared" si="9"/>
        <v>1</v>
      </c>
      <c r="AL15" s="19">
        <f t="shared" si="10"/>
        <v>2.9235406333460512</v>
      </c>
      <c r="AM15" s="19" t="b">
        <f t="shared" si="11"/>
        <v>1</v>
      </c>
      <c r="AN15" s="19">
        <f t="shared" si="12"/>
        <v>0.61533765738267832</v>
      </c>
      <c r="AO15" s="19" t="b">
        <f t="shared" si="13"/>
        <v>1</v>
      </c>
      <c r="AP15" s="19">
        <f t="shared" si="14"/>
        <v>0.61533765738267832</v>
      </c>
      <c r="AQ15" s="14" t="str" cm="1">
        <f t="array" ref="AQ15">INDEX($I:$I,MATCH(MIN(IF(($A:$A=$V15)*($B:$B=$W15)*($J:$J=AI$12)*($H:$H=AI$11),$O:$O)),$O:$O,0),1)</f>
        <v>RULE</v>
      </c>
      <c r="AR15" s="14" cm="1">
        <f t="array" ref="AR15">IF(AVERAGEIFS($O:$O, $A:$A, $V15, $B:$B, $W15, $J:$J, AI$12, $H:$H, AI$11, $O:$O, "&lt;&gt;" &amp; INDEX($O:$O, MATCH(MIN(IF(($A:$A=$V15)*($B:$B=$W15)*($J:$J=AI$12)*($H:$H=AI$11), $O:$O)), $O:$O, 0), 1)) &lt;&gt; 0, ABS((INDEX($O:$O, MATCH(MIN(IF(($A:$A=$V15)*($B:$B=$W15)*($J:$J=AI$12)*($H:$H=AI$11), $O:$O)), $O:$O, 0), 1) - AVERAGEIFS($O:$O, $A:$A, $V15, $B:$B, $W15, $J:$J, AI$12, $H:$H, AI$11, $O:$O, "&lt;&gt;" &amp; INDEX($O:$O, MATCH(MIN(IF(($A:$A=$V15)*($B:$B=$W15)*($J:$J=AI$12)*($H:$H=AI$11), $O:$O)), $O:$O, 0), 1))) / AVERAGEIFS($O:$O, $A:$A, $V15, $B:$B, $W15, $J:$J, AI$12, $H:$H, AI$11, $O:$O, "&lt;&gt;" &amp; INDEX($O:$O, MATCH(MIN(IF(($A:$A=$V15)*($B:$B=$W15)*($J:$J=AI$12)*($H:$H=AI$11), $O:$O)), $O:$O, 0), 1))) * 100, "")</f>
        <v>92.620269060316133</v>
      </c>
      <c r="AS15" s="29" cm="1">
        <f t="array" ref="AS15">INDEX($O:$O,MATCH(MIN(IF(($A:$A=$V15)*($B:$B=$W15)*($J:$J=AS$12)*($H:$H=AS$11),$O:$O)),$O:$O,0),1)</f>
        <v>1.2220999999999999E-2</v>
      </c>
      <c r="AT15" s="14" cm="1">
        <f t="array" ref="AT15">INDEX($P:$P,MATCH(MIN(IF(($A:$A=$V15)*($B:$B=$W15)*($J:$J=AS$12)*($H:$H=AS$11),$O:$O)),$O:$O,0),1)</f>
        <v>1E-4</v>
      </c>
      <c r="AU15" s="30" t="b">
        <f>ABS(AS15-VLOOKUP($V15, $V$2:AT$10, 4, FALSE))&gt;MAX(AT15, VLOOKUP($V15, $V$2:$AB$10, 5, FALSE))</f>
        <v>1</v>
      </c>
      <c r="AV15" s="30">
        <f t="shared" si="15"/>
        <v>3.135013501350135</v>
      </c>
      <c r="AW15" s="30" t="b">
        <f t="shared" si="16"/>
        <v>1</v>
      </c>
      <c r="AX15" s="30">
        <f t="shared" si="17"/>
        <v>0.65984780296211443</v>
      </c>
      <c r="AY15" s="30" t="b">
        <f t="shared" si="18"/>
        <v>1</v>
      </c>
      <c r="AZ15" s="30">
        <f t="shared" si="19"/>
        <v>0.65984780296211443</v>
      </c>
      <c r="BA15" s="8" t="str" cm="1">
        <f t="array" ref="BA15">INDEX($I:$I,MATCH(MIN(IF(($A:$A=$V15)*($B:$B=$W15)*($J:$J=AS$12)*($H:$H=AS$11),$O:$O)),$O:$O,0),1)</f>
        <v>RULE</v>
      </c>
      <c r="BB15" s="8" cm="1">
        <f t="array" ref="BB15">IF(AVERAGEIFS($O:$O, $A:$A, $V15, $B:$B, $W15, $J:$J, AS$12, $H:$H, AS$11, $O:$O, "&lt;&gt;" &amp; INDEX($O:$O, MATCH(MIN(IF(($A:$A=$V15)*($B:$B=$W15)*($J:$J=AS$12)*($H:$H=AS$11), $O:$O)), $O:$O, 0), 1)) &lt;&gt; 0, ABS((INDEX($O:$O, MATCH(MIN(IF(($A:$A=$V15)*($B:$B=$W15)*($J:$J=AS$12)*($H:$H=AS$11), $O:$O)), $O:$O, 0), 1) - AVERAGEIFS($O:$O, $A:$A, $V15, $B:$B, $W15, $J:$J, AS$12, $H:$H, AS$11, $O:$O, "&lt;&gt;" &amp; INDEX($O:$O, MATCH(MIN(IF(($A:$A=$V15)*($B:$B=$W15)*($J:$J=AS$12)*($H:$H=AS$11), $O:$O)), $O:$O, 0), 1))) / AVERAGEIFS($O:$O, $A:$A, $V15, $B:$B, $W15, $J:$J, AS$12, $H:$H, AS$11, $O:$O, "&lt;&gt;" &amp; INDEX($O:$O, MATCH(MIN(IF(($A:$A=$V15)*($B:$B=$W15)*($J:$J=AS$12)*($H:$H=AS$11), $O:$O)), $O:$O, 0), 1))) * 100, "")</f>
        <v>59.265370064830094</v>
      </c>
      <c r="BC15" s="17" cm="1">
        <f t="array" ref="BC15">INDEX($O:$O,MATCH(MIN(IF(($A:$A=$V15)*($B:$B=$W15)*($J:$J=BC$12)*($H:$H=BC$11),$O:$O)),$O:$O,0),1)</f>
        <v>9.3620000000000005E-3</v>
      </c>
      <c r="BD15" s="8" cm="1">
        <f t="array" ref="BD15">INDEX($P:$P,MATCH(MIN(IF(($A:$A=$V15)*($B:$B=$W15)*($J:$J=BC$12)*($H:$H=BC$11),$O:$O)),$O:$O,0),1)</f>
        <v>2.0000000000000001E-4</v>
      </c>
      <c r="BE15" s="30" t="b">
        <f t="shared" si="20"/>
        <v>1</v>
      </c>
      <c r="BF15" s="30">
        <f t="shared" si="21"/>
        <v>4.0923947874385815</v>
      </c>
      <c r="BG15" s="30" t="b">
        <f t="shared" si="22"/>
        <v>1</v>
      </c>
      <c r="BH15" s="30">
        <f t="shared" si="23"/>
        <v>0.8613544114505447</v>
      </c>
      <c r="BI15" s="30" t="b">
        <f t="shared" si="24"/>
        <v>1</v>
      </c>
      <c r="BJ15" s="30">
        <f t="shared" si="25"/>
        <v>0.8613544114505447</v>
      </c>
      <c r="BK15" s="8" t="str" cm="1">
        <f t="array" ref="BK15">INDEX($I:$I,MATCH(MIN(IF(($A:$A=$V15)*($B:$B=$W15)*($J:$J=BC$12)*($H:$H=BC$11),$O:$O)),$O:$O,0),1)</f>
        <v>RULE</v>
      </c>
      <c r="BL15" s="8" cm="1">
        <f t="array" ref="BL15">IF(AVERAGEIFS($O:$O, $A:$A, $V15, $B:$B, $W15, $J:$J, BC$12, $H:$H, BC$11, $O:$O, "&lt;&gt;" &amp; INDEX($O:$O, MATCH(MIN(IF(($A:$A=$V15)*($B:$B=$W15)*($J:$J=BC$12)*($H:$H=BC$11), $O:$O)), $O:$O, 0), 1)) &lt;&gt; 0, ABS((INDEX($O:$O, MATCH(MIN(IF(($A:$A=$V15)*($B:$B=$W15)*($J:$J=BC$12)*($H:$H=BC$11), $O:$O)), $O:$O, 0), 1) - AVERAGEIFS($O:$O, $A:$A, $V15, $B:$B, $W15, $J:$J, BC$12, $H:$H, BC$11, $O:$O, "&lt;&gt;" &amp; INDEX($O:$O, MATCH(MIN(IF(($A:$A=$V15)*($B:$B=$W15)*($J:$J=BC$12)*($H:$H=BC$11), $O:$O)), $O:$O, 0), 1))) / AVERAGEIFS($O:$O, $A:$A, $V15, $B:$B, $W15, $J:$J, BC$12, $H:$H, BC$11, $O:$O, "&lt;&gt;" &amp; INDEX($O:$O, MATCH(MIN(IF(($A:$A=$V15)*($B:$B=$W15)*($J:$J=BC$12)*($H:$H=BC$11), $O:$O)), $O:$O, 0), 1))) * 100, "")</f>
        <v>0.44132503854947486</v>
      </c>
      <c r="BM15" s="17" cm="1">
        <f t="array" ref="BM15">INDEX($O:$O,MATCH(MIN(IF(($A:$A=$V15)*($B:$B=$W15)*($J:$J=BM$12)*($H:$H=BM$11),$O:$O)),$O:$O,0),1)</f>
        <v>1.2248E-2</v>
      </c>
      <c r="BN15" s="8" cm="1">
        <f t="array" ref="BN15">INDEX($P:$P,MATCH(MIN(IF(($A:$A=$V15)*($B:$B=$W15)*($J:$J=BM$12)*($H:$H=BM$11),$O:$O)),$O:$O,0),1)</f>
        <v>1E-3</v>
      </c>
      <c r="BO15" s="30" t="b">
        <f t="shared" si="26"/>
        <v>1</v>
      </c>
      <c r="BP15" s="30">
        <f t="shared" si="27"/>
        <v>3.1281025473546702</v>
      </c>
      <c r="BQ15" s="30" t="b">
        <f t="shared" si="28"/>
        <v>1</v>
      </c>
      <c r="BR15" s="30">
        <f t="shared" si="29"/>
        <v>0.65839320705421289</v>
      </c>
      <c r="BS15" s="30" t="b">
        <f t="shared" si="30"/>
        <v>1</v>
      </c>
      <c r="BT15" s="8">
        <f t="shared" si="31"/>
        <v>0.65839320705421289</v>
      </c>
      <c r="BU15" s="8" t="str" cm="1">
        <f t="array" ref="BU15">INDEX($I:$I,MATCH(MIN(IF(($A:$A=$V15)*($B:$B=$W15)*($J:$J=BM$12)*($H:$H=BM$11),$O:$O)),$O:$O,0),1)</f>
        <v>ALL</v>
      </c>
      <c r="BV15" s="8" cm="1">
        <f t="array" ref="BV15">IF(AVERAGEIFS($O:$O, $A:$A, $V15, $B:$B, $W15, $J:$J, BM$12, $H:$H, BM$11, $O:$O, "&lt;&gt;" &amp; INDEX($O:$O, MATCH(MIN(IF(($A:$A=$V15)*($B:$B=$W15)*($J:$J=BM$12)*($H:$H=BM$11), $O:$O)), $O:$O, 0), 1)) &lt;&gt; 0, ABS((INDEX($O:$O, MATCH(MIN(IF(($A:$A=$V15)*($B:$B=$W15)*($J:$J=BM$12)*($H:$H=BM$11), $O:$O)), $O:$O, 0), 1) - AVERAGEIFS($O:$O, $A:$A, $V15, $B:$B, $W15, $J:$J, BM$12, $H:$H, BM$11, $O:$O, "&lt;&gt;" &amp; INDEX($O:$O, MATCH(MIN(IF(($A:$A=$V15)*($B:$B=$W15)*($J:$J=BM$12)*($H:$H=BM$11), $O:$O)), $O:$O, 0), 1))) / AVERAGEIFS($O:$O, $A:$A, $V15, $B:$B, $W15, $J:$J, BM$12, $H:$H, BM$11, $O:$O, "&lt;&gt;" &amp; INDEX($O:$O, MATCH(MIN(IF(($A:$A=$V15)*($B:$B=$W15)*($J:$J=BM$12)*($H:$H=BM$11), $O:$O)), $O:$O, 0), 1))) * 100, "")</f>
        <v>5.024813895781632</v>
      </c>
      <c r="BW15" s="17" cm="1">
        <f t="array" ref="BW15">INDEX($O:$O,MATCH(MIN(IF(($A:$A=$V15)*($B:$B=$W15)*($J:$J=BW$12)*($H:$H=BW$11),$O:$O)),$O:$O,0),1)</f>
        <v>1.2978E-2</v>
      </c>
      <c r="BX15" s="8" cm="1">
        <f t="array" ref="BX15">INDEX($P:$P,MATCH(MIN(IF(($A:$A=$V15)*($B:$B=$W15)*($J:$J=BW$12)*($H:$H=BW$11),$O:$O)),$O:$O,0),1)</f>
        <v>2.0000000000000001E-4</v>
      </c>
      <c r="BY15" s="19" t="b">
        <f>ABS(BW15-VLOOKUP($V15, $V$2:AB$10, 4, FALSE))&gt;MAX(BX15, VLOOKUP($V15, $V$2:$AB$10, 5, FALSE))</f>
        <v>1</v>
      </c>
      <c r="BZ15" s="19">
        <f t="shared" si="32"/>
        <v>2.952149791955617</v>
      </c>
      <c r="CA15" s="19" t="b">
        <f t="shared" si="33"/>
        <v>1</v>
      </c>
      <c r="CB15" s="19">
        <f t="shared" si="34"/>
        <v>0.62135922330097082</v>
      </c>
      <c r="CC15" s="19" t="b">
        <f t="shared" si="35"/>
        <v>1</v>
      </c>
      <c r="CD15" s="19">
        <f t="shared" si="36"/>
        <v>0.62135922330097082</v>
      </c>
      <c r="CE15" s="8" t="str" cm="1">
        <f t="array" ref="CE15">INDEX($I:$I,MATCH(MIN(IF(($A:$A=$V15)*($B:$B=$W15)*($J:$J=BW$12)*($H:$H=BW$11),$O:$O)),$O:$O,0),1)</f>
        <v>RULE</v>
      </c>
      <c r="CF15" s="8" cm="1">
        <f t="array" ref="CF15">IF(AVERAGEIFS($O:$O, $A:$A, $V15, $B:$B, $W15, $J:$J, BW$12, $H:$H, BW$11, $O:$O, "&lt;&gt;" &amp; INDEX($O:$O, MATCH(MIN(IF(($A:$A=$V15)*($B:$B=$W15)*($J:$J=BW$12)*($H:$H=BW$11), $O:$O)), $O:$O, 0), 1)) &lt;&gt; 0, ABS((INDEX($O:$O, MATCH(MIN(IF(($A:$A=$V15)*($B:$B=$W15)*($J:$J=BW$12)*($H:$H=BW$11), $O:$O)), $O:$O, 0), 1) - AVERAGEIFS($O:$O, $A:$A, $V15, $B:$B, $W15, $J:$J, BW$12, $H:$H, BW$11, $O:$O, "&lt;&gt;" &amp; INDEX($O:$O, MATCH(MIN(IF(($A:$A=$V15)*($B:$B=$W15)*($J:$J=BW$12)*($H:$H=BW$11), $O:$O)), $O:$O, 0), 1))) / AVERAGEIFS($O:$O, $A:$A, $V15, $B:$B, $W15, $J:$J, BW$12, $H:$H, BW$11, $O:$O, "&lt;&gt;" &amp; INDEX($O:$O, MATCH(MIN(IF(($A:$A=$V15)*($B:$B=$W15)*($J:$J=BW$12)*($H:$H=BW$11), $O:$O)), $O:$O, 0), 1))) * 100, "")</f>
        <v>76.080064877617218</v>
      </c>
      <c r="CG15" s="17" cm="1">
        <f t="array" ref="CG15">INDEX($O:$O,MATCH(MIN(IF(($A:$A=$V15)*($B:$B=$W15)*($J:$J=CG$12)*($H:$H=CG$11),$O:$O)),$O:$O,0),1)</f>
        <v>1.0154E-2</v>
      </c>
      <c r="CH15" s="8" cm="1">
        <f t="array" ref="CH15">INDEX($P:$P,MATCH(MIN(IF(($A:$A=$V15)*($B:$B=$W15)*($J:$J=CG$12)*($H:$H=CG$11),$O:$O)),$O:$O,0),1)</f>
        <v>2.0000000000000001E-4</v>
      </c>
      <c r="CI15" s="30" t="b">
        <f>ABS(CG15-VLOOKUP($V15, $V$2:AB$10, 4, FALSE))&gt;MAX(CH15, VLOOKUP($V15, $V$2:$AB$10, 5, FALSE))</f>
        <v>1</v>
      </c>
      <c r="CJ15" s="30">
        <f t="shared" si="37"/>
        <v>3.7731928304116606</v>
      </c>
      <c r="CK15" s="30" t="b">
        <f t="shared" si="38"/>
        <v>1</v>
      </c>
      <c r="CL15" s="30">
        <f t="shared" si="39"/>
        <v>0.79416978530628324</v>
      </c>
      <c r="CM15" s="30" t="b">
        <f t="shared" si="40"/>
        <v>1</v>
      </c>
      <c r="CN15" s="30">
        <f t="shared" si="41"/>
        <v>0.79416978530628324</v>
      </c>
      <c r="CO15" s="8" t="str" cm="1">
        <f t="array" ref="CO15">INDEX($I:$I,MATCH(MIN(IF(($A:$A=$V15)*($B:$B=$W15)*($J:$J=CG$12)*($H:$H=CG$11),$O:$O)),$O:$O,0),1)</f>
        <v>RULE</v>
      </c>
      <c r="CP15" s="8" cm="1">
        <f t="array" ref="CP15">IF(AVERAGEIFS($O:$O, $A:$A, $V15, $B:$B, $W15, $J:$J, CG$12, $H:$H, CG$11, $O:$O, "&lt;&gt;" &amp; INDEX($O:$O, MATCH(MIN(IF(($A:$A=$V15)*($B:$B=$W15)*($J:$J=CG$12)*($H:$H=CG$11), $O:$O)), $O:$O, 0), 1)) &lt;&gt; 0, ABS((INDEX($O:$O, MATCH(MIN(IF(($A:$A=$V15)*($B:$B=$W15)*($J:$J=CG$12)*($H:$H=CG$11), $O:$O)), $O:$O, 0), 1) - AVERAGEIFS($O:$O, $A:$A, $V15, $B:$B, $W15, $J:$J, CG$12, $H:$H, CG$11, $O:$O, "&lt;&gt;" &amp; INDEX($O:$O, MATCH(MIN(IF(($A:$A=$V15)*($B:$B=$W15)*($J:$J=CG$12)*($H:$H=CG$11), $O:$O)), $O:$O, 0), 1))) / AVERAGEIFS($O:$O, $A:$A, $V15, $B:$B, $W15, $J:$J, CG$12, $H:$H, CG$11, $O:$O, "&lt;&gt;" &amp; INDEX($O:$O, MATCH(MIN(IF(($A:$A=$V15)*($B:$B=$W15)*($J:$J=CG$12)*($H:$H=CG$11), $O:$O)), $O:$O, 0), 1))) * 100, "")</f>
        <v>8.7526959022286199</v>
      </c>
      <c r="CQ15" s="17" cm="1">
        <f t="array" ref="CQ15">INDEX($O:$O,MATCH(1,($V15=$A:$A)*($W15=$B:$B)*("interpreted"=$C:$C)*("sel"=$E:$E),0))</f>
        <v>1.0123999999999999E-2</v>
      </c>
      <c r="CR15" s="8" cm="1">
        <f t="array" ref="CR15">INDEX($P:$P,MATCH(1,($V15=$A:$A)*($W15=$B:$B)*("interpreted"=$C:$C)*("sel"=$E:$E),0))</f>
        <v>8.0000000000000007E-5</v>
      </c>
      <c r="CS15" s="30" t="b">
        <f>ABS(CQ15-VLOOKUP($V15, $V$2:AL$10, 4, FALSE))&gt;MAX(CR15, VLOOKUP($V15, $V$2:$AB$10, 5, FALSE))</f>
        <v>1</v>
      </c>
      <c r="CT15" s="30">
        <f t="shared" si="42"/>
        <v>3.7843737653101543</v>
      </c>
      <c r="CU15" s="30" t="b">
        <f t="shared" si="43"/>
        <v>1</v>
      </c>
      <c r="CV15" s="30">
        <f t="shared" si="44"/>
        <v>0.79652311339391546</v>
      </c>
      <c r="CW15" s="30" t="b">
        <f t="shared" si="45"/>
        <v>1</v>
      </c>
      <c r="CX15" s="30">
        <f t="shared" si="46"/>
        <v>0.79652311339391546</v>
      </c>
    </row>
    <row r="16" spans="1:102" x14ac:dyDescent="0.2">
      <c r="A16" s="15" t="s">
        <v>14</v>
      </c>
      <c r="B16" s="15" t="s">
        <v>15</v>
      </c>
      <c r="C16" s="15" t="s">
        <v>27</v>
      </c>
      <c r="D16" s="15" t="s">
        <v>17</v>
      </c>
      <c r="E16" s="15" t="s">
        <v>28</v>
      </c>
      <c r="F16" s="15"/>
      <c r="G16" s="15">
        <v>0</v>
      </c>
      <c r="H16" s="15" t="s">
        <v>39</v>
      </c>
      <c r="I16" s="15" t="s">
        <v>75</v>
      </c>
      <c r="J16" s="15" t="s">
        <v>33</v>
      </c>
      <c r="K16" s="15"/>
      <c r="L16" s="15" t="s">
        <v>19</v>
      </c>
      <c r="M16" s="15">
        <v>1</v>
      </c>
      <c r="N16" s="15">
        <v>10</v>
      </c>
      <c r="O16" s="15">
        <v>0.39574599999999999</v>
      </c>
      <c r="P16" s="15">
        <v>7.0000000000000001E-3</v>
      </c>
      <c r="Q16" s="15" t="s">
        <v>20</v>
      </c>
      <c r="R16" s="8" t="str">
        <f t="shared" si="0"/>
        <v>jit-sel-blocking-DELTA-quotes</v>
      </c>
      <c r="V16" s="15" t="s">
        <v>32</v>
      </c>
      <c r="W16" s="14" t="s">
        <v>65</v>
      </c>
      <c r="X16" s="17" cm="1">
        <f t="array" ref="X16">INDEX($O:$O,MATCH(1,($V16=$A:$A)*($W16=$B:$B)*("interpreted"=$C:$C)*("unordered"=$E:$E),0))</f>
        <v>3.8313E-2</v>
      </c>
      <c r="Y16" s="8" cm="1">
        <f t="array" ref="Y16">INDEX($P:$P,MATCH(1,($V16=$A:$A)*($W16=$B:$B)*("interpreted"=$C:$C)*("unordered"=$E:$E),0))</f>
        <v>1E-3</v>
      </c>
      <c r="Z16" s="8" t="str" cm="1">
        <f t="array" ref="Z16">INDEX($R:$R, MATCH(MIN(IF(($A:$A=$V16)*($B:$B=$W16), $O:$O)), $O:$O, 0), 1)</f>
        <v>interpreted-sel---</v>
      </c>
      <c r="AA16" s="17" cm="1">
        <f t="array" ref="AA16">INDEX($O:$O, MATCH(MIN(IF(($A:$A=$V16)*($B:$B=$W16), $O:$O)), $O:$O, 0), 1)</f>
        <v>8.3029999999999996E-3</v>
      </c>
      <c r="AB16" s="8" cm="1">
        <f t="array" ref="AB16">INDEX($P:$P, MATCH(MIN(IF(($A:$A=$V16)*($B:$B=$W16), $O:$O)), $O:$O, 0), 1)</f>
        <v>9.0000000000000006E-5</v>
      </c>
      <c r="AC16" s="19" t="b">
        <f t="shared" si="3"/>
        <v>1</v>
      </c>
      <c r="AD16" s="19">
        <f t="shared" si="4"/>
        <v>4.6143562567746601</v>
      </c>
      <c r="AE16" s="19" t="b">
        <f t="shared" si="5"/>
        <v>1</v>
      </c>
      <c r="AF16" s="19">
        <f t="shared" si="6"/>
        <v>0.97121522341322419</v>
      </c>
      <c r="AG16" s="19" t="b">
        <f t="shared" si="7"/>
        <v>1</v>
      </c>
      <c r="AH16" s="19">
        <f t="shared" si="8"/>
        <v>4.6143562567746601</v>
      </c>
      <c r="AI16" s="29" cm="1">
        <f t="array" ref="AI16">INDEX($O:$O,MATCH(MIN(IF(($A:$A=$V16)*($B:$B=$W16)*($J:$J=AI$12)*($H:$H=AI$11),$O:$O)),$O:$O,0),1)</f>
        <v>1.0316000000000001E-2</v>
      </c>
      <c r="AJ16" s="14" cm="1">
        <f t="array" ref="AJ16">INDEX($P:$P,MATCH(MIN(IF(($A:$A=$V16)*($B:$B=$W16)*($J:$J=AI$12)*($H:$H=AI$11),$O:$O)),$O:$O,0),1)</f>
        <v>1E-4</v>
      </c>
      <c r="AK16" s="19" t="b">
        <f t="shared" si="9"/>
        <v>1</v>
      </c>
      <c r="AL16" s="19">
        <f t="shared" si="10"/>
        <v>3.7139395114385421</v>
      </c>
      <c r="AM16" s="19" t="b">
        <f t="shared" si="11"/>
        <v>1</v>
      </c>
      <c r="AN16" s="19">
        <f t="shared" si="12"/>
        <v>0.78169833268708799</v>
      </c>
      <c r="AO16" s="19" t="b">
        <f t="shared" si="13"/>
        <v>1</v>
      </c>
      <c r="AP16" s="19">
        <f t="shared" si="14"/>
        <v>3.7139395114385421</v>
      </c>
      <c r="AQ16" s="14" t="str" cm="1">
        <f t="array" ref="AQ16">INDEX($I:$I,MATCH(MIN(IF(($A:$A=$V16)*($B:$B=$W16)*($J:$J=AI$12)*($H:$H=AI$11),$O:$O)),$O:$O,0),1)</f>
        <v>RULE</v>
      </c>
      <c r="AR16" s="14" cm="1">
        <f t="array" ref="AR16">IF(AVERAGEIFS($O:$O, $A:$A, $V16, $B:$B, $W16, $J:$J, AI$12, $H:$H, AI$11, $O:$O, "&lt;&gt;" &amp; INDEX($O:$O, MATCH(MIN(IF(($A:$A=$V16)*($B:$B=$W16)*($J:$J=AI$12)*($H:$H=AI$11), $O:$O)), $O:$O, 0), 1)) &lt;&gt; 0, ABS((INDEX($O:$O, MATCH(MIN(IF(($A:$A=$V16)*($B:$B=$W16)*($J:$J=AI$12)*($H:$H=AI$11), $O:$O)), $O:$O, 0), 1) - AVERAGEIFS($O:$O, $A:$A, $V16, $B:$B, $W16, $J:$J, AI$12, $H:$H, AI$11, $O:$O, "&lt;&gt;" &amp; INDEX($O:$O, MATCH(MIN(IF(($A:$A=$V16)*($B:$B=$W16)*($J:$J=AI$12)*($H:$H=AI$11), $O:$O)), $O:$O, 0), 1))) / AVERAGEIFS($O:$O, $A:$A, $V16, $B:$B, $W16, $J:$J, AI$12, $H:$H, AI$11, $O:$O, "&lt;&gt;" &amp; INDEX($O:$O, MATCH(MIN(IF(($A:$A=$V16)*($B:$B=$W16)*($J:$J=AI$12)*($H:$H=AI$11), $O:$O)), $O:$O, 0), 1))) * 100, "")</f>
        <v>94.176932955138795</v>
      </c>
      <c r="AS16" s="29" cm="1">
        <f t="array" ref="AS16">INDEX($O:$O,MATCH(MIN(IF(($A:$A=$V16)*($B:$B=$W16)*($J:$J=AS$12)*($H:$H=AS$11),$O:$O)),$O:$O,0),1)</f>
        <v>1.0900999999999999E-2</v>
      </c>
      <c r="AT16" s="14" cm="1">
        <f t="array" ref="AT16">INDEX($P:$P,MATCH(MIN(IF(($A:$A=$V16)*($B:$B=$W16)*($J:$J=AS$12)*($H:$H=AS$11),$O:$O)),$O:$O,0),1)</f>
        <v>1E-4</v>
      </c>
      <c r="AU16" s="30" t="b">
        <f>ABS(AS16-VLOOKUP($V16, $V$2:AT$10, 4, FALSE))&gt;MAX(AT16, VLOOKUP($V16, $V$2:$AB$10, 5, FALSE))</f>
        <v>1</v>
      </c>
      <c r="AV16" s="30">
        <f t="shared" si="15"/>
        <v>3.5146316851664987</v>
      </c>
      <c r="AW16" s="30" t="b">
        <f t="shared" si="16"/>
        <v>1</v>
      </c>
      <c r="AX16" s="30">
        <f t="shared" si="17"/>
        <v>0.73974864691312725</v>
      </c>
      <c r="AY16" s="30" t="b">
        <f t="shared" si="18"/>
        <v>1</v>
      </c>
      <c r="AZ16" s="30">
        <f t="shared" si="19"/>
        <v>3.5146316851664987</v>
      </c>
      <c r="BA16" s="8" t="str" cm="1">
        <f t="array" ref="BA16">INDEX($I:$I,MATCH(MIN(IF(($A:$A=$V16)*($B:$B=$W16)*($J:$J=AS$12)*($H:$H=AS$11),$O:$O)),$O:$O,0),1)</f>
        <v>RULE</v>
      </c>
      <c r="BB16" s="8" cm="1">
        <f t="array" ref="BB16">IF(AVERAGEIFS($O:$O, $A:$A, $V16, $B:$B, $W16, $J:$J, AS$12, $H:$H, AS$11, $O:$O, "&lt;&gt;" &amp; INDEX($O:$O, MATCH(MIN(IF(($A:$A=$V16)*($B:$B=$W16)*($J:$J=AS$12)*($H:$H=AS$11), $O:$O)), $O:$O, 0), 1)) &lt;&gt; 0, ABS((INDEX($O:$O, MATCH(MIN(IF(($A:$A=$V16)*($B:$B=$W16)*($J:$J=AS$12)*($H:$H=AS$11), $O:$O)), $O:$O, 0), 1) - AVERAGEIFS($O:$O, $A:$A, $V16, $B:$B, $W16, $J:$J, AS$12, $H:$H, AS$11, $O:$O, "&lt;&gt;" &amp; INDEX($O:$O, MATCH(MIN(IF(($A:$A=$V16)*($B:$B=$W16)*($J:$J=AS$12)*($H:$H=AS$11), $O:$O)), $O:$O, 0), 1))) / AVERAGEIFS($O:$O, $A:$A, $V16, $B:$B, $W16, $J:$J, AS$12, $H:$H, AS$11, $O:$O, "&lt;&gt;" &amp; INDEX($O:$O, MATCH(MIN(IF(($A:$A=$V16)*($B:$B=$W16)*($J:$J=AS$12)*($H:$H=AS$11), $O:$O)), $O:$O, 0), 1))) * 100, "")</f>
        <v>61.963746750641157</v>
      </c>
      <c r="BC16" s="17" cm="1">
        <f t="array" ref="BC16">INDEX($O:$O,MATCH(MIN(IF(($A:$A=$V16)*($B:$B=$W16)*($J:$J=BC$12)*($H:$H=BC$11),$O:$O)),$O:$O,0),1)</f>
        <v>9.1090000000000008E-3</v>
      </c>
      <c r="BD16" s="8" cm="1">
        <f t="array" ref="BD16">INDEX($P:$P,MATCH(MIN(IF(($A:$A=$V16)*($B:$B=$W16)*($J:$J=BC$12)*($H:$H=BC$11),$O:$O)),$O:$O,0),1)</f>
        <v>2.9999999999999997E-4</v>
      </c>
      <c r="BE16" s="30" t="b">
        <f t="shared" si="20"/>
        <v>1</v>
      </c>
      <c r="BF16" s="30">
        <f t="shared" si="21"/>
        <v>4.2060599407179708</v>
      </c>
      <c r="BG16" s="30" t="b">
        <f t="shared" si="22"/>
        <v>1</v>
      </c>
      <c r="BH16" s="30">
        <f t="shared" si="23"/>
        <v>0.88527829619058063</v>
      </c>
      <c r="BI16" s="30" t="b">
        <f t="shared" si="24"/>
        <v>1</v>
      </c>
      <c r="BJ16" s="30">
        <f t="shared" si="25"/>
        <v>4.2060599407179708</v>
      </c>
      <c r="BK16" s="8" t="str" cm="1">
        <f t="array" ref="BK16">INDEX($I:$I,MATCH(MIN(IF(($A:$A=$V16)*($B:$B=$W16)*($J:$J=BC$12)*($H:$H=BC$11),$O:$O)),$O:$O,0),1)</f>
        <v>ALL</v>
      </c>
      <c r="BL16" s="8" cm="1">
        <f t="array" ref="BL16">IF(AVERAGEIFS($O:$O, $A:$A, $V16, $B:$B, $W16, $J:$J, BC$12, $H:$H, BC$11, $O:$O, "&lt;&gt;" &amp; INDEX($O:$O, MATCH(MIN(IF(($A:$A=$V16)*($B:$B=$W16)*($J:$J=BC$12)*($H:$H=BC$11), $O:$O)), $O:$O, 0), 1)) &lt;&gt; 0, ABS((INDEX($O:$O, MATCH(MIN(IF(($A:$A=$V16)*($B:$B=$W16)*($J:$J=BC$12)*($H:$H=BC$11), $O:$O)), $O:$O, 0), 1) - AVERAGEIFS($O:$O, $A:$A, $V16, $B:$B, $W16, $J:$J, BC$12, $H:$H, BC$11, $O:$O, "&lt;&gt;" &amp; INDEX($O:$O, MATCH(MIN(IF(($A:$A=$V16)*($B:$B=$W16)*($J:$J=BC$12)*($H:$H=BC$11), $O:$O)), $O:$O, 0), 1))) / AVERAGEIFS($O:$O, $A:$A, $V16, $B:$B, $W16, $J:$J, BC$12, $H:$H, BC$11, $O:$O, "&lt;&gt;" &amp; INDEX($O:$O, MATCH(MIN(IF(($A:$A=$V16)*($B:$B=$W16)*($J:$J=BC$12)*($H:$H=BC$11), $O:$O)), $O:$O, 0), 1))) * 100, "")</f>
        <v>2.4000857173470322</v>
      </c>
      <c r="BM16" s="17" cm="1">
        <f t="array" ref="BM16">INDEX($O:$O,MATCH(MIN(IF(($A:$A=$V16)*($B:$B=$W16)*($J:$J=BM$12)*($H:$H=BM$11),$O:$O)),$O:$O,0),1)</f>
        <v>9.9670000000000002E-3</v>
      </c>
      <c r="BN16" s="8" cm="1">
        <f t="array" ref="BN16">INDEX($P:$P,MATCH(MIN(IF(($A:$A=$V16)*($B:$B=$W16)*($J:$J=BM$12)*($H:$H=BM$11),$O:$O)),$O:$O,0),1)</f>
        <v>1E-3</v>
      </c>
      <c r="BO16" s="30" t="b">
        <f t="shared" si="26"/>
        <v>1</v>
      </c>
      <c r="BP16" s="30">
        <f t="shared" si="27"/>
        <v>3.8439851509982943</v>
      </c>
      <c r="BQ16" s="30" t="b">
        <f t="shared" si="28"/>
        <v>1</v>
      </c>
      <c r="BR16" s="30">
        <f t="shared" si="29"/>
        <v>0.8090699307715461</v>
      </c>
      <c r="BS16" s="30" t="b">
        <f t="shared" si="30"/>
        <v>1</v>
      </c>
      <c r="BT16" s="8">
        <f t="shared" si="31"/>
        <v>3.8439851509982943</v>
      </c>
      <c r="BU16" s="8" t="str" cm="1">
        <f t="array" ref="BU16">INDEX($I:$I,MATCH(MIN(IF(($A:$A=$V16)*($B:$B=$W16)*($J:$J=BM$12)*($H:$H=BM$11),$O:$O)),$O:$O,0),1)</f>
        <v>ALL</v>
      </c>
      <c r="BV16" s="8" cm="1">
        <f t="array" ref="BV16">IF(AVERAGEIFS($O:$O, $A:$A, $V16, $B:$B, $W16, $J:$J, BM$12, $H:$H, BM$11, $O:$O, "&lt;&gt;" &amp; INDEX($O:$O, MATCH(MIN(IF(($A:$A=$V16)*($B:$B=$W16)*($J:$J=BM$12)*($H:$H=BM$11), $O:$O)), $O:$O, 0), 1)) &lt;&gt; 0, ABS((INDEX($O:$O, MATCH(MIN(IF(($A:$A=$V16)*($B:$B=$W16)*($J:$J=BM$12)*($H:$H=BM$11), $O:$O)), $O:$O, 0), 1) - AVERAGEIFS($O:$O, $A:$A, $V16, $B:$B, $W16, $J:$J, BM$12, $H:$H, BM$11, $O:$O, "&lt;&gt;" &amp; INDEX($O:$O, MATCH(MIN(IF(($A:$A=$V16)*($B:$B=$W16)*($J:$J=BM$12)*($H:$H=BM$11), $O:$O)), $O:$O, 0), 1))) / AVERAGEIFS($O:$O, $A:$A, $V16, $B:$B, $W16, $J:$J, BM$12, $H:$H, BM$11, $O:$O, "&lt;&gt;" &amp; INDEX($O:$O, MATCH(MIN(IF(($A:$A=$V16)*($B:$B=$W16)*($J:$J=BM$12)*($H:$H=BM$11), $O:$O)), $O:$O, 0), 1))) * 100, "")</f>
        <v>5.615530303030301</v>
      </c>
      <c r="BW16" s="17" cm="1">
        <f t="array" ref="BW16">INDEX($O:$O,MATCH(MIN(IF(($A:$A=$V16)*($B:$B=$W16)*($J:$J=BW$12)*($H:$H=BW$11),$O:$O)),$O:$O,0),1)</f>
        <v>1.0508E-2</v>
      </c>
      <c r="BX16" s="8" cm="1">
        <f t="array" ref="BX16">INDEX($P:$P,MATCH(MIN(IF(($A:$A=$V16)*($B:$B=$W16)*($J:$J=BW$12)*($H:$H=BW$11),$O:$O)),$O:$O,0),1)</f>
        <v>2.0000000000000001E-4</v>
      </c>
      <c r="BY16" s="19" t="b">
        <f>ABS(BW16-VLOOKUP($V16, $V$2:AB$10, 4, FALSE))&gt;MAX(BX16, VLOOKUP($V16, $V$2:$AB$10, 5, FALSE))</f>
        <v>1</v>
      </c>
      <c r="BZ16" s="19">
        <f t="shared" si="32"/>
        <v>3.6460791777693187</v>
      </c>
      <c r="CA16" s="19" t="b">
        <f t="shared" si="33"/>
        <v>1</v>
      </c>
      <c r="CB16" s="19">
        <f t="shared" si="34"/>
        <v>0.76741530262657021</v>
      </c>
      <c r="CC16" s="19" t="b">
        <f t="shared" si="35"/>
        <v>1</v>
      </c>
      <c r="CD16" s="19">
        <f t="shared" si="36"/>
        <v>3.6460791777693187</v>
      </c>
      <c r="CE16" s="8" t="str" cm="1">
        <f t="array" ref="CE16">INDEX($I:$I,MATCH(MIN(IF(($A:$A=$V16)*($B:$B=$W16)*($J:$J=BW$12)*($H:$H=BW$11),$O:$O)),$O:$O,0),1)</f>
        <v>RULE</v>
      </c>
      <c r="CF16" s="8" cm="1">
        <f t="array" ref="CF16">IF(AVERAGEIFS($O:$O, $A:$A, $V16, $B:$B, $W16, $J:$J, BW$12, $H:$H, BW$11, $O:$O, "&lt;&gt;" &amp; INDEX($O:$O, MATCH(MIN(IF(($A:$A=$V16)*($B:$B=$W16)*($J:$J=BW$12)*($H:$H=BW$11), $O:$O)), $O:$O, 0), 1)) &lt;&gt; 0, ABS((INDEX($O:$O, MATCH(MIN(IF(($A:$A=$V16)*($B:$B=$W16)*($J:$J=BW$12)*($H:$H=BW$11), $O:$O)), $O:$O, 0), 1) - AVERAGEIFS($O:$O, $A:$A, $V16, $B:$B, $W16, $J:$J, BW$12, $H:$H, BW$11, $O:$O, "&lt;&gt;" &amp; INDEX($O:$O, MATCH(MIN(IF(($A:$A=$V16)*($B:$B=$W16)*($J:$J=BW$12)*($H:$H=BW$11), $O:$O)), $O:$O, 0), 1))) / AVERAGEIFS($O:$O, $A:$A, $V16, $B:$B, $W16, $J:$J, BW$12, $H:$H, BW$11, $O:$O, "&lt;&gt;" &amp; INDEX($O:$O, MATCH(MIN(IF(($A:$A=$V16)*($B:$B=$W16)*($J:$J=BW$12)*($H:$H=BW$11), $O:$O)), $O:$O, 0), 1))) * 100, "")</f>
        <v>67.070915985083516</v>
      </c>
      <c r="CG16" s="17" cm="1">
        <f t="array" ref="CG16">INDEX($O:$O,MATCH(MIN(IF(($A:$A=$V16)*($B:$B=$W16)*($J:$J=CG$12)*($H:$H=CG$11),$O:$O)),$O:$O,0),1)</f>
        <v>9.1719999999999996E-3</v>
      </c>
      <c r="CH16" s="8" cm="1">
        <f t="array" ref="CH16">INDEX($P:$P,MATCH(MIN(IF(($A:$A=$V16)*($B:$B=$W16)*($J:$J=CG$12)*($H:$H=CG$11),$O:$O)),$O:$O,0),1)</f>
        <v>4.0000000000000002E-4</v>
      </c>
      <c r="CI16" s="30" t="b">
        <f>ABS(CG16-VLOOKUP($V16, $V$2:AB$10, 4, FALSE))&gt;MAX(CH16, VLOOKUP($V16, $V$2:$AB$10, 5, FALSE))</f>
        <v>1</v>
      </c>
      <c r="CJ16" s="30">
        <f t="shared" si="37"/>
        <v>4.1771696467509818</v>
      </c>
      <c r="CK16" s="30" t="b">
        <f t="shared" si="38"/>
        <v>1</v>
      </c>
      <c r="CL16" s="30">
        <f t="shared" si="39"/>
        <v>0.87919755778456177</v>
      </c>
      <c r="CM16" s="30" t="b">
        <f t="shared" si="40"/>
        <v>1</v>
      </c>
      <c r="CN16" s="30">
        <f t="shared" si="41"/>
        <v>4.1771696467509818</v>
      </c>
      <c r="CO16" s="8" t="str" cm="1">
        <f t="array" ref="CO16">INDEX($I:$I,MATCH(MIN(IF(($A:$A=$V16)*($B:$B=$W16)*($J:$J=CG$12)*($H:$H=CG$11),$O:$O)),$O:$O,0),1)</f>
        <v>RULE</v>
      </c>
      <c r="CP16" s="8" cm="1">
        <f t="array" ref="CP16">IF(AVERAGEIFS($O:$O, $A:$A, $V16, $B:$B, $W16, $J:$J, CG$12, $H:$H, CG$11, $O:$O, "&lt;&gt;" &amp; INDEX($O:$O, MATCH(MIN(IF(($A:$A=$V16)*($B:$B=$W16)*($J:$J=CG$12)*($H:$H=CG$11), $O:$O)), $O:$O, 0), 1)) &lt;&gt; 0, ABS((INDEX($O:$O, MATCH(MIN(IF(($A:$A=$V16)*($B:$B=$W16)*($J:$J=CG$12)*($H:$H=CG$11), $O:$O)), $O:$O, 0), 1) - AVERAGEIFS($O:$O, $A:$A, $V16, $B:$B, $W16, $J:$J, CG$12, $H:$H, CG$11, $O:$O, "&lt;&gt;" &amp; INDEX($O:$O, MATCH(MIN(IF(($A:$A=$V16)*($B:$B=$W16)*($J:$J=CG$12)*($H:$H=CG$11), $O:$O)), $O:$O, 0), 1))) / AVERAGEIFS($O:$O, $A:$A, $V16, $B:$B, $W16, $J:$J, CG$12, $H:$H, CG$11, $O:$O, "&lt;&gt;" &amp; INDEX($O:$O, MATCH(MIN(IF(($A:$A=$V16)*($B:$B=$W16)*($J:$J=CG$12)*($H:$H=CG$11), $O:$O)), $O:$O, 0), 1))) * 100, "")</f>
        <v>5.0910596026490182</v>
      </c>
      <c r="CQ16" s="17" cm="1">
        <f t="array" ref="CQ16">INDEX($O:$O,MATCH(1,($V16=$A:$A)*($W16=$B:$B)*("interpreted"=$C:$C)*("sel"=$E:$E),0))</f>
        <v>8.3029999999999996E-3</v>
      </c>
      <c r="CR16" s="8" cm="1">
        <f t="array" ref="CR16">INDEX($P:$P,MATCH(1,($V16=$A:$A)*($W16=$B:$B)*("interpreted"=$C:$C)*("sel"=$E:$E),0))</f>
        <v>9.0000000000000006E-5</v>
      </c>
      <c r="CS16" s="30" t="b">
        <f>ABS(CQ16-VLOOKUP($V16, $V$2:AL$10, 4, FALSE))&gt;MAX(CR16, VLOOKUP($V16, $V$2:$AB$10, 5, FALSE))</f>
        <v>1</v>
      </c>
      <c r="CT16" s="30">
        <f t="shared" si="42"/>
        <v>4.6143562567746601</v>
      </c>
      <c r="CU16" s="30" t="b">
        <f t="shared" si="43"/>
        <v>1</v>
      </c>
      <c r="CV16" s="30">
        <f t="shared" si="44"/>
        <v>0.97121522341322419</v>
      </c>
      <c r="CW16" s="30" t="b">
        <f t="shared" si="45"/>
        <v>1</v>
      </c>
      <c r="CX16" s="30">
        <f t="shared" si="46"/>
        <v>4.6143562567746601</v>
      </c>
    </row>
    <row r="17" spans="1:102" x14ac:dyDescent="0.2">
      <c r="A17" s="15" t="s">
        <v>14</v>
      </c>
      <c r="B17" s="15" t="s">
        <v>15</v>
      </c>
      <c r="C17" s="15" t="s">
        <v>27</v>
      </c>
      <c r="D17" s="15" t="s">
        <v>17</v>
      </c>
      <c r="E17" s="15" t="s">
        <v>28</v>
      </c>
      <c r="F17" s="15"/>
      <c r="G17" s="15">
        <v>0</v>
      </c>
      <c r="H17" s="15" t="s">
        <v>39</v>
      </c>
      <c r="I17" s="15" t="s">
        <v>74</v>
      </c>
      <c r="J17" s="15" t="s">
        <v>30</v>
      </c>
      <c r="K17" s="15"/>
      <c r="L17" s="15" t="s">
        <v>19</v>
      </c>
      <c r="M17" s="15">
        <v>1</v>
      </c>
      <c r="N17" s="15">
        <v>10</v>
      </c>
      <c r="O17" s="15">
        <v>0.36727700000000002</v>
      </c>
      <c r="P17" s="15">
        <v>5.0000000000000001E-3</v>
      </c>
      <c r="Q17" s="15" t="s">
        <v>20</v>
      </c>
      <c r="R17" s="8" t="str">
        <f t="shared" si="0"/>
        <v>jit-sel-blocking-RULE-bytecode</v>
      </c>
      <c r="V17" s="8" t="s">
        <v>34</v>
      </c>
      <c r="W17" s="14" t="s">
        <v>15</v>
      </c>
      <c r="X17" s="17" cm="1">
        <f t="array" ref="X17">INDEX($O:$O,MATCH(1,($V17=$A:$A)*($W17=$B:$B)*("interpreted"=$C:$C)*("unordered"=$E:$E),0))</f>
        <v>1.9880999999999999E-2</v>
      </c>
      <c r="Y17" s="8" cm="1">
        <f t="array" ref="Y17">INDEX($P:$P,MATCH(1,($V17=$A:$A)*($W17=$B:$B)*("interpreted"=$C:$C)*("unordered"=$E:$E),0))</f>
        <v>2.9999999999999997E-4</v>
      </c>
      <c r="Z17" s="8" t="str" cm="1">
        <f t="array" ref="Z17">INDEX($R:$R, MATCH(MIN(IF(($A:$A=$V17)*($B:$B=$W17), $O:$O)), $O:$O, 0), 1)</f>
        <v>jit-sel-blocking-DELTA-lambda</v>
      </c>
      <c r="AA17" s="17" cm="1">
        <f t="array" ref="AA17">INDEX($O:$O, MATCH(MIN(IF(($A:$A=$V17)*($B:$B=$W17), $O:$O)), $O:$O, 0), 1)</f>
        <v>7.8820000000000001E-3</v>
      </c>
      <c r="AB17" s="8" cm="1">
        <f t="array" ref="AB17">INDEX($P:$P, MATCH(MIN(IF(($A:$A=$V17)*($B:$B=$W17), $O:$O)), $O:$O, 0), 1)</f>
        <v>1E-4</v>
      </c>
      <c r="AC17" s="19" t="b">
        <f t="shared" si="3"/>
        <v>1</v>
      </c>
      <c r="AD17" s="19">
        <f t="shared" si="4"/>
        <v>11.757802588175588</v>
      </c>
      <c r="AE17" s="19" t="b">
        <f t="shared" si="5"/>
        <v>1</v>
      </c>
      <c r="AF17" s="19">
        <f t="shared" si="6"/>
        <v>2.5223293580309565</v>
      </c>
      <c r="AG17" s="19" t="b">
        <f t="shared" si="7"/>
        <v>1</v>
      </c>
      <c r="AH17" s="19">
        <f t="shared" si="8"/>
        <v>2.5223293580309565</v>
      </c>
      <c r="AI17" s="29" cm="1">
        <f t="array" ref="AI17">INDEX($O:$O,MATCH(MIN(IF(($A:$A=$V17)*($B:$B=$W17)*($J:$J=AI$12)*($H:$H=AI$11),$O:$O)),$O:$O,0),1)</f>
        <v>1.5946999999999999E-2</v>
      </c>
      <c r="AJ17" s="14" cm="1">
        <f t="array" ref="AJ17">INDEX($P:$P,MATCH(MIN(IF(($A:$A=$V17)*($B:$B=$W17)*($J:$J=AI$12)*($H:$H=AI$11),$O:$O)),$O:$O,0),1)</f>
        <v>2.0000000000000001E-4</v>
      </c>
      <c r="AK17" s="19" t="b">
        <f t="shared" si="9"/>
        <v>1</v>
      </c>
      <c r="AL17" s="19">
        <f t="shared" si="10"/>
        <v>5.8114378880040132</v>
      </c>
      <c r="AM17" s="19" t="b">
        <f t="shared" si="11"/>
        <v>1</v>
      </c>
      <c r="AN17" s="19">
        <f t="shared" si="12"/>
        <v>1.2466921678058569</v>
      </c>
      <c r="AO17" s="19" t="b">
        <f t="shared" si="13"/>
        <v>1</v>
      </c>
      <c r="AP17" s="19">
        <f t="shared" si="14"/>
        <v>1.2466921678058569</v>
      </c>
      <c r="AQ17" s="14" t="str" cm="1">
        <f t="array" ref="AQ17">INDEX($I:$I,MATCH(MIN(IF(($A:$A=$V17)*($B:$B=$W17)*($J:$J=AI$12)*($H:$H=AI$11),$O:$O)),$O:$O,0),1)</f>
        <v>ALL</v>
      </c>
      <c r="AR17" s="14" cm="1">
        <f t="array" ref="AR17">IF(AVERAGEIFS($O:$O, $A:$A, $V17, $B:$B, $W17, $J:$J, AI$12, $H:$H, AI$11, $O:$O, "&lt;&gt;" &amp; INDEX($O:$O, MATCH(MIN(IF(($A:$A=$V17)*($B:$B=$W17)*($J:$J=AI$12)*($H:$H=AI$11), $O:$O)), $O:$O, 0), 1)) &lt;&gt; 0, ABS((INDEX($O:$O, MATCH(MIN(IF(($A:$A=$V17)*($B:$B=$W17)*($J:$J=AI$12)*($H:$H=AI$11), $O:$O)), $O:$O, 0), 1) - AVERAGEIFS($O:$O, $A:$A, $V17, $B:$B, $W17, $J:$J, AI$12, $H:$H, AI$11, $O:$O, "&lt;&gt;" &amp; INDEX($O:$O, MATCH(MIN(IF(($A:$A=$V17)*($B:$B=$W17)*($J:$J=AI$12)*($H:$H=AI$11), $O:$O)), $O:$O, 0), 1))) / AVERAGEIFS($O:$O, $A:$A, $V17, $B:$B, $W17, $J:$J, AI$12, $H:$H, AI$11, $O:$O, "&lt;&gt;" &amp; INDEX($O:$O, MATCH(MIN(IF(($A:$A=$V17)*($B:$B=$W17)*($J:$J=AI$12)*($H:$H=AI$11), $O:$O)), $O:$O, 0), 1))) * 100, "")</f>
        <v>22.551662174303676</v>
      </c>
      <c r="AS17" s="29" cm="1">
        <f t="array" ref="AS17">INDEX($O:$O,MATCH(MIN(IF(($A:$A=$V17)*($B:$B=$W17)*($J:$J=AS$12)*($H:$H=AS$11),$O:$O)),$O:$O,0),1)</f>
        <v>1.695E-2</v>
      </c>
      <c r="AT17" s="14" cm="1">
        <f t="array" ref="AT17">INDEX($P:$P,MATCH(MIN(IF(($A:$A=$V17)*($B:$B=$W17)*($J:$J=AS$12)*($H:$H=AS$11),$O:$O)),$O:$O,0),1)</f>
        <v>2.0000000000000001E-4</v>
      </c>
      <c r="AU17" s="30" t="b">
        <f>ABS(AS17-VLOOKUP($V17, $V$2:AT$10, 4, FALSE))&gt;MAX(AT17, VLOOKUP($V17, $V$2:$AB$10, 5, FALSE))</f>
        <v>1</v>
      </c>
      <c r="AV17" s="30">
        <f t="shared" si="15"/>
        <v>5.4675516224188785</v>
      </c>
      <c r="AW17" s="30" t="b">
        <f t="shared" si="16"/>
        <v>1</v>
      </c>
      <c r="AX17" s="30">
        <f t="shared" si="17"/>
        <v>1.1729203539823008</v>
      </c>
      <c r="AY17" s="30" t="b">
        <f t="shared" si="18"/>
        <v>1</v>
      </c>
      <c r="AZ17" s="30">
        <f t="shared" si="19"/>
        <v>1.1729203539823008</v>
      </c>
      <c r="BA17" s="8" t="str" cm="1">
        <f t="array" ref="BA17">INDEX($I:$I,MATCH(MIN(IF(($A:$A=$V17)*($B:$B=$W17)*($J:$J=AS$12)*($H:$H=AS$11),$O:$O)),$O:$O,0),1)</f>
        <v>ALL</v>
      </c>
      <c r="BB17" s="8" cm="1">
        <f t="array" ref="BB17">IF(AVERAGEIFS($O:$O, $A:$A, $V17, $B:$B, $W17, $J:$J, AS$12, $H:$H, AS$11, $O:$O, "&lt;&gt;" &amp; INDEX($O:$O, MATCH(MIN(IF(($A:$A=$V17)*($B:$B=$W17)*($J:$J=AS$12)*($H:$H=AS$11), $O:$O)), $O:$O, 0), 1)) &lt;&gt; 0, ABS((INDEX($O:$O, MATCH(MIN(IF(($A:$A=$V17)*($B:$B=$W17)*($J:$J=AS$12)*($H:$H=AS$11), $O:$O)), $O:$O, 0), 1) - AVERAGEIFS($O:$O, $A:$A, $V17, $B:$B, $W17, $J:$J, AS$12, $H:$H, AS$11, $O:$O, "&lt;&gt;" &amp; INDEX($O:$O, MATCH(MIN(IF(($A:$A=$V17)*($B:$B=$W17)*($J:$J=AS$12)*($H:$H=AS$11), $O:$O)), $O:$O, 0), 1))) / AVERAGEIFS($O:$O, $A:$A, $V17, $B:$B, $W17, $J:$J, AS$12, $H:$H, AS$11, $O:$O, "&lt;&gt;" &amp; INDEX($O:$O, MATCH(MIN(IF(($A:$A=$V17)*($B:$B=$W17)*($J:$J=AS$12)*($H:$H=AS$11), $O:$O)), $O:$O, 0), 1))) * 100, "")</f>
        <v>21.48779471026911</v>
      </c>
      <c r="BC17" s="17" cm="1">
        <f t="array" ref="BC17">INDEX($O:$O,MATCH(MIN(IF(($A:$A=$V17)*($B:$B=$W17)*($J:$J=BC$12)*($H:$H=BC$11),$O:$O)),$O:$O,0),1)</f>
        <v>7.8820000000000001E-3</v>
      </c>
      <c r="BD17" s="8" cm="1">
        <f t="array" ref="BD17">INDEX($P:$P,MATCH(MIN(IF(($A:$A=$V17)*($B:$B=$W17)*($J:$J=BC$12)*($H:$H=BC$11),$O:$O)),$O:$O,0),1)</f>
        <v>1E-4</v>
      </c>
      <c r="BE17" s="30" t="b">
        <f t="shared" si="20"/>
        <v>1</v>
      </c>
      <c r="BF17" s="30">
        <f t="shared" si="21"/>
        <v>11.757802588175588</v>
      </c>
      <c r="BG17" s="30" t="b">
        <f t="shared" si="22"/>
        <v>1</v>
      </c>
      <c r="BH17" s="30">
        <f t="shared" si="23"/>
        <v>2.5223293580309565</v>
      </c>
      <c r="BI17" s="30" t="b">
        <f t="shared" si="24"/>
        <v>1</v>
      </c>
      <c r="BJ17" s="30">
        <f t="shared" si="25"/>
        <v>2.5223293580309565</v>
      </c>
      <c r="BK17" s="8" t="str" cm="1">
        <f t="array" ref="BK17">INDEX($I:$I,MATCH(MIN(IF(($A:$A=$V17)*($B:$B=$W17)*($J:$J=BC$12)*($H:$H=BC$11),$O:$O)),$O:$O,0),1)</f>
        <v>DELTA</v>
      </c>
      <c r="BL17" s="8" cm="1">
        <f t="array" ref="BL17">IF(AVERAGEIFS($O:$O, $A:$A, $V17, $B:$B, $W17, $J:$J, BC$12, $H:$H, BC$11, $O:$O, "&lt;&gt;" &amp; INDEX($O:$O, MATCH(MIN(IF(($A:$A=$V17)*($B:$B=$W17)*($J:$J=BC$12)*($H:$H=BC$11), $O:$O)), $O:$O, 0), 1)) &lt;&gt; 0, ABS((INDEX($O:$O, MATCH(MIN(IF(($A:$A=$V17)*($B:$B=$W17)*($J:$J=BC$12)*($H:$H=BC$11), $O:$O)), $O:$O, 0), 1) - AVERAGEIFS($O:$O, $A:$A, $V17, $B:$B, $W17, $J:$J, BC$12, $H:$H, BC$11, $O:$O, "&lt;&gt;" &amp; INDEX($O:$O, MATCH(MIN(IF(($A:$A=$V17)*($B:$B=$W17)*($J:$J=BC$12)*($H:$H=BC$11), $O:$O)), $O:$O, 0), 1))) / AVERAGEIFS($O:$O, $A:$A, $V17, $B:$B, $W17, $J:$J, BC$12, $H:$H, BC$11, $O:$O, "&lt;&gt;" &amp; INDEX($O:$O, MATCH(MIN(IF(($A:$A=$V17)*($B:$B=$W17)*($J:$J=BC$12)*($H:$H=BC$11), $O:$O)), $O:$O, 0), 1))) * 100, "")</f>
        <v>59.205010092645303</v>
      </c>
      <c r="BM17" s="17" cm="1">
        <f t="array" ref="BM17">INDEX($O:$O,MATCH(MIN(IF(($A:$A=$V17)*($B:$B=$W17)*($J:$J=BM$12)*($H:$H=BM$11),$O:$O)),$O:$O,0),1)</f>
        <v>1.8856999999999999E-2</v>
      </c>
      <c r="BN17" s="8" cm="1">
        <f t="array" ref="BN17">INDEX($P:$P,MATCH(MIN(IF(($A:$A=$V17)*($B:$B=$W17)*($J:$J=BM$12)*($H:$H=BM$11),$O:$O)),$O:$O,0),1)</f>
        <v>5.0000000000000001E-4</v>
      </c>
      <c r="BO17" s="30" t="b">
        <f t="shared" si="26"/>
        <v>1</v>
      </c>
      <c r="BP17" s="30">
        <f t="shared" si="27"/>
        <v>4.9146205653073132</v>
      </c>
      <c r="BQ17" s="30" t="b">
        <f t="shared" si="28"/>
        <v>1</v>
      </c>
      <c r="BR17" s="30">
        <f t="shared" si="29"/>
        <v>1.0543034416927402</v>
      </c>
      <c r="BS17" s="30" t="b">
        <f t="shared" si="30"/>
        <v>1</v>
      </c>
      <c r="BT17" s="8">
        <f t="shared" si="31"/>
        <v>1.0543034416927402</v>
      </c>
      <c r="BU17" s="8" t="str" cm="1">
        <f t="array" ref="BU17">INDEX($I:$I,MATCH(MIN(IF(($A:$A=$V17)*($B:$B=$W17)*($J:$J=BM$12)*($H:$H=BM$11),$O:$O)),$O:$O,0),1)</f>
        <v>ALL</v>
      </c>
      <c r="BV17" s="8" cm="1">
        <f t="array" ref="BV17">IF(AVERAGEIFS($O:$O, $A:$A, $V17, $B:$B, $W17, $J:$J, BM$12, $H:$H, BM$11, $O:$O, "&lt;&gt;" &amp; INDEX($O:$O, MATCH(MIN(IF(($A:$A=$V17)*($B:$B=$W17)*($J:$J=BM$12)*($H:$H=BM$11), $O:$O)), $O:$O, 0), 1)) &lt;&gt; 0, ABS((INDEX($O:$O, MATCH(MIN(IF(($A:$A=$V17)*($B:$B=$W17)*($J:$J=BM$12)*($H:$H=BM$11), $O:$O)), $O:$O, 0), 1) - AVERAGEIFS($O:$O, $A:$A, $V17, $B:$B, $W17, $J:$J, BM$12, $H:$H, BM$11, $O:$O, "&lt;&gt;" &amp; INDEX($O:$O, MATCH(MIN(IF(($A:$A=$V17)*($B:$B=$W17)*($J:$J=BM$12)*($H:$H=BM$11), $O:$O)), $O:$O, 0), 1))) / AVERAGEIFS($O:$O, $A:$A, $V17, $B:$B, $W17, $J:$J, BM$12, $H:$H, BM$11, $O:$O, "&lt;&gt;" &amp; INDEX($O:$O, MATCH(MIN(IF(($A:$A=$V17)*($B:$B=$W17)*($J:$J=BM$12)*($H:$H=BM$11), $O:$O)), $O:$O, 0), 1))) * 100, "")</f>
        <v>7.7355905665916547</v>
      </c>
      <c r="BW17" s="17" cm="1">
        <f t="array" ref="BW17">INDEX($O:$O,MATCH(MIN(IF(($A:$A=$V17)*($B:$B=$W17)*($J:$J=BW$12)*($H:$H=BW$11),$O:$O)),$O:$O,0),1)</f>
        <v>1.8027999999999999E-2</v>
      </c>
      <c r="BX17" s="8" cm="1">
        <f t="array" ref="BX17">INDEX($P:$P,MATCH(MIN(IF(($A:$A=$V17)*($B:$B=$W17)*($J:$J=BW$12)*($H:$H=BW$11),$O:$O)),$O:$O,0),1)</f>
        <v>2.9999999999999997E-4</v>
      </c>
      <c r="BY17" s="19" t="b">
        <f>ABS(BW17-VLOOKUP($V17, $V$2:AB$10, 4, FALSE))&gt;MAX(BX17, VLOOKUP($V17, $V$2:$AB$10, 5, FALSE))</f>
        <v>1</v>
      </c>
      <c r="BZ17" s="19">
        <f t="shared" si="32"/>
        <v>5.1406145995118706</v>
      </c>
      <c r="CA17" s="19" t="b">
        <f t="shared" si="33"/>
        <v>1</v>
      </c>
      <c r="CB17" s="19">
        <f t="shared" si="34"/>
        <v>1.1027845573552253</v>
      </c>
      <c r="CC17" s="19" t="b">
        <f t="shared" si="35"/>
        <v>1</v>
      </c>
      <c r="CD17" s="19">
        <f t="shared" si="36"/>
        <v>1.1027845573552253</v>
      </c>
      <c r="CE17" s="8" t="str" cm="1">
        <f t="array" ref="CE17">INDEX($I:$I,MATCH(MIN(IF(($A:$A=$V17)*($B:$B=$W17)*($J:$J=BW$12)*($H:$H=BW$11),$O:$O)),$O:$O,0),1)</f>
        <v>ALL</v>
      </c>
      <c r="CF17" s="8" cm="1">
        <f t="array" ref="CF17">IF(AVERAGEIFS($O:$O, $A:$A, $V17, $B:$B, $W17, $J:$J, BW$12, $H:$H, BW$11, $O:$O, "&lt;&gt;" &amp; INDEX($O:$O, MATCH(MIN(IF(($A:$A=$V17)*($B:$B=$W17)*($J:$J=BW$12)*($H:$H=BW$11), $O:$O)), $O:$O, 0), 1)) &lt;&gt; 0, ABS((INDEX($O:$O, MATCH(MIN(IF(($A:$A=$V17)*($B:$B=$W17)*($J:$J=BW$12)*($H:$H=BW$11), $O:$O)), $O:$O, 0), 1) - AVERAGEIFS($O:$O, $A:$A, $V17, $B:$B, $W17, $J:$J, BW$12, $H:$H, BW$11, $O:$O, "&lt;&gt;" &amp; INDEX($O:$O, MATCH(MIN(IF(($A:$A=$V17)*($B:$B=$W17)*($J:$J=BW$12)*($H:$H=BW$11), $O:$O)), $O:$O, 0), 1))) / AVERAGEIFS($O:$O, $A:$A, $V17, $B:$B, $W17, $J:$J, BW$12, $H:$H, BW$11, $O:$O, "&lt;&gt;" &amp; INDEX($O:$O, MATCH(MIN(IF(($A:$A=$V17)*($B:$B=$W17)*($J:$J=BW$12)*($H:$H=BW$11), $O:$O)), $O:$O, 0), 1))) * 100, "")</f>
        <v>13.580365274914923</v>
      </c>
      <c r="CG17" s="17" cm="1">
        <f t="array" ref="CG17">INDEX($O:$O,MATCH(MIN(IF(($A:$A=$V17)*($B:$B=$W17)*($J:$J=CG$12)*($H:$H=CG$11),$O:$O)),$O:$O,0),1)</f>
        <v>1.6271000000000001E-2</v>
      </c>
      <c r="CH17" s="8" cm="1">
        <f t="array" ref="CH17">INDEX($P:$P,MATCH(MIN(IF(($A:$A=$V17)*($B:$B=$W17)*($J:$J=CG$12)*($H:$H=CG$11),$O:$O)),$O:$O,0),1)</f>
        <v>2.0000000000000001E-4</v>
      </c>
      <c r="CI17" s="30" t="b">
        <f>ABS(CG17-VLOOKUP($V17, $V$2:AB$10, 4, FALSE))&gt;MAX(CH17, VLOOKUP($V17, $V$2:$AB$10, 5, FALSE))</f>
        <v>1</v>
      </c>
      <c r="CJ17" s="30">
        <f t="shared" si="37"/>
        <v>5.6957163050826614</v>
      </c>
      <c r="CK17" s="30" t="b">
        <f t="shared" si="38"/>
        <v>1</v>
      </c>
      <c r="CL17" s="30">
        <f t="shared" si="39"/>
        <v>1.2218671255608136</v>
      </c>
      <c r="CM17" s="30" t="b">
        <f t="shared" si="40"/>
        <v>1</v>
      </c>
      <c r="CN17" s="30">
        <f t="shared" si="41"/>
        <v>1.2218671255608136</v>
      </c>
      <c r="CO17" s="8" t="str" cm="1">
        <f t="array" ref="CO17">INDEX($I:$I,MATCH(MIN(IF(($A:$A=$V17)*($B:$B=$W17)*($J:$J=CG$12)*($H:$H=CG$11),$O:$O)),$O:$O,0),1)</f>
        <v>ALL</v>
      </c>
      <c r="CP17" s="8" cm="1">
        <f t="array" ref="CP17">IF(AVERAGEIFS($O:$O, $A:$A, $V17, $B:$B, $W17, $J:$J, CG$12, $H:$H, CG$11, $O:$O, "&lt;&gt;" &amp; INDEX($O:$O, MATCH(MIN(IF(($A:$A=$V17)*($B:$B=$W17)*($J:$J=CG$12)*($H:$H=CG$11), $O:$O)), $O:$O, 0), 1)) &lt;&gt; 0, ABS((INDEX($O:$O, MATCH(MIN(IF(($A:$A=$V17)*($B:$B=$W17)*($J:$J=CG$12)*($H:$H=CG$11), $O:$O)), $O:$O, 0), 1) - AVERAGEIFS($O:$O, $A:$A, $V17, $B:$B, $W17, $J:$J, CG$12, $H:$H, CG$11, $O:$O, "&lt;&gt;" &amp; INDEX($O:$O, MATCH(MIN(IF(($A:$A=$V17)*($B:$B=$W17)*($J:$J=CG$12)*($H:$H=CG$11), $O:$O)), $O:$O, 0), 1))) / AVERAGEIFS($O:$O, $A:$A, $V17, $B:$B, $W17, $J:$J, CG$12, $H:$H, CG$11, $O:$O, "&lt;&gt;" &amp; INDEX($O:$O, MATCH(MIN(IF(($A:$A=$V17)*($B:$B=$W17)*($J:$J=CG$12)*($H:$H=CG$11), $O:$O)), $O:$O, 0), 1))) * 100, "")</f>
        <v>19.386642885453824</v>
      </c>
      <c r="CQ17" s="17" cm="1">
        <f t="array" ref="CQ17">INDEX($O:$O,MATCH(1,($V17=$A:$A)*($W17=$B:$B)*("interpreted"=$C:$C)*("sel"=$E:$E),0))</f>
        <v>1.6376999999999999E-2</v>
      </c>
      <c r="CR17" s="8" cm="1">
        <f t="array" ref="CR17">INDEX($P:$P,MATCH(1,($V17=$A:$A)*($W17=$B:$B)*("interpreted"=$C:$C)*("sel"=$E:$E),0))</f>
        <v>2.0000000000000001E-4</v>
      </c>
      <c r="CS17" s="30" t="b">
        <f>ABS(CQ17-VLOOKUP($V17, $V$2:AL$10, 4, FALSE))&gt;MAX(CR17, VLOOKUP($V17, $V$2:$AB$10, 5, FALSE))</f>
        <v>1</v>
      </c>
      <c r="CT17" s="30">
        <f t="shared" si="42"/>
        <v>5.6588508273798617</v>
      </c>
      <c r="CU17" s="30" t="b">
        <f t="shared" si="43"/>
        <v>1</v>
      </c>
      <c r="CV17" s="30">
        <f t="shared" si="44"/>
        <v>1.2139586004762777</v>
      </c>
      <c r="CW17" s="30" t="b">
        <f t="shared" si="45"/>
        <v>1</v>
      </c>
      <c r="CX17" s="30">
        <f t="shared" si="46"/>
        <v>1.2139586004762777</v>
      </c>
    </row>
    <row r="18" spans="1:102" x14ac:dyDescent="0.2">
      <c r="A18" s="15" t="s">
        <v>14</v>
      </c>
      <c r="B18" s="15" t="s">
        <v>15</v>
      </c>
      <c r="C18" s="15" t="s">
        <v>27</v>
      </c>
      <c r="D18" s="15" t="s">
        <v>17</v>
      </c>
      <c r="E18" s="15" t="s">
        <v>28</v>
      </c>
      <c r="F18" s="15"/>
      <c r="G18" s="15">
        <v>0</v>
      </c>
      <c r="H18" s="15" t="s">
        <v>39</v>
      </c>
      <c r="I18" s="15" t="s">
        <v>74</v>
      </c>
      <c r="J18" s="15" t="s">
        <v>31</v>
      </c>
      <c r="K18" s="15"/>
      <c r="L18" s="15" t="s">
        <v>19</v>
      </c>
      <c r="M18" s="15">
        <v>1</v>
      </c>
      <c r="N18" s="15">
        <v>10</v>
      </c>
      <c r="O18" s="15">
        <v>0.352182</v>
      </c>
      <c r="P18" s="15">
        <v>0.01</v>
      </c>
      <c r="Q18" s="15" t="s">
        <v>20</v>
      </c>
      <c r="R18" s="8" t="str">
        <f t="shared" si="0"/>
        <v>jit-sel-blocking-RULE-lambda</v>
      </c>
      <c r="V18" s="15" t="s">
        <v>34</v>
      </c>
      <c r="W18" s="14" t="s">
        <v>65</v>
      </c>
      <c r="X18" s="17" cm="1">
        <f t="array" ref="X18">INDEX($O:$O,MATCH(1,($V18=$A:$A)*($W18=$B:$B)*("interpreted"=$C:$C)*("unordered"=$E:$E),0))</f>
        <v>9.2674999999999993E-2</v>
      </c>
      <c r="Y18" s="8" cm="1">
        <f t="array" ref="Y18">INDEX($P:$P,MATCH(1,($V18=$A:$A)*($W18=$B:$B)*("interpreted"=$C:$C)*("unordered"=$E:$E),0))</f>
        <v>3.0000000000000001E-3</v>
      </c>
      <c r="Z18" s="8" t="str" cm="1">
        <f t="array" ref="Z18">INDEX($R:$R, MATCH(MIN(IF(($A:$A=$V18)*($B:$B=$W18), $O:$O)), $O:$O, 0), 1)</f>
        <v>jit-sel-blocking-DELTA-lambda</v>
      </c>
      <c r="AA18" s="17" cm="1">
        <f t="array" ref="AA18">INDEX($O:$O, MATCH(MIN(IF(($A:$A=$V18)*($B:$B=$W18), $O:$O)), $O:$O, 0), 1)</f>
        <v>7.9150000000000002E-3</v>
      </c>
      <c r="AB18" s="8" cm="1">
        <f t="array" ref="AB18">INDEX($P:$P, MATCH(MIN(IF(($A:$A=$V18)*($B:$B=$W18), $O:$O)), $O:$O, 0), 1)</f>
        <v>2.9999999999999997E-4</v>
      </c>
      <c r="AC18" s="19" t="b">
        <f t="shared" si="3"/>
        <v>1</v>
      </c>
      <c r="AD18" s="19">
        <f t="shared" si="4"/>
        <v>11.708780795957043</v>
      </c>
      <c r="AE18" s="19" t="b">
        <f t="shared" si="5"/>
        <v>1</v>
      </c>
      <c r="AF18" s="19">
        <f t="shared" si="6"/>
        <v>2.5118130132659506</v>
      </c>
      <c r="AG18" s="19" t="b">
        <f t="shared" si="7"/>
        <v>1</v>
      </c>
      <c r="AH18" s="19">
        <f t="shared" si="8"/>
        <v>11.708780795957043</v>
      </c>
      <c r="AI18" s="29" cm="1">
        <f t="array" ref="AI18">INDEX($O:$O,MATCH(MIN(IF(($A:$A=$V18)*($B:$B=$W18)*($J:$J=AI$12)*($H:$H=AI$11),$O:$O)),$O:$O,0),1)</f>
        <v>1.9948E-2</v>
      </c>
      <c r="AJ18" s="14" cm="1">
        <f t="array" ref="AJ18">INDEX($P:$P,MATCH(MIN(IF(($A:$A=$V18)*($B:$B=$W18)*($J:$J=AI$12)*($H:$H=AI$11),$O:$O)),$O:$O,0),1)</f>
        <v>2.0000000000000001E-4</v>
      </c>
      <c r="AK18" s="19" t="b">
        <f t="shared" si="9"/>
        <v>1</v>
      </c>
      <c r="AL18" s="19">
        <f t="shared" si="10"/>
        <v>4.6458291558050924</v>
      </c>
      <c r="AM18" s="19" t="b">
        <f t="shared" si="11"/>
        <v>0</v>
      </c>
      <c r="AN18" s="19">
        <f t="shared" si="12"/>
        <v>0.99664126729496683</v>
      </c>
      <c r="AO18" s="19" t="b">
        <f t="shared" si="13"/>
        <v>1</v>
      </c>
      <c r="AP18" s="19">
        <f t="shared" si="14"/>
        <v>4.6458291558050924</v>
      </c>
      <c r="AQ18" s="14" t="str" cm="1">
        <f t="array" ref="AQ18">INDEX($I:$I,MATCH(MIN(IF(($A:$A=$V18)*($B:$B=$W18)*($J:$J=AI$12)*($H:$H=AI$11),$O:$O)),$O:$O,0),1)</f>
        <v>RULE</v>
      </c>
      <c r="AR18" s="14" cm="1">
        <f t="array" ref="AR18">IF(AVERAGEIFS($O:$O, $A:$A, $V18, $B:$B, $W18, $J:$J, AI$12, $H:$H, AI$11, $O:$O, "&lt;&gt;" &amp; INDEX($O:$O, MATCH(MIN(IF(($A:$A=$V18)*($B:$B=$W18)*($J:$J=AI$12)*($H:$H=AI$11), $O:$O)), $O:$O, 0), 1)) &lt;&gt; 0, ABS((INDEX($O:$O, MATCH(MIN(IF(($A:$A=$V18)*($B:$B=$W18)*($J:$J=AI$12)*($H:$H=AI$11), $O:$O)), $O:$O, 0), 1) - AVERAGEIFS($O:$O, $A:$A, $V18, $B:$B, $W18, $J:$J, AI$12, $H:$H, AI$11, $O:$O, "&lt;&gt;" &amp; INDEX($O:$O, MATCH(MIN(IF(($A:$A=$V18)*($B:$B=$W18)*($J:$J=AI$12)*($H:$H=AI$11), $O:$O)), $O:$O, 0), 1))) / AVERAGEIFS($O:$O, $A:$A, $V18, $B:$B, $W18, $J:$J, AI$12, $H:$H, AI$11, $O:$O, "&lt;&gt;" &amp; INDEX($O:$O, MATCH(MIN(IF(($A:$A=$V18)*($B:$B=$W18)*($J:$J=AI$12)*($H:$H=AI$11), $O:$O)), $O:$O, 0), 1))) * 100, "")</f>
        <v>14.815842852567526</v>
      </c>
      <c r="AS18" s="29" cm="1">
        <f t="array" ref="AS18">INDEX($O:$O,MATCH(MIN(IF(($A:$A=$V18)*($B:$B=$W18)*($J:$J=AS$12)*($H:$H=AS$11),$O:$O)),$O:$O,0),1)</f>
        <v>1.9821999999999999E-2</v>
      </c>
      <c r="AT18" s="14" cm="1">
        <f t="array" ref="AT18">INDEX($P:$P,MATCH(MIN(IF(($A:$A=$V18)*($B:$B=$W18)*($J:$J=AS$12)*($H:$H=AS$11),$O:$O)),$O:$O,0),1)</f>
        <v>4.0000000000000002E-4</v>
      </c>
      <c r="AU18" s="30" t="b">
        <f>ABS(AS18-VLOOKUP($V18, $V$2:AT$10, 4, FALSE))&gt;MAX(AT18, VLOOKUP($V18, $V$2:$AB$10, 5, FALSE))</f>
        <v>1</v>
      </c>
      <c r="AV18" s="30">
        <f t="shared" si="15"/>
        <v>4.6753607103218648</v>
      </c>
      <c r="AW18" s="30" t="b">
        <f t="shared" si="16"/>
        <v>0</v>
      </c>
      <c r="AX18" s="30">
        <f t="shared" si="17"/>
        <v>1.0029764907678338</v>
      </c>
      <c r="AY18" s="30" t="b">
        <f t="shared" si="18"/>
        <v>1</v>
      </c>
      <c r="AZ18" s="30">
        <f t="shared" si="19"/>
        <v>4.6753607103218648</v>
      </c>
      <c r="BA18" s="8" t="str" cm="1">
        <f t="array" ref="BA18">INDEX($I:$I,MATCH(MIN(IF(($A:$A=$V18)*($B:$B=$W18)*($J:$J=AS$12)*($H:$H=AS$11),$O:$O)),$O:$O,0),1)</f>
        <v>ALL</v>
      </c>
      <c r="BB18" s="8" cm="1">
        <f t="array" ref="BB18">IF(AVERAGEIFS($O:$O, $A:$A, $V18, $B:$B, $W18, $J:$J, AS$12, $H:$H, AS$11, $O:$O, "&lt;&gt;" &amp; INDEX($O:$O, MATCH(MIN(IF(($A:$A=$V18)*($B:$B=$W18)*($J:$J=AS$12)*($H:$H=AS$11), $O:$O)), $O:$O, 0), 1)) &lt;&gt; 0, ABS((INDEX($O:$O, MATCH(MIN(IF(($A:$A=$V18)*($B:$B=$W18)*($J:$J=AS$12)*($H:$H=AS$11), $O:$O)), $O:$O, 0), 1) - AVERAGEIFS($O:$O, $A:$A, $V18, $B:$B, $W18, $J:$J, AS$12, $H:$H, AS$11, $O:$O, "&lt;&gt;" &amp; INDEX($O:$O, MATCH(MIN(IF(($A:$A=$V18)*($B:$B=$W18)*($J:$J=AS$12)*($H:$H=AS$11), $O:$O)), $O:$O, 0), 1))) / AVERAGEIFS($O:$O, $A:$A, $V18, $B:$B, $W18, $J:$J, AS$12, $H:$H, AS$11, $O:$O, "&lt;&gt;" &amp; INDEX($O:$O, MATCH(MIN(IF(($A:$A=$V18)*($B:$B=$W18)*($J:$J=AS$12)*($H:$H=AS$11), $O:$O)), $O:$O, 0), 1))) * 100, "")</f>
        <v>16.737025602251492</v>
      </c>
      <c r="BC18" s="17" cm="1">
        <f t="array" ref="BC18">INDEX($O:$O,MATCH(MIN(IF(($A:$A=$V18)*($B:$B=$W18)*($J:$J=BC$12)*($H:$H=BC$11),$O:$O)),$O:$O,0),1)</f>
        <v>7.9150000000000002E-3</v>
      </c>
      <c r="BD18" s="8" cm="1">
        <f t="array" ref="BD18">INDEX($P:$P,MATCH(MIN(IF(($A:$A=$V18)*($B:$B=$W18)*($J:$J=BC$12)*($H:$H=BC$11),$O:$O)),$O:$O,0),1)</f>
        <v>2.9999999999999997E-4</v>
      </c>
      <c r="BE18" s="30" t="b">
        <f t="shared" si="20"/>
        <v>1</v>
      </c>
      <c r="BF18" s="30">
        <f t="shared" si="21"/>
        <v>11.708780795957043</v>
      </c>
      <c r="BG18" s="30" t="b">
        <f t="shared" si="22"/>
        <v>1</v>
      </c>
      <c r="BH18" s="30">
        <f t="shared" si="23"/>
        <v>2.5118130132659506</v>
      </c>
      <c r="BI18" s="30" t="b">
        <f t="shared" si="24"/>
        <v>1</v>
      </c>
      <c r="BJ18" s="30">
        <f t="shared" si="25"/>
        <v>11.708780795957043</v>
      </c>
      <c r="BK18" s="8" t="str" cm="1">
        <f t="array" ref="BK18">INDEX($I:$I,MATCH(MIN(IF(($A:$A=$V18)*($B:$B=$W18)*($J:$J=BC$12)*($H:$H=BC$11),$O:$O)),$O:$O,0),1)</f>
        <v>DELTA</v>
      </c>
      <c r="BL18" s="8" cm="1">
        <f t="array" ref="BL18">IF(AVERAGEIFS($O:$O, $A:$A, $V18, $B:$B, $W18, $J:$J, BC$12, $H:$H, BC$11, $O:$O, "&lt;&gt;" &amp; INDEX($O:$O, MATCH(MIN(IF(($A:$A=$V18)*($B:$B=$W18)*($J:$J=BC$12)*($H:$H=BC$11), $O:$O)), $O:$O, 0), 1)) &lt;&gt; 0, ABS((INDEX($O:$O, MATCH(MIN(IF(($A:$A=$V18)*($B:$B=$W18)*($J:$J=BC$12)*($H:$H=BC$11), $O:$O)), $O:$O, 0), 1) - AVERAGEIFS($O:$O, $A:$A, $V18, $B:$B, $W18, $J:$J, BC$12, $H:$H, BC$11, $O:$O, "&lt;&gt;" &amp; INDEX($O:$O, MATCH(MIN(IF(($A:$A=$V18)*($B:$B=$W18)*($J:$J=BC$12)*($H:$H=BC$11), $O:$O)), $O:$O, 0), 1))) / AVERAGEIFS($O:$O, $A:$A, $V18, $B:$B, $W18, $J:$J, BC$12, $H:$H, BC$11, $O:$O, "&lt;&gt;" &amp; INDEX($O:$O, MATCH(MIN(IF(($A:$A=$V18)*($B:$B=$W18)*($J:$J=BC$12)*($H:$H=BC$11), $O:$O)), $O:$O, 0), 1))) * 100, "")</f>
        <v>63.817969874974288</v>
      </c>
      <c r="BM18" s="17" cm="1">
        <f t="array" ref="BM18">INDEX($O:$O,MATCH(MIN(IF(($A:$A=$V18)*($B:$B=$W18)*($J:$J=BM$12)*($H:$H=BM$11),$O:$O)),$O:$O,0),1)</f>
        <v>1.8787999999999999E-2</v>
      </c>
      <c r="BN18" s="8" cm="1">
        <f t="array" ref="BN18">INDEX($P:$P,MATCH(MIN(IF(($A:$A=$V18)*($B:$B=$W18)*($J:$J=BM$12)*($H:$H=BM$11),$O:$O)),$O:$O,0),1)</f>
        <v>2.0000000000000001E-4</v>
      </c>
      <c r="BO18" s="30" t="b">
        <f t="shared" si="26"/>
        <v>1</v>
      </c>
      <c r="BP18" s="30">
        <f t="shared" si="27"/>
        <v>4.932669789227166</v>
      </c>
      <c r="BQ18" s="30" t="b">
        <f t="shared" si="28"/>
        <v>1</v>
      </c>
      <c r="BR18" s="30">
        <f t="shared" si="29"/>
        <v>1.0581754311262508</v>
      </c>
      <c r="BS18" s="30" t="b">
        <f t="shared" si="30"/>
        <v>1</v>
      </c>
      <c r="BT18" s="8">
        <f t="shared" si="31"/>
        <v>4.932669789227166</v>
      </c>
      <c r="BU18" s="8" t="str" cm="1">
        <f t="array" ref="BU18">INDEX($I:$I,MATCH(MIN(IF(($A:$A=$V18)*($B:$B=$W18)*($J:$J=BM$12)*($H:$H=BM$11),$O:$O)),$O:$O,0),1)</f>
        <v>ALL</v>
      </c>
      <c r="BV18" s="8" cm="1">
        <f t="array" ref="BV18">IF(AVERAGEIFS($O:$O, $A:$A, $V18, $B:$B, $W18, $J:$J, BM$12, $H:$H, BM$11, $O:$O, "&lt;&gt;" &amp; INDEX($O:$O, MATCH(MIN(IF(($A:$A=$V18)*($B:$B=$W18)*($J:$J=BM$12)*($H:$H=BM$11), $O:$O)), $O:$O, 0), 1)) &lt;&gt; 0, ABS((INDEX($O:$O, MATCH(MIN(IF(($A:$A=$V18)*($B:$B=$W18)*($J:$J=BM$12)*($H:$H=BM$11), $O:$O)), $O:$O, 0), 1) - AVERAGEIFS($O:$O, $A:$A, $V18, $B:$B, $W18, $J:$J, BM$12, $H:$H, BM$11, $O:$O, "&lt;&gt;" &amp; INDEX($O:$O, MATCH(MIN(IF(($A:$A=$V18)*($B:$B=$W18)*($J:$J=BM$12)*($H:$H=BM$11), $O:$O)), $O:$O, 0), 1))) / AVERAGEIFS($O:$O, $A:$A, $V18, $B:$B, $W18, $J:$J, BM$12, $H:$H, BM$11, $O:$O, "&lt;&gt;" &amp; INDEX($O:$O, MATCH(MIN(IF(($A:$A=$V18)*($B:$B=$W18)*($J:$J=BM$12)*($H:$H=BM$11), $O:$O)), $O:$O, 0), 1))) * 100, "")</f>
        <v>22.616252728695578</v>
      </c>
      <c r="BW18" s="17" cm="1">
        <f t="array" ref="BW18">INDEX($O:$O,MATCH(MIN(IF(($A:$A=$V18)*($B:$B=$W18)*($J:$J=BW$12)*($H:$H=BW$11),$O:$O)),$O:$O,0),1)</f>
        <v>1.7805999999999999E-2</v>
      </c>
      <c r="BX18" s="8" cm="1">
        <f t="array" ref="BX18">INDEX($P:$P,MATCH(MIN(IF(($A:$A=$V18)*($B:$B=$W18)*($J:$J=BW$12)*($H:$H=BW$11),$O:$O)),$O:$O,0),1)</f>
        <v>2.0000000000000001E-4</v>
      </c>
      <c r="BY18" s="19" t="b">
        <f>ABS(BW18-VLOOKUP($V18, $V$2:AB$10, 4, FALSE))&gt;MAX(BX18, VLOOKUP($V18, $V$2:$AB$10, 5, FALSE))</f>
        <v>1</v>
      </c>
      <c r="BZ18" s="19">
        <f t="shared" si="32"/>
        <v>5.2047062787824325</v>
      </c>
      <c r="CA18" s="19" t="b">
        <f t="shared" si="33"/>
        <v>1</v>
      </c>
      <c r="CB18" s="19">
        <f t="shared" si="34"/>
        <v>1.1165337526676402</v>
      </c>
      <c r="CC18" s="19" t="b">
        <f t="shared" si="35"/>
        <v>1</v>
      </c>
      <c r="CD18" s="19">
        <f t="shared" si="36"/>
        <v>5.2047062787824325</v>
      </c>
      <c r="CE18" s="8" t="str" cm="1">
        <f t="array" ref="CE18">INDEX($I:$I,MATCH(MIN(IF(($A:$A=$V18)*($B:$B=$W18)*($J:$J=BW$12)*($H:$H=BW$11),$O:$O)),$O:$O,0),1)</f>
        <v>ALL</v>
      </c>
      <c r="CF18" s="8" cm="1">
        <f t="array" ref="CF18">IF(AVERAGEIFS($O:$O, $A:$A, $V18, $B:$B, $W18, $J:$J, BW$12, $H:$H, BW$11, $O:$O, "&lt;&gt;" &amp; INDEX($O:$O, MATCH(MIN(IF(($A:$A=$V18)*($B:$B=$W18)*($J:$J=BW$12)*($H:$H=BW$11), $O:$O)), $O:$O, 0), 1)) &lt;&gt; 0, ABS((INDEX($O:$O, MATCH(MIN(IF(($A:$A=$V18)*($B:$B=$W18)*($J:$J=BW$12)*($H:$H=BW$11), $O:$O)), $O:$O, 0), 1) - AVERAGEIFS($O:$O, $A:$A, $V18, $B:$B, $W18, $J:$J, BW$12, $H:$H, BW$11, $O:$O, "&lt;&gt;" &amp; INDEX($O:$O, MATCH(MIN(IF(($A:$A=$V18)*($B:$B=$W18)*($J:$J=BW$12)*($H:$H=BW$11), $O:$O)), $O:$O, 0), 1))) / AVERAGEIFS($O:$O, $A:$A, $V18, $B:$B, $W18, $J:$J, BW$12, $H:$H, BW$11, $O:$O, "&lt;&gt;" &amp; INDEX($O:$O, MATCH(MIN(IF(($A:$A=$V18)*($B:$B=$W18)*($J:$J=BW$12)*($H:$H=BW$11), $O:$O)), $O:$O, 0), 1))) * 100, "")</f>
        <v>11.873298688443464</v>
      </c>
      <c r="CG18" s="17" cm="1">
        <f t="array" ref="CG18">INDEX($O:$O,MATCH(MIN(IF(($A:$A=$V18)*($B:$B=$W18)*($J:$J=CG$12)*($H:$H=CG$11),$O:$O)),$O:$O,0),1)</f>
        <v>2.3691E-2</v>
      </c>
      <c r="CH18" s="8" cm="1">
        <f t="array" ref="CH18">INDEX($P:$P,MATCH(MIN(IF(($A:$A=$V18)*($B:$B=$W18)*($J:$J=CG$12)*($H:$H=CG$11),$O:$O)),$O:$O,0),1)</f>
        <v>4.0000000000000002E-4</v>
      </c>
      <c r="CI18" s="30" t="b">
        <f>ABS(CG18-VLOOKUP($V18, $V$2:AB$10, 4, FALSE))&gt;MAX(CH18, VLOOKUP($V18, $V$2:$AB$10, 5, FALSE))</f>
        <v>1</v>
      </c>
      <c r="CJ18" s="30">
        <f t="shared" si="37"/>
        <v>3.9118230551686293</v>
      </c>
      <c r="CK18" s="30" t="b">
        <f t="shared" si="38"/>
        <v>1</v>
      </c>
      <c r="CL18" s="30">
        <f t="shared" si="39"/>
        <v>0.83917943522856775</v>
      </c>
      <c r="CM18" s="30" t="b">
        <f t="shared" si="40"/>
        <v>1</v>
      </c>
      <c r="CN18" s="30">
        <f t="shared" si="41"/>
        <v>3.9118230551686293</v>
      </c>
      <c r="CO18" s="8" t="str" cm="1">
        <f t="array" ref="CO18">INDEX($I:$I,MATCH(MIN(IF(($A:$A=$V18)*($B:$B=$W18)*($J:$J=CG$12)*($H:$H=CG$11),$O:$O)),$O:$O,0),1)</f>
        <v>ALL</v>
      </c>
      <c r="CP18" s="8" cm="1">
        <f t="array" ref="CP18">IF(AVERAGEIFS($O:$O, $A:$A, $V18, $B:$B, $W18, $J:$J, CG$12, $H:$H, CG$11, $O:$O, "&lt;&gt;" &amp; INDEX($O:$O, MATCH(MIN(IF(($A:$A=$V18)*($B:$B=$W18)*($J:$J=CG$12)*($H:$H=CG$11), $O:$O)), $O:$O, 0), 1)) &lt;&gt; 0, ABS((INDEX($O:$O, MATCH(MIN(IF(($A:$A=$V18)*($B:$B=$W18)*($J:$J=CG$12)*($H:$H=CG$11), $O:$O)), $O:$O, 0), 1) - AVERAGEIFS($O:$O, $A:$A, $V18, $B:$B, $W18, $J:$J, CG$12, $H:$H, CG$11, $O:$O, "&lt;&gt;" &amp; INDEX($O:$O, MATCH(MIN(IF(($A:$A=$V18)*($B:$B=$W18)*($J:$J=CG$12)*($H:$H=CG$11), $O:$O)), $O:$O, 0), 1))) / AVERAGEIFS($O:$O, $A:$A, $V18, $B:$B, $W18, $J:$J, CG$12, $H:$H, CG$11, $O:$O, "&lt;&gt;" &amp; INDEX($O:$O, MATCH(MIN(IF(($A:$A=$V18)*($B:$B=$W18)*($J:$J=CG$12)*($H:$H=CG$11), $O:$O)), $O:$O, 0), 1))) * 100, "")</f>
        <v>8.0710876566683432</v>
      </c>
      <c r="CQ18" s="17" cm="1">
        <f t="array" ref="CQ18">INDEX($O:$O,MATCH(1,($V18=$A:$A)*($W18=$B:$B)*("interpreted"=$C:$C)*("sel"=$E:$E),0))</f>
        <v>1.8343000000000002E-2</v>
      </c>
      <c r="CR18" s="8" cm="1">
        <f t="array" ref="CR18">INDEX($P:$P,MATCH(1,($V18=$A:$A)*($W18=$B:$B)*("interpreted"=$C:$C)*("sel"=$E:$E),0))</f>
        <v>2.9999999999999997E-4</v>
      </c>
      <c r="CS18" s="30" t="b">
        <f>ABS(CQ18-VLOOKUP($V18, $V$2:AL$10, 4, FALSE))&gt;MAX(CR18, VLOOKUP($V18, $V$2:$AB$10, 5, FALSE))</f>
        <v>1</v>
      </c>
      <c r="CT18" s="30">
        <f t="shared" si="42"/>
        <v>5.0523360409965647</v>
      </c>
      <c r="CU18" s="30" t="b">
        <f t="shared" si="43"/>
        <v>1</v>
      </c>
      <c r="CV18" s="30">
        <f t="shared" si="44"/>
        <v>1.0838466990132474</v>
      </c>
      <c r="CW18" s="30" t="b">
        <f t="shared" si="45"/>
        <v>1</v>
      </c>
      <c r="CX18" s="30">
        <f t="shared" si="46"/>
        <v>5.0523360409965647</v>
      </c>
    </row>
    <row r="19" spans="1:102" x14ac:dyDescent="0.2">
      <c r="A19" s="15" t="s">
        <v>14</v>
      </c>
      <c r="B19" s="15" t="s">
        <v>15</v>
      </c>
      <c r="C19" s="15" t="s">
        <v>27</v>
      </c>
      <c r="D19" s="15" t="s">
        <v>17</v>
      </c>
      <c r="E19" s="15" t="s">
        <v>28</v>
      </c>
      <c r="F19" s="15"/>
      <c r="G19" s="15">
        <v>0</v>
      </c>
      <c r="H19" s="15" t="s">
        <v>39</v>
      </c>
      <c r="I19" s="15" t="s">
        <v>74</v>
      </c>
      <c r="J19" s="15" t="s">
        <v>33</v>
      </c>
      <c r="K19" s="15"/>
      <c r="L19" s="15" t="s">
        <v>19</v>
      </c>
      <c r="M19" s="15">
        <v>1</v>
      </c>
      <c r="N19" s="15">
        <v>10</v>
      </c>
      <c r="O19" s="15">
        <v>0.34706300000000001</v>
      </c>
      <c r="P19" s="15">
        <v>5.0000000000000001E-3</v>
      </c>
      <c r="Q19" s="15" t="s">
        <v>20</v>
      </c>
      <c r="R19" s="8" t="str">
        <f t="shared" si="0"/>
        <v>jit-sel-blocking-RULE-quotes</v>
      </c>
      <c r="V19" s="8" t="s">
        <v>36</v>
      </c>
      <c r="W19" s="14" t="s">
        <v>15</v>
      </c>
      <c r="X19" s="17" cm="1">
        <f t="array" ref="X19">INDEX($O:$O,MATCH(1,($V19=$A:$A)*($W19=$B:$B)*("interpreted"=$C:$C)*("unordered"=$E:$E),0))</f>
        <v>0.102191</v>
      </c>
      <c r="Y19" s="8" cm="1">
        <f t="array" ref="Y19">INDEX($P:$P,MATCH(1,($V19=$A:$A)*($W19=$B:$B)*("interpreted"=$C:$C)*("unordered"=$E:$E),0))</f>
        <v>1E-3</v>
      </c>
      <c r="Z19" s="8" t="str" cm="1">
        <f t="array" ref="Z19">INDEX($R:$R, MATCH(MIN(IF(($A:$A=$V19)*($B:$B=$W19), $O:$O)), $O:$O, 0), 1)</f>
        <v>jit-sel-blocking-DELTA-lambda</v>
      </c>
      <c r="AA19" s="17" cm="1">
        <f t="array" ref="AA19">INDEX($O:$O, MATCH(MIN(IF(($A:$A=$V19)*($B:$B=$W19), $O:$O)), $O:$O, 0), 1)</f>
        <v>2.7271E-2</v>
      </c>
      <c r="AB19" s="8" cm="1">
        <f t="array" ref="AB19">INDEX($P:$P, MATCH(MIN(IF(($A:$A=$V19)*($B:$B=$W19), $O:$O)), $O:$O, 0), 1)</f>
        <v>5.0000000000000001E-4</v>
      </c>
      <c r="AC19" s="19" t="b">
        <f t="shared" si="3"/>
        <v>1</v>
      </c>
      <c r="AD19" s="19">
        <f t="shared" si="4"/>
        <v>12.327270727146052</v>
      </c>
      <c r="AE19" s="19" t="b">
        <f t="shared" si="5"/>
        <v>1</v>
      </c>
      <c r="AF19" s="19">
        <f t="shared" si="6"/>
        <v>3.7472406585750431</v>
      </c>
      <c r="AG19" s="19" t="b">
        <f t="shared" si="7"/>
        <v>1</v>
      </c>
      <c r="AH19" s="19">
        <f t="shared" si="8"/>
        <v>3.7472406585750431</v>
      </c>
      <c r="AI19" s="29" cm="1">
        <f t="array" ref="AI19">INDEX($O:$O,MATCH(MIN(IF(($A:$A=$V19)*($B:$B=$W19)*($J:$J=AI$12)*($H:$H=AI$11),$O:$O)),$O:$O,0),1)</f>
        <v>0.175093</v>
      </c>
      <c r="AJ19" s="14" cm="1">
        <f t="array" ref="AJ19">INDEX($P:$P,MATCH(MIN(IF(($A:$A=$V19)*($B:$B=$W19)*($J:$J=AI$12)*($H:$H=AI$11),$O:$O)),$O:$O,0),1)</f>
        <v>3.0000000000000001E-3</v>
      </c>
      <c r="AK19" s="19" t="b">
        <f t="shared" si="9"/>
        <v>1</v>
      </c>
      <c r="AL19" s="19">
        <f t="shared" si="10"/>
        <v>1.9199910904490756</v>
      </c>
      <c r="AM19" s="19" t="b">
        <f t="shared" si="11"/>
        <v>1</v>
      </c>
      <c r="AN19" s="19">
        <f t="shared" si="12"/>
        <v>0.58363840930248501</v>
      </c>
      <c r="AO19" s="19" t="b">
        <f t="shared" si="13"/>
        <v>1</v>
      </c>
      <c r="AP19" s="19">
        <f t="shared" si="14"/>
        <v>0.58363840930248501</v>
      </c>
      <c r="AQ19" s="14" t="str" cm="1">
        <f t="array" ref="AQ19">INDEX($I:$I,MATCH(MIN(IF(($A:$A=$V19)*($B:$B=$W19)*($J:$J=AI$12)*($H:$H=AI$11),$O:$O)),$O:$O,0),1)</f>
        <v>RULE</v>
      </c>
      <c r="AR19" s="14" cm="1">
        <f t="array" ref="AR19">IF(AVERAGEIFS($O:$O, $A:$A, $V19, $B:$B, $W19, $J:$J, AI$12, $H:$H, AI$11, $O:$O, "&lt;&gt;" &amp; INDEX($O:$O, MATCH(MIN(IF(($A:$A=$V19)*($B:$B=$W19)*($J:$J=AI$12)*($H:$H=AI$11), $O:$O)), $O:$O, 0), 1)) &lt;&gt; 0, ABS((INDEX($O:$O, MATCH(MIN(IF(($A:$A=$V19)*($B:$B=$W19)*($J:$J=AI$12)*($H:$H=AI$11), $O:$O)), $O:$O, 0), 1) - AVERAGEIFS($O:$O, $A:$A, $V19, $B:$B, $W19, $J:$J, AI$12, $H:$H, AI$11, $O:$O, "&lt;&gt;" &amp; INDEX($O:$O, MATCH(MIN(IF(($A:$A=$V19)*($B:$B=$W19)*($J:$J=AI$12)*($H:$H=AI$11), $O:$O)), $O:$O, 0), 1))) / AVERAGEIFS($O:$O, $A:$A, $V19, $B:$B, $W19, $J:$J, AI$12, $H:$H, AI$11, $O:$O, "&lt;&gt;" &amp; INDEX($O:$O, MATCH(MIN(IF(($A:$A=$V19)*($B:$B=$W19)*($J:$J=AI$12)*($H:$H=AI$11), $O:$O)), $O:$O, 0), 1))) * 100, "")</f>
        <v>15.263571800176642</v>
      </c>
      <c r="AS19" s="29" cm="1">
        <f t="array" ref="AS19">INDEX($O:$O,MATCH(MIN(IF(($A:$A=$V19)*($B:$B=$W19)*($J:$J=AS$12)*($H:$H=AS$11),$O:$O)),$O:$O,0),1)</f>
        <v>0.16686599999999999</v>
      </c>
      <c r="AT19" s="14" cm="1">
        <f t="array" ref="AT19">INDEX($P:$P,MATCH(MIN(IF(($A:$A=$V19)*($B:$B=$W19)*($J:$J=AS$12)*($H:$H=AS$11),$O:$O)),$O:$O,0),1)</f>
        <v>5.0000000000000001E-3</v>
      </c>
      <c r="AU19" s="30" t="b">
        <f>ABS(AS19-VLOOKUP($V19, $V$2:AT$10, 4, FALSE))&gt;MAX(AT19, VLOOKUP($V19, $V$2:$AB$10, 5, FALSE))</f>
        <v>1</v>
      </c>
      <c r="AV19" s="30">
        <f t="shared" si="15"/>
        <v>2.014652475639136</v>
      </c>
      <c r="AW19" s="30" t="b">
        <f t="shared" si="16"/>
        <v>1</v>
      </c>
      <c r="AX19" s="30">
        <f t="shared" si="17"/>
        <v>0.61241355339014547</v>
      </c>
      <c r="AY19" s="30" t="b">
        <f t="shared" si="18"/>
        <v>1</v>
      </c>
      <c r="AZ19" s="30">
        <f t="shared" si="19"/>
        <v>0.61241355339014547</v>
      </c>
      <c r="BA19" s="8" t="str" cm="1">
        <f t="array" ref="BA19">INDEX($I:$I,MATCH(MIN(IF(($A:$A=$V19)*($B:$B=$W19)*($J:$J=AS$12)*($H:$H=AS$11),$O:$O)),$O:$O,0),1)</f>
        <v>RULE</v>
      </c>
      <c r="BB19" s="8" cm="1">
        <f t="array" ref="BB19">IF(AVERAGEIFS($O:$O, $A:$A, $V19, $B:$B, $W19, $J:$J, AS$12, $H:$H, AS$11, $O:$O, "&lt;&gt;" &amp; INDEX($O:$O, MATCH(MIN(IF(($A:$A=$V19)*($B:$B=$W19)*($J:$J=AS$12)*($H:$H=AS$11), $O:$O)), $O:$O, 0), 1)) &lt;&gt; 0, ABS((INDEX($O:$O, MATCH(MIN(IF(($A:$A=$V19)*($B:$B=$W19)*($J:$J=AS$12)*($H:$H=AS$11), $O:$O)), $O:$O, 0), 1) - AVERAGEIFS($O:$O, $A:$A, $V19, $B:$B, $W19, $J:$J, AS$12, $H:$H, AS$11, $O:$O, "&lt;&gt;" &amp; INDEX($O:$O, MATCH(MIN(IF(($A:$A=$V19)*($B:$B=$W19)*($J:$J=AS$12)*($H:$H=AS$11), $O:$O)), $O:$O, 0), 1))) / AVERAGEIFS($O:$O, $A:$A, $V19, $B:$B, $W19, $J:$J, AS$12, $H:$H, AS$11, $O:$O, "&lt;&gt;" &amp; INDEX($O:$O, MATCH(MIN(IF(($A:$A=$V19)*($B:$B=$W19)*($J:$J=AS$12)*($H:$H=AS$11), $O:$O)), $O:$O, 0), 1))) * 100, "")</f>
        <v>13.075911287066836</v>
      </c>
      <c r="BC19" s="17" cm="1">
        <f t="array" ref="BC19">INDEX($O:$O,MATCH(MIN(IF(($A:$A=$V19)*($B:$B=$W19)*($J:$J=BC$12)*($H:$H=BC$11),$O:$O)),$O:$O,0),1)</f>
        <v>2.7271E-2</v>
      </c>
      <c r="BD19" s="8" cm="1">
        <f t="array" ref="BD19">INDEX($P:$P,MATCH(MIN(IF(($A:$A=$V19)*($B:$B=$W19)*($J:$J=BC$12)*($H:$H=BC$11),$O:$O)),$O:$O,0),1)</f>
        <v>5.0000000000000001E-4</v>
      </c>
      <c r="BE19" s="30" t="b">
        <f t="shared" si="20"/>
        <v>1</v>
      </c>
      <c r="BF19" s="30">
        <f t="shared" si="21"/>
        <v>12.327270727146052</v>
      </c>
      <c r="BG19" s="30" t="b">
        <f t="shared" si="22"/>
        <v>1</v>
      </c>
      <c r="BH19" s="30">
        <f t="shared" si="23"/>
        <v>3.7472406585750431</v>
      </c>
      <c r="BI19" s="30" t="b">
        <f t="shared" si="24"/>
        <v>1</v>
      </c>
      <c r="BJ19" s="30">
        <f t="shared" si="25"/>
        <v>3.7472406585750431</v>
      </c>
      <c r="BK19" s="8" t="str" cm="1">
        <f t="array" ref="BK19">INDEX($I:$I,MATCH(MIN(IF(($A:$A=$V19)*($B:$B=$W19)*($J:$J=BC$12)*($H:$H=BC$11),$O:$O)),$O:$O,0),1)</f>
        <v>DELTA</v>
      </c>
      <c r="BL19" s="8" cm="1">
        <f t="array" ref="BL19">IF(AVERAGEIFS($O:$O, $A:$A, $V19, $B:$B, $W19, $J:$J, BC$12, $H:$H, BC$11, $O:$O, "&lt;&gt;" &amp; INDEX($O:$O, MATCH(MIN(IF(($A:$A=$V19)*($B:$B=$W19)*($J:$J=BC$12)*($H:$H=BC$11), $O:$O)), $O:$O, 0), 1)) &lt;&gt; 0, ABS((INDEX($O:$O, MATCH(MIN(IF(($A:$A=$V19)*($B:$B=$W19)*($J:$J=BC$12)*($H:$H=BC$11), $O:$O)), $O:$O, 0), 1) - AVERAGEIFS($O:$O, $A:$A, $V19, $B:$B, $W19, $J:$J, BC$12, $H:$H, BC$11, $O:$O, "&lt;&gt;" &amp; INDEX($O:$O, MATCH(MIN(IF(($A:$A=$V19)*($B:$B=$W19)*($J:$J=BC$12)*($H:$H=BC$11), $O:$O)), $O:$O, 0), 1))) / AVERAGEIFS($O:$O, $A:$A, $V19, $B:$B, $W19, $J:$J, BC$12, $H:$H, BC$11, $O:$O, "&lt;&gt;" &amp; INDEX($O:$O, MATCH(MIN(IF(($A:$A=$V19)*($B:$B=$W19)*($J:$J=BC$12)*($H:$H=BC$11), $O:$O)), $O:$O, 0), 1))) * 100, "")</f>
        <v>85.286159407583256</v>
      </c>
      <c r="BM19" s="17" cm="1">
        <f t="array" ref="BM19">INDEX($O:$O,MATCH(MIN(IF(($A:$A=$V19)*($B:$B=$W19)*($J:$J=BM$12)*($H:$H=BM$11),$O:$O)),$O:$O,0),1)</f>
        <v>0.181726</v>
      </c>
      <c r="BN19" s="8" cm="1">
        <f t="array" ref="BN19">INDEX($P:$P,MATCH(MIN(IF(($A:$A=$V19)*($B:$B=$W19)*($J:$J=BM$12)*($H:$H=BM$11),$O:$O)),$O:$O,0),1)</f>
        <v>2E-3</v>
      </c>
      <c r="BO19" s="30" t="b">
        <f t="shared" si="26"/>
        <v>1</v>
      </c>
      <c r="BP19" s="30">
        <f t="shared" si="27"/>
        <v>1.8499114050823768</v>
      </c>
      <c r="BQ19" s="30" t="b">
        <f t="shared" si="28"/>
        <v>1</v>
      </c>
      <c r="BR19" s="30">
        <f t="shared" si="29"/>
        <v>0.56233560415130479</v>
      </c>
      <c r="BS19" s="30" t="b">
        <f t="shared" si="30"/>
        <v>1</v>
      </c>
      <c r="BT19" s="8">
        <f t="shared" si="31"/>
        <v>0.56233560415130479</v>
      </c>
      <c r="BU19" s="8" t="str" cm="1">
        <f t="array" ref="BU19">INDEX($I:$I,MATCH(MIN(IF(($A:$A=$V19)*($B:$B=$W19)*($J:$J=BM$12)*($H:$H=BM$11),$O:$O)),$O:$O,0),1)</f>
        <v>RULE</v>
      </c>
      <c r="BV19" s="8" cm="1">
        <f t="array" ref="BV19">IF(AVERAGEIFS($O:$O, $A:$A, $V19, $B:$B, $W19, $J:$J, BM$12, $H:$H, BM$11, $O:$O, "&lt;&gt;" &amp; INDEX($O:$O, MATCH(MIN(IF(($A:$A=$V19)*($B:$B=$W19)*($J:$J=BM$12)*($H:$H=BM$11), $O:$O)), $O:$O, 0), 1)) &lt;&gt; 0, ABS((INDEX($O:$O, MATCH(MIN(IF(($A:$A=$V19)*($B:$B=$W19)*($J:$J=BM$12)*($H:$H=BM$11), $O:$O)), $O:$O, 0), 1) - AVERAGEIFS($O:$O, $A:$A, $V19, $B:$B, $W19, $J:$J, BM$12, $H:$H, BM$11, $O:$O, "&lt;&gt;" &amp; INDEX($O:$O, MATCH(MIN(IF(($A:$A=$V19)*($B:$B=$W19)*($J:$J=BM$12)*($H:$H=BM$11), $O:$O)), $O:$O, 0), 1))) / AVERAGEIFS($O:$O, $A:$A, $V19, $B:$B, $W19, $J:$J, BM$12, $H:$H, BM$11, $O:$O, "&lt;&gt;" &amp; INDEX($O:$O, MATCH(MIN(IF(($A:$A=$V19)*($B:$B=$W19)*($J:$J=BM$12)*($H:$H=BM$11), $O:$O)), $O:$O, 0), 1))) * 100, "")</f>
        <v>6.3692757924240606</v>
      </c>
      <c r="BW19" s="17" cm="1">
        <f t="array" ref="BW19">INDEX($O:$O,MATCH(MIN(IF(($A:$A=$V19)*($B:$B=$W19)*($J:$J=BW$12)*($H:$H=BW$11),$O:$O)),$O:$O,0),1)</f>
        <v>0.17266699999999999</v>
      </c>
      <c r="BX19" s="8" cm="1">
        <f t="array" ref="BX19">INDEX($P:$P,MATCH(MIN(IF(($A:$A=$V19)*($B:$B=$W19)*($J:$J=BW$12)*($H:$H=BW$11),$O:$O)),$O:$O,0),1)</f>
        <v>2E-3</v>
      </c>
      <c r="BY19" s="19" t="b">
        <f>ABS(BW19-VLOOKUP($V19, $V$2:AB$10, 4, FALSE))&gt;MAX(BX19, VLOOKUP($V19, $V$2:$AB$10, 5, FALSE))</f>
        <v>1</v>
      </c>
      <c r="BZ19" s="19">
        <f t="shared" si="32"/>
        <v>1.9469672838469425</v>
      </c>
      <c r="CA19" s="19" t="b">
        <f t="shared" si="33"/>
        <v>1</v>
      </c>
      <c r="CB19" s="19">
        <f t="shared" si="34"/>
        <v>0.5918386257941588</v>
      </c>
      <c r="CC19" s="19" t="b">
        <f t="shared" si="35"/>
        <v>1</v>
      </c>
      <c r="CD19" s="19">
        <f t="shared" si="36"/>
        <v>0.5918386257941588</v>
      </c>
      <c r="CE19" s="8" t="str" cm="1">
        <f t="array" ref="CE19">INDEX($I:$I,MATCH(MIN(IF(($A:$A=$V19)*($B:$B=$W19)*($J:$J=BW$12)*($H:$H=BW$11),$O:$O)),$O:$O,0),1)</f>
        <v>RULE</v>
      </c>
      <c r="CF19" s="8" cm="1">
        <f t="array" ref="CF19">IF(AVERAGEIFS($O:$O, $A:$A, $V19, $B:$B, $W19, $J:$J, BW$12, $H:$H, BW$11, $O:$O, "&lt;&gt;" &amp; INDEX($O:$O, MATCH(MIN(IF(($A:$A=$V19)*($B:$B=$W19)*($J:$J=BW$12)*($H:$H=BW$11), $O:$O)), $O:$O, 0), 1)) &lt;&gt; 0, ABS((INDEX($O:$O, MATCH(MIN(IF(($A:$A=$V19)*($B:$B=$W19)*($J:$J=BW$12)*($H:$H=BW$11), $O:$O)), $O:$O, 0), 1) - AVERAGEIFS($O:$O, $A:$A, $V19, $B:$B, $W19, $J:$J, BW$12, $H:$H, BW$11, $O:$O, "&lt;&gt;" &amp; INDEX($O:$O, MATCH(MIN(IF(($A:$A=$V19)*($B:$B=$W19)*($J:$J=BW$12)*($H:$H=BW$11), $O:$O)), $O:$O, 0), 1))) / AVERAGEIFS($O:$O, $A:$A, $V19, $B:$B, $W19, $J:$J, BW$12, $H:$H, BW$11, $O:$O, "&lt;&gt;" &amp; INDEX($O:$O, MATCH(MIN(IF(($A:$A=$V19)*($B:$B=$W19)*($J:$J=BW$12)*($H:$H=BW$11), $O:$O)), $O:$O, 0), 1))) * 100, "")</f>
        <v>4.480906360121053</v>
      </c>
      <c r="CG19" s="17" cm="1">
        <f t="array" ref="CG19">INDEX($O:$O,MATCH(MIN(IF(($A:$A=$V19)*($B:$B=$W19)*($J:$J=CG$12)*($H:$H=CG$11),$O:$O)),$O:$O,0),1)</f>
        <v>0.14425099999999999</v>
      </c>
      <c r="CH19" s="8" cm="1">
        <f t="array" ref="CH19">INDEX($P:$P,MATCH(MIN(IF(($A:$A=$V19)*($B:$B=$W19)*($J:$J=CG$12)*($H:$H=CG$11),$O:$O)),$O:$O,0),1)</f>
        <v>1.6E-2</v>
      </c>
      <c r="CI19" s="30" t="b">
        <f>ABS(CG19-VLOOKUP($V19, $V$2:AB$10, 4, FALSE))&gt;MAX(CH19, VLOOKUP($V19, $V$2:$AB$10, 5, FALSE))</f>
        <v>1</v>
      </c>
      <c r="CJ19" s="30">
        <f t="shared" si="37"/>
        <v>2.3305003084900626</v>
      </c>
      <c r="CK19" s="30" t="b">
        <f t="shared" si="38"/>
        <v>1</v>
      </c>
      <c r="CL19" s="30">
        <f t="shared" si="39"/>
        <v>0.70842489826760302</v>
      </c>
      <c r="CM19" s="30" t="b">
        <f t="shared" si="40"/>
        <v>1</v>
      </c>
      <c r="CN19" s="30">
        <f t="shared" si="41"/>
        <v>0.70842489826760302</v>
      </c>
      <c r="CO19" s="8" t="str" cm="1">
        <f t="array" ref="CO19">INDEX($I:$I,MATCH(MIN(IF(($A:$A=$V19)*($B:$B=$W19)*($J:$J=CG$12)*($H:$H=CG$11),$O:$O)),$O:$O,0),1)</f>
        <v>RULE</v>
      </c>
      <c r="CP19" s="8" cm="1">
        <f t="array" ref="CP19">IF(AVERAGEIFS($O:$O, $A:$A, $V19, $B:$B, $W19, $J:$J, CG$12, $H:$H, CG$11, $O:$O, "&lt;&gt;" &amp; INDEX($O:$O, MATCH(MIN(IF(($A:$A=$V19)*($B:$B=$W19)*($J:$J=CG$12)*($H:$H=CG$11), $O:$O)), $O:$O, 0), 1)) &lt;&gt; 0, ABS((INDEX($O:$O, MATCH(MIN(IF(($A:$A=$V19)*($B:$B=$W19)*($J:$J=CG$12)*($H:$H=CG$11), $O:$O)), $O:$O, 0), 1) - AVERAGEIFS($O:$O, $A:$A, $V19, $B:$B, $W19, $J:$J, CG$12, $H:$H, CG$11, $O:$O, "&lt;&gt;" &amp; INDEX($O:$O, MATCH(MIN(IF(($A:$A=$V19)*($B:$B=$W19)*($J:$J=CG$12)*($H:$H=CG$11), $O:$O)), $O:$O, 0), 1))) / AVERAGEIFS($O:$O, $A:$A, $V19, $B:$B, $W19, $J:$J, CG$12, $H:$H, CG$11, $O:$O, "&lt;&gt;" &amp; INDEX($O:$O, MATCH(MIN(IF(($A:$A=$V19)*($B:$B=$W19)*($J:$J=CG$12)*($H:$H=CG$11), $O:$O)), $O:$O, 0), 1))) * 100, "")</f>
        <v>31.102354683096916</v>
      </c>
      <c r="CQ19" s="17" cm="1">
        <f t="array" ref="CQ19">INDEX($O:$O,MATCH(1,($V19=$A:$A)*($W19=$B:$B)*("interpreted"=$C:$C)*("sel"=$E:$E),0))</f>
        <v>0.18182400000000001</v>
      </c>
      <c r="CR19" s="8" cm="1">
        <f t="array" ref="CR19">INDEX($P:$P,MATCH(1,($V19=$A:$A)*($W19=$B:$B)*("interpreted"=$C:$C)*("sel"=$E:$E),0))</f>
        <v>2E-3</v>
      </c>
      <c r="CS19" s="30" t="b">
        <f>ABS(CQ19-VLOOKUP($V19, $V$2:AL$10, 4, FALSE))&gt;MAX(CR19, VLOOKUP($V19, $V$2:$AB$10, 5, FALSE))</f>
        <v>1</v>
      </c>
      <c r="CT19" s="30">
        <f t="shared" si="42"/>
        <v>1.8489143347412882</v>
      </c>
      <c r="CU19" s="30" t="b">
        <f t="shared" si="43"/>
        <v>1</v>
      </c>
      <c r="CV19" s="30">
        <f t="shared" si="44"/>
        <v>0.56203251495952122</v>
      </c>
      <c r="CW19" s="30" t="b">
        <f t="shared" si="45"/>
        <v>1</v>
      </c>
      <c r="CX19" s="30">
        <f t="shared" si="46"/>
        <v>0.56203251495952122</v>
      </c>
    </row>
    <row r="20" spans="1:102" x14ac:dyDescent="0.2">
      <c r="A20" s="15" t="s">
        <v>14</v>
      </c>
      <c r="B20" s="15" t="s">
        <v>65</v>
      </c>
      <c r="C20" s="15" t="s">
        <v>16</v>
      </c>
      <c r="D20" s="15" t="s">
        <v>17</v>
      </c>
      <c r="E20" s="15" t="s">
        <v>28</v>
      </c>
      <c r="F20" s="15"/>
      <c r="G20" s="15">
        <v>0</v>
      </c>
      <c r="H20" s="15"/>
      <c r="I20" s="15"/>
      <c r="J20" s="15"/>
      <c r="K20" s="15"/>
      <c r="L20" s="15" t="s">
        <v>19</v>
      </c>
      <c r="M20" s="15">
        <v>1</v>
      </c>
      <c r="N20" s="15">
        <v>10</v>
      </c>
      <c r="O20" s="15">
        <v>0.38497900000000002</v>
      </c>
      <c r="P20" s="15">
        <v>4.0000000000000001E-3</v>
      </c>
      <c r="Q20" s="15" t="s">
        <v>20</v>
      </c>
      <c r="R20" s="8" t="str">
        <f t="shared" si="0"/>
        <v>interpreted-sel---</v>
      </c>
      <c r="V20" s="8" t="s">
        <v>36</v>
      </c>
      <c r="W20" s="14" t="s">
        <v>65</v>
      </c>
      <c r="X20" s="17" cm="1">
        <f t="array" ref="X20">INDEX($O:$O,MATCH(1,($V20=$A:$A)*($W20=$B:$B)*("interpreted"=$C:$C)*("unordered"=$E:$E),0))</f>
        <v>0.336177</v>
      </c>
      <c r="Y20" s="8" cm="1">
        <f t="array" ref="Y20">INDEX($P:$P,MATCH(1,($V20=$A:$A)*($W20=$B:$B)*("interpreted"=$C:$C)*("unordered"=$E:$E),0))</f>
        <v>3.0000000000000001E-3</v>
      </c>
      <c r="Z20" s="8" t="str" cm="1">
        <f t="array" ref="Z20">INDEX($R:$R, MATCH(MIN(IF(($A:$A=$V20)*($B:$B=$W20), $O:$O)), $O:$O, 0), 1)</f>
        <v>jit-sel-blocking-DELTA-lambda</v>
      </c>
      <c r="AA20" s="17" cm="1">
        <f t="array" ref="AA20">INDEX($O:$O, MATCH(MIN(IF(($A:$A=$V20)*($B:$B=$W20), $O:$O)), $O:$O, 0), 1)</f>
        <v>2.8531999999999998E-2</v>
      </c>
      <c r="AB20" s="8" cm="1">
        <f t="array" ref="AB20">INDEX($P:$P, MATCH(MIN(IF(($A:$A=$V20)*($B:$B=$W20), $O:$O)), $O:$O, 0), 1)</f>
        <v>2E-3</v>
      </c>
      <c r="AC20" s="19" t="b">
        <f t="shared" si="3"/>
        <v>1</v>
      </c>
      <c r="AD20" s="19">
        <f t="shared" si="4"/>
        <v>11.782454787606898</v>
      </c>
      <c r="AE20" s="19" t="b">
        <f t="shared" si="5"/>
        <v>1</v>
      </c>
      <c r="AF20" s="19">
        <f t="shared" si="6"/>
        <v>3.5816276461516896</v>
      </c>
      <c r="AG20" s="19" t="b">
        <f t="shared" si="7"/>
        <v>1</v>
      </c>
      <c r="AH20" s="19">
        <f t="shared" si="8"/>
        <v>11.782454787606898</v>
      </c>
      <c r="AI20" s="29" cm="1">
        <f t="array" ref="AI20">INDEX($O:$O,MATCH(MIN(IF(($A:$A=$V20)*($B:$B=$W20)*($J:$J=AI$12)*($H:$H=AI$11),$O:$O)),$O:$O,0),1)</f>
        <v>0.14818300000000001</v>
      </c>
      <c r="AJ20" s="14" cm="1">
        <f t="array" ref="AJ20">INDEX($P:$P,MATCH(MIN(IF(($A:$A=$V20)*($B:$B=$W20)*($J:$J=AI$12)*($H:$H=AI$11),$O:$O)),$O:$O,0),1)</f>
        <v>2E-3</v>
      </c>
      <c r="AK20" s="19" t="b">
        <f t="shared" si="9"/>
        <v>1</v>
      </c>
      <c r="AL20" s="19">
        <f t="shared" si="10"/>
        <v>2.2686610474885782</v>
      </c>
      <c r="AM20" s="19" t="b">
        <f t="shared" si="11"/>
        <v>1</v>
      </c>
      <c r="AN20" s="19">
        <f t="shared" si="12"/>
        <v>0.68962701524466363</v>
      </c>
      <c r="AO20" s="19" t="b">
        <f t="shared" si="13"/>
        <v>1</v>
      </c>
      <c r="AP20" s="19">
        <f t="shared" si="14"/>
        <v>2.2686610474885782</v>
      </c>
      <c r="AQ20" s="14" t="str" cm="1">
        <f t="array" ref="AQ20">INDEX($I:$I,MATCH(MIN(IF(($A:$A=$V20)*($B:$B=$W20)*($J:$J=AI$12)*($H:$H=AI$11),$O:$O)),$O:$O,0),1)</f>
        <v>RULE</v>
      </c>
      <c r="AR20" s="14" cm="1">
        <f t="array" ref="AR20">IF(AVERAGEIFS($O:$O, $A:$A, $V20, $B:$B, $W20, $J:$J, AI$12, $H:$H, AI$11, $O:$O, "&lt;&gt;" &amp; INDEX($O:$O, MATCH(MIN(IF(($A:$A=$V20)*($B:$B=$W20)*($J:$J=AI$12)*($H:$H=AI$11), $O:$O)), $O:$O, 0), 1)) &lt;&gt; 0, ABS((INDEX($O:$O, MATCH(MIN(IF(($A:$A=$V20)*($B:$B=$W20)*($J:$J=AI$12)*($H:$H=AI$11), $O:$O)), $O:$O, 0), 1) - AVERAGEIFS($O:$O, $A:$A, $V20, $B:$B, $W20, $J:$J, AI$12, $H:$H, AI$11, $O:$O, "&lt;&gt;" &amp; INDEX($O:$O, MATCH(MIN(IF(($A:$A=$V20)*($B:$B=$W20)*($J:$J=AI$12)*($H:$H=AI$11), $O:$O)), $O:$O, 0), 1))) / AVERAGEIFS($O:$O, $A:$A, $V20, $B:$B, $W20, $J:$J, AI$12, $H:$H, AI$11, $O:$O, "&lt;&gt;" &amp; INDEX($O:$O, MATCH(MIN(IF(($A:$A=$V20)*($B:$B=$W20)*($J:$J=AI$12)*($H:$H=AI$11), $O:$O)), $O:$O, 0), 1))) * 100, "")</f>
        <v>11.557090121249908</v>
      </c>
      <c r="AS20" s="29" cm="1">
        <f t="array" ref="AS20">INDEX($O:$O,MATCH(MIN(IF(($A:$A=$V20)*($B:$B=$W20)*($J:$J=AS$12)*($H:$H=AS$11),$O:$O)),$O:$O,0),1)</f>
        <v>0.16970499999999999</v>
      </c>
      <c r="AT20" s="14" cm="1">
        <f t="array" ref="AT20">INDEX($P:$P,MATCH(MIN(IF(($A:$A=$V20)*($B:$B=$W20)*($J:$J=AS$12)*($H:$H=AS$11),$O:$O)),$O:$O,0),1)</f>
        <v>1E-3</v>
      </c>
      <c r="AU20" s="30" t="b">
        <f>ABS(AS20-VLOOKUP($V20, $V$2:AT$10, 4, FALSE))&gt;MAX(AT20, VLOOKUP($V20, $V$2:$AB$10, 5, FALSE))</f>
        <v>1</v>
      </c>
      <c r="AV20" s="30">
        <f t="shared" si="15"/>
        <v>1.980949294363749</v>
      </c>
      <c r="AW20" s="30" t="b">
        <f t="shared" si="16"/>
        <v>1</v>
      </c>
      <c r="AX20" s="30">
        <f t="shared" si="17"/>
        <v>0.60216846881352937</v>
      </c>
      <c r="AY20" s="30" t="b">
        <f t="shared" si="18"/>
        <v>1</v>
      </c>
      <c r="AZ20" s="30">
        <f t="shared" si="19"/>
        <v>1.980949294363749</v>
      </c>
      <c r="BA20" s="8" t="str" cm="1">
        <f t="array" ref="BA20">INDEX($I:$I,MATCH(MIN(IF(($A:$A=$V20)*($B:$B=$W20)*($J:$J=AS$12)*($H:$H=AS$11),$O:$O)),$O:$O,0),1)</f>
        <v>ALL</v>
      </c>
      <c r="BB20" s="8" cm="1">
        <f t="array" ref="BB20">IF(AVERAGEIFS($O:$O, $A:$A, $V20, $B:$B, $W20, $J:$J, AS$12, $H:$H, AS$11, $O:$O, "&lt;&gt;" &amp; INDEX($O:$O, MATCH(MIN(IF(($A:$A=$V20)*($B:$B=$W20)*($J:$J=AS$12)*($H:$H=AS$11), $O:$O)), $O:$O, 0), 1)) &lt;&gt; 0, ABS((INDEX($O:$O, MATCH(MIN(IF(($A:$A=$V20)*($B:$B=$W20)*($J:$J=AS$12)*($H:$H=AS$11), $O:$O)), $O:$O, 0), 1) - AVERAGEIFS($O:$O, $A:$A, $V20, $B:$B, $W20, $J:$J, AS$12, $H:$H, AS$11, $O:$O, "&lt;&gt;" &amp; INDEX($O:$O, MATCH(MIN(IF(($A:$A=$V20)*($B:$B=$W20)*($J:$J=AS$12)*($H:$H=AS$11), $O:$O)), $O:$O, 0), 1))) / AVERAGEIFS($O:$O, $A:$A, $V20, $B:$B, $W20, $J:$J, AS$12, $H:$H, AS$11, $O:$O, "&lt;&gt;" &amp; INDEX($O:$O, MATCH(MIN(IF(($A:$A=$V20)*($B:$B=$W20)*($J:$J=AS$12)*($H:$H=AS$11), $O:$O)), $O:$O, 0), 1))) * 100, "")</f>
        <v>7.5917384983147072</v>
      </c>
      <c r="BC20" s="17" cm="1">
        <f t="array" ref="BC20">INDEX($O:$O,MATCH(MIN(IF(($A:$A=$V20)*($B:$B=$W20)*($J:$J=BC$12)*($H:$H=BC$11),$O:$O)),$O:$O,0),1)</f>
        <v>2.8531999999999998E-2</v>
      </c>
      <c r="BD20" s="8" cm="1">
        <f t="array" ref="BD20">INDEX($P:$P,MATCH(MIN(IF(($A:$A=$V20)*($B:$B=$W20)*($J:$J=BC$12)*($H:$H=BC$11),$O:$O)),$O:$O,0),1)</f>
        <v>2E-3</v>
      </c>
      <c r="BE20" s="30" t="b">
        <f t="shared" si="20"/>
        <v>1</v>
      </c>
      <c r="BF20" s="30">
        <f t="shared" si="21"/>
        <v>11.782454787606898</v>
      </c>
      <c r="BG20" s="30" t="b">
        <f t="shared" si="22"/>
        <v>1</v>
      </c>
      <c r="BH20" s="30">
        <f t="shared" si="23"/>
        <v>3.5816276461516896</v>
      </c>
      <c r="BI20" s="30" t="b">
        <f t="shared" si="24"/>
        <v>1</v>
      </c>
      <c r="BJ20" s="30">
        <f t="shared" si="25"/>
        <v>11.782454787606898</v>
      </c>
      <c r="BK20" s="8" t="str" cm="1">
        <f t="array" ref="BK20">INDEX($I:$I,MATCH(MIN(IF(($A:$A=$V20)*($B:$B=$W20)*($J:$J=BC$12)*($H:$H=BC$11),$O:$O)),$O:$O,0),1)</f>
        <v>DELTA</v>
      </c>
      <c r="BL20" s="8" cm="1">
        <f t="array" ref="BL20">IF(AVERAGEIFS($O:$O, $A:$A, $V20, $B:$B, $W20, $J:$J, BC$12, $H:$H, BC$11, $O:$O, "&lt;&gt;" &amp; INDEX($O:$O, MATCH(MIN(IF(($A:$A=$V20)*($B:$B=$W20)*($J:$J=BC$12)*($H:$H=BC$11), $O:$O)), $O:$O, 0), 1)) &lt;&gt; 0, ABS((INDEX($O:$O, MATCH(MIN(IF(($A:$A=$V20)*($B:$B=$W20)*($J:$J=BC$12)*($H:$H=BC$11), $O:$O)), $O:$O, 0), 1) - AVERAGEIFS($O:$O, $A:$A, $V20, $B:$B, $W20, $J:$J, BC$12, $H:$H, BC$11, $O:$O, "&lt;&gt;" &amp; INDEX($O:$O, MATCH(MIN(IF(($A:$A=$V20)*($B:$B=$W20)*($J:$J=BC$12)*($H:$H=BC$11), $O:$O)), $O:$O, 0), 1))) / AVERAGEIFS($O:$O, $A:$A, $V20, $B:$B, $W20, $J:$J, BC$12, $H:$H, BC$11, $O:$O, "&lt;&gt;" &amp; INDEX($O:$O, MATCH(MIN(IF(($A:$A=$V20)*($B:$B=$W20)*($J:$J=BC$12)*($H:$H=BC$11), $O:$O)), $O:$O, 0), 1))) * 100, "")</f>
        <v>81.722734159051669</v>
      </c>
      <c r="BM20" s="17" cm="1">
        <f t="array" ref="BM20">INDEX($O:$O,MATCH(MIN(IF(($A:$A=$V20)*($B:$B=$W20)*($J:$J=BM$12)*($H:$H=BM$11),$O:$O)),$O:$O,0),1)</f>
        <v>0.148483</v>
      </c>
      <c r="BN20" s="8" cm="1">
        <f t="array" ref="BN20">INDEX($P:$P,MATCH(MIN(IF(($A:$A=$V20)*($B:$B=$W20)*($J:$J=BM$12)*($H:$H=BM$11),$O:$O)),$O:$O,0),1)</f>
        <v>5.0000000000000001E-3</v>
      </c>
      <c r="BO20" s="30" t="b">
        <f t="shared" si="26"/>
        <v>1</v>
      </c>
      <c r="BP20" s="30">
        <f t="shared" si="27"/>
        <v>2.264077369126432</v>
      </c>
      <c r="BQ20" s="30" t="b">
        <f t="shared" si="28"/>
        <v>1</v>
      </c>
      <c r="BR20" s="30">
        <f t="shared" si="29"/>
        <v>0.68823366984772671</v>
      </c>
      <c r="BS20" s="30" t="b">
        <f t="shared" si="30"/>
        <v>1</v>
      </c>
      <c r="BT20" s="8">
        <f t="shared" si="31"/>
        <v>2.264077369126432</v>
      </c>
      <c r="BU20" s="8" t="str" cm="1">
        <f t="array" ref="BU20">INDEX($I:$I,MATCH(MIN(IF(($A:$A=$V20)*($B:$B=$W20)*($J:$J=BM$12)*($H:$H=BM$11),$O:$O)),$O:$O,0),1)</f>
        <v>ALL</v>
      </c>
      <c r="BV20" s="8" cm="1">
        <f t="array" ref="BV20">IF(AVERAGEIFS($O:$O, $A:$A, $V20, $B:$B, $W20, $J:$J, BM$12, $H:$H, BM$11, $O:$O, "&lt;&gt;" &amp; INDEX($O:$O, MATCH(MIN(IF(($A:$A=$V20)*($B:$B=$W20)*($J:$J=BM$12)*($H:$H=BM$11), $O:$O)), $O:$O, 0), 1)) &lt;&gt; 0, ABS((INDEX($O:$O, MATCH(MIN(IF(($A:$A=$V20)*($B:$B=$W20)*($J:$J=BM$12)*($H:$H=BM$11), $O:$O)), $O:$O, 0), 1) - AVERAGEIFS($O:$O, $A:$A, $V20, $B:$B, $W20, $J:$J, BM$12, $H:$H, BM$11, $O:$O, "&lt;&gt;" &amp; INDEX($O:$O, MATCH(MIN(IF(($A:$A=$V20)*($B:$B=$W20)*($J:$J=BM$12)*($H:$H=BM$11), $O:$O)), $O:$O, 0), 1))) / AVERAGEIFS($O:$O, $A:$A, $V20, $B:$B, $W20, $J:$J, BM$12, $H:$H, BM$11, $O:$O, "&lt;&gt;" &amp; INDEX($O:$O, MATCH(MIN(IF(($A:$A=$V20)*($B:$B=$W20)*($J:$J=BM$12)*($H:$H=BM$11), $O:$O)), $O:$O, 0), 1))) * 100, "")</f>
        <v>25.686787750178926</v>
      </c>
      <c r="BW20" s="17" cm="1">
        <f t="array" ref="BW20">INDEX($O:$O,MATCH(MIN(IF(($A:$A=$V20)*($B:$B=$W20)*($J:$J=BW$12)*($H:$H=BW$11),$O:$O)),$O:$O,0),1)</f>
        <v>0.158334</v>
      </c>
      <c r="BX20" s="8" cm="1">
        <f t="array" ref="BX20">INDEX($P:$P,MATCH(MIN(IF(($A:$A=$V20)*($B:$B=$W20)*($J:$J=BW$12)*($H:$H=BW$11),$O:$O)),$O:$O,0),1)</f>
        <v>2E-3</v>
      </c>
      <c r="BY20" s="19" t="b">
        <f>ABS(BW20-VLOOKUP($V20, $V$2:AB$10, 4, FALSE))&gt;MAX(BX20, VLOOKUP($V20, $V$2:$AB$10, 5, FALSE))</f>
        <v>1</v>
      </c>
      <c r="BZ20" s="19">
        <f t="shared" si="32"/>
        <v>2.1232142180453977</v>
      </c>
      <c r="CA20" s="19" t="b">
        <f t="shared" si="33"/>
        <v>1</v>
      </c>
      <c r="CB20" s="19">
        <f t="shared" si="34"/>
        <v>0.64541412457210712</v>
      </c>
      <c r="CC20" s="19" t="b">
        <f t="shared" si="35"/>
        <v>1</v>
      </c>
      <c r="CD20" s="19">
        <f t="shared" si="36"/>
        <v>2.1232142180453977</v>
      </c>
      <c r="CE20" s="8" t="str" cm="1">
        <f t="array" ref="CE20">INDEX($I:$I,MATCH(MIN(IF(($A:$A=$V20)*($B:$B=$W20)*($J:$J=BW$12)*($H:$H=BW$11),$O:$O)),$O:$O,0),1)</f>
        <v>RULE</v>
      </c>
      <c r="CF20" s="8" cm="1">
        <f t="array" ref="CF20">IF(AVERAGEIFS($O:$O, $A:$A, $V20, $B:$B, $W20, $J:$J, BW$12, $H:$H, BW$11, $O:$O, "&lt;&gt;" &amp; INDEX($O:$O, MATCH(MIN(IF(($A:$A=$V20)*($B:$B=$W20)*($J:$J=BW$12)*($H:$H=BW$11), $O:$O)), $O:$O, 0), 1)) &lt;&gt; 0, ABS((INDEX($O:$O, MATCH(MIN(IF(($A:$A=$V20)*($B:$B=$W20)*($J:$J=BW$12)*($H:$H=BW$11), $O:$O)), $O:$O, 0), 1) - AVERAGEIFS($O:$O, $A:$A, $V20, $B:$B, $W20, $J:$J, BW$12, $H:$H, BW$11, $O:$O, "&lt;&gt;" &amp; INDEX($O:$O, MATCH(MIN(IF(($A:$A=$V20)*($B:$B=$W20)*($J:$J=BW$12)*($H:$H=BW$11), $O:$O)), $O:$O, 0), 1))) / AVERAGEIFS($O:$O, $A:$A, $V20, $B:$B, $W20, $J:$J, BW$12, $H:$H, BW$11, $O:$O, "&lt;&gt;" &amp; INDEX($O:$O, MATCH(MIN(IF(($A:$A=$V20)*($B:$B=$W20)*($J:$J=BW$12)*($H:$H=BW$11), $O:$O)), $O:$O, 0), 1))) * 100, "")</f>
        <v>21.863618867142396</v>
      </c>
      <c r="CG20" s="17" cm="1">
        <f t="array" ref="CG20">INDEX($O:$O,MATCH(MIN(IF(($A:$A=$V20)*($B:$B=$W20)*($J:$J=CG$12)*($H:$H=CG$11),$O:$O)),$O:$O,0),1)</f>
        <v>0.12645899999999999</v>
      </c>
      <c r="CH20" s="8" cm="1">
        <f t="array" ref="CH20">INDEX($P:$P,MATCH(MIN(IF(($A:$A=$V20)*($B:$B=$W20)*($J:$J=CG$12)*($H:$H=CG$11),$O:$O)),$O:$O,0),1)</f>
        <v>0.01</v>
      </c>
      <c r="CI20" s="30" t="b">
        <f>ABS(CG20-VLOOKUP($V20, $V$2:AB$10, 4, FALSE))&gt;MAX(CH20, VLOOKUP($V20, $V$2:$AB$10, 5, FALSE))</f>
        <v>1</v>
      </c>
      <c r="CJ20" s="30">
        <f t="shared" si="37"/>
        <v>2.6583873033947762</v>
      </c>
      <c r="CK20" s="30" t="b">
        <f t="shared" si="38"/>
        <v>1</v>
      </c>
      <c r="CL20" s="30">
        <f t="shared" si="39"/>
        <v>0.8080959046014915</v>
      </c>
      <c r="CM20" s="30" t="b">
        <f t="shared" si="40"/>
        <v>1</v>
      </c>
      <c r="CN20" s="30">
        <f t="shared" si="41"/>
        <v>2.6583873033947762</v>
      </c>
      <c r="CO20" s="8" t="str" cm="1">
        <f t="array" ref="CO20">INDEX($I:$I,MATCH(MIN(IF(($A:$A=$V20)*($B:$B=$W20)*($J:$J=CG$12)*($H:$H=CG$11),$O:$O)),$O:$O,0),1)</f>
        <v>RULE</v>
      </c>
      <c r="CP20" s="8" cm="1">
        <f t="array" ref="CP20">IF(AVERAGEIFS($O:$O, $A:$A, $V20, $B:$B, $W20, $J:$J, CG$12, $H:$H, CG$11, $O:$O, "&lt;&gt;" &amp; INDEX($O:$O, MATCH(MIN(IF(($A:$A=$V20)*($B:$B=$W20)*($J:$J=CG$12)*($H:$H=CG$11), $O:$O)), $O:$O, 0), 1)) &lt;&gt; 0, ABS((INDEX($O:$O, MATCH(MIN(IF(($A:$A=$V20)*($B:$B=$W20)*($J:$J=CG$12)*($H:$H=CG$11), $O:$O)), $O:$O, 0), 1) - AVERAGEIFS($O:$O, $A:$A, $V20, $B:$B, $W20, $J:$J, CG$12, $H:$H, CG$11, $O:$O, "&lt;&gt;" &amp; INDEX($O:$O, MATCH(MIN(IF(($A:$A=$V20)*($B:$B=$W20)*($J:$J=CG$12)*($H:$H=CG$11), $O:$O)), $O:$O, 0), 1))) / AVERAGEIFS($O:$O, $A:$A, $V20, $B:$B, $W20, $J:$J, CG$12, $H:$H, CG$11, $O:$O, "&lt;&gt;" &amp; INDEX($O:$O, MATCH(MIN(IF(($A:$A=$V20)*($B:$B=$W20)*($J:$J=CG$12)*($H:$H=CG$11), $O:$O)), $O:$O, 0), 1))) * 100, "")</f>
        <v>34.544014658612724</v>
      </c>
      <c r="CQ20" s="17" cm="1">
        <f t="array" ref="CQ20">INDEX($O:$O,MATCH(1,($V20=$A:$A)*($W20=$B:$B)*("interpreted"=$C:$C)*("sel"=$E:$E),0))</f>
        <v>0.19925200000000001</v>
      </c>
      <c r="CR20" s="8" cm="1">
        <f t="array" ref="CR20">INDEX($P:$P,MATCH(1,($V20=$A:$A)*($W20=$B:$B)*("interpreted"=$C:$C)*("sel"=$E:$E),0))</f>
        <v>6.0000000000000001E-3</v>
      </c>
      <c r="CS20" s="30" t="b">
        <f>ABS(CQ20-VLOOKUP($V20, $V$2:AL$10, 4, FALSE))&gt;MAX(CR20, VLOOKUP($V20, $V$2:$AB$10, 5, FALSE))</f>
        <v>1</v>
      </c>
      <c r="CT20" s="30">
        <f t="shared" si="42"/>
        <v>1.6871951097103164</v>
      </c>
      <c r="CU20" s="30" t="b">
        <f t="shared" si="43"/>
        <v>1</v>
      </c>
      <c r="CV20" s="30">
        <f t="shared" si="44"/>
        <v>0.51287314556441088</v>
      </c>
      <c r="CW20" s="30" t="b">
        <f t="shared" si="45"/>
        <v>1</v>
      </c>
      <c r="CX20" s="30">
        <f t="shared" si="46"/>
        <v>1.6871951097103164</v>
      </c>
    </row>
    <row r="21" spans="1:102" x14ac:dyDescent="0.2">
      <c r="A21" s="15" t="s">
        <v>14</v>
      </c>
      <c r="B21" s="15" t="s">
        <v>65</v>
      </c>
      <c r="C21" s="15" t="s">
        <v>16</v>
      </c>
      <c r="D21" s="15" t="s">
        <v>17</v>
      </c>
      <c r="E21" s="15" t="s">
        <v>18</v>
      </c>
      <c r="F21" s="15"/>
      <c r="G21" s="15">
        <v>0</v>
      </c>
      <c r="H21" s="15"/>
      <c r="I21" s="15"/>
      <c r="J21" s="15"/>
      <c r="K21" s="15"/>
      <c r="L21" s="15" t="s">
        <v>19</v>
      </c>
      <c r="M21" s="15">
        <v>1</v>
      </c>
      <c r="N21" s="15">
        <v>10</v>
      </c>
      <c r="O21" s="15">
        <v>7.0011679999999998</v>
      </c>
      <c r="P21" s="15">
        <v>4.3999999999999997E-2</v>
      </c>
      <c r="Q21" s="15" t="s">
        <v>20</v>
      </c>
      <c r="R21" s="8" t="str">
        <f t="shared" si="0"/>
        <v>interpreted-unordered---</v>
      </c>
      <c r="V21" s="8" t="s">
        <v>37</v>
      </c>
      <c r="W21" s="14" t="s">
        <v>15</v>
      </c>
      <c r="X21" s="17" cm="1">
        <f t="array" ref="X21">INDEX($O:$O,MATCH(1,($V21=$A:$A)*($W21=$B:$B)*("interpreted"=$C:$C)*("unordered"=$E:$E),0))</f>
        <v>1.5402000000000001E-2</v>
      </c>
      <c r="Y21" s="8" cm="1">
        <f t="array" ref="Y21">INDEX($P:$P,MATCH(1,($V21=$A:$A)*($W21=$B:$B)*("interpreted"=$C:$C)*("unordered"=$E:$E),0))</f>
        <v>2.0000000000000001E-4</v>
      </c>
      <c r="Z21" s="8" t="str" cm="1">
        <f t="array" ref="Z21">INDEX($R:$R, MATCH(MIN(IF(($A:$A=$V21)*($B:$B=$W21), $O:$O)), $O:$O, 0), 1)</f>
        <v>jit-sel-blocking-DELTA-lambda</v>
      </c>
      <c r="AA21" s="17" cm="1">
        <f t="array" ref="AA21">INDEX($O:$O, MATCH(MIN(IF(($A:$A=$V21)*($B:$B=$W21), $O:$O)), $O:$O, 0), 1)</f>
        <v>7.5680000000000001E-3</v>
      </c>
      <c r="AB21" s="8" cm="1">
        <f t="array" ref="AB21">INDEX($P:$P, MATCH(MIN(IF(($A:$A=$V21)*($B:$B=$W21), $O:$O)), $O:$O, 0), 1)</f>
        <v>6.9999999999999994E-5</v>
      </c>
      <c r="AC21" s="19" t="b">
        <f t="shared" si="3"/>
        <v>1</v>
      </c>
      <c r="AD21" s="19">
        <f t="shared" si="4"/>
        <v>13.660280126849894</v>
      </c>
      <c r="AE21" s="19" t="b">
        <f t="shared" si="5"/>
        <v>1</v>
      </c>
      <c r="AF21" s="19">
        <f t="shared" si="6"/>
        <v>2.0351479915433406</v>
      </c>
      <c r="AG21" s="19" t="b">
        <f t="shared" si="7"/>
        <v>1</v>
      </c>
      <c r="AH21" s="19">
        <f t="shared" si="8"/>
        <v>2.0351479915433406</v>
      </c>
      <c r="AI21" s="29" cm="1">
        <f t="array" ref="AI21">INDEX($O:$O,MATCH(MIN(IF(($A:$A=$V21)*($B:$B=$W21)*($J:$J=AI$12)*($H:$H=AI$11),$O:$O)),$O:$O,0),1)</f>
        <v>1.3727E-2</v>
      </c>
      <c r="AJ21" s="14" cm="1">
        <f t="array" ref="AJ21">INDEX($P:$P,MATCH(MIN(IF(($A:$A=$V21)*($B:$B=$W21)*($J:$J=AI$12)*($H:$H=AI$11),$O:$O)),$O:$O,0),1)</f>
        <v>2.9999999999999997E-4</v>
      </c>
      <c r="AK21" s="19" t="b">
        <f t="shared" si="9"/>
        <v>1</v>
      </c>
      <c r="AL21" s="19">
        <f t="shared" si="10"/>
        <v>7.5312158519705692</v>
      </c>
      <c r="AM21" s="19" t="b">
        <f t="shared" si="11"/>
        <v>1</v>
      </c>
      <c r="AN21" s="19">
        <f t="shared" si="12"/>
        <v>1.1220222918336127</v>
      </c>
      <c r="AO21" s="19" t="b">
        <f t="shared" si="13"/>
        <v>1</v>
      </c>
      <c r="AP21" s="19">
        <f t="shared" si="14"/>
        <v>1.1220222918336127</v>
      </c>
      <c r="AQ21" s="14" t="str" cm="1">
        <f t="array" ref="AQ21">INDEX($I:$I,MATCH(MIN(IF(($A:$A=$V21)*($B:$B=$W21)*($J:$J=AI$12)*($H:$H=AI$11),$O:$O)),$O:$O,0),1)</f>
        <v>ALL</v>
      </c>
      <c r="AR21" s="14" cm="1">
        <f t="array" ref="AR21">IF(AVERAGEIFS($O:$O, $A:$A, $V21, $B:$B, $W21, $J:$J, AI$12, $H:$H, AI$11, $O:$O, "&lt;&gt;" &amp; INDEX($O:$O, MATCH(MIN(IF(($A:$A=$V21)*($B:$B=$W21)*($J:$J=AI$12)*($H:$H=AI$11), $O:$O)), $O:$O, 0), 1)) &lt;&gt; 0, ABS((INDEX($O:$O, MATCH(MIN(IF(($A:$A=$V21)*($B:$B=$W21)*($J:$J=AI$12)*($H:$H=AI$11), $O:$O)), $O:$O, 0), 1) - AVERAGEIFS($O:$O, $A:$A, $V21, $B:$B, $W21, $J:$J, AI$12, $H:$H, AI$11, $O:$O, "&lt;&gt;" &amp; INDEX($O:$O, MATCH(MIN(IF(($A:$A=$V21)*($B:$B=$W21)*($J:$J=AI$12)*($H:$H=AI$11), $O:$O)), $O:$O, 0), 1))) / AVERAGEIFS($O:$O, $A:$A, $V21, $B:$B, $W21, $J:$J, AI$12, $H:$H, AI$11, $O:$O, "&lt;&gt;" &amp; INDEX($O:$O, MATCH(MIN(IF(($A:$A=$V21)*($B:$B=$W21)*($J:$J=AI$12)*($H:$H=AI$11), $O:$O)), $O:$O, 0), 1))) * 100, "")</f>
        <v>27.659350214750599</v>
      </c>
      <c r="AS21" s="29" cm="1">
        <f t="array" ref="AS21">INDEX($O:$O,MATCH(MIN(IF(($A:$A=$V21)*($B:$B=$W21)*($J:$J=AS$12)*($H:$H=AS$11),$O:$O)),$O:$O,0),1)</f>
        <v>1.2437E-2</v>
      </c>
      <c r="AT21" s="14" cm="1">
        <f t="array" ref="AT21">INDEX($P:$P,MATCH(MIN(IF(($A:$A=$V21)*($B:$B=$W21)*($J:$J=AS$12)*($H:$H=AS$11),$O:$O)),$O:$O,0),1)</f>
        <v>1E-4</v>
      </c>
      <c r="AU21" s="30" t="b">
        <f>ABS(AS21-VLOOKUP($V21, $V$2:AT$10, 4, FALSE))&gt;MAX(AT21, VLOOKUP($V21, $V$2:$AB$10, 5, FALSE))</f>
        <v>1</v>
      </c>
      <c r="AV21" s="30">
        <f t="shared" si="15"/>
        <v>8.3123743668087151</v>
      </c>
      <c r="AW21" s="30" t="b">
        <f t="shared" si="16"/>
        <v>1</v>
      </c>
      <c r="AX21" s="30">
        <f t="shared" si="17"/>
        <v>1.2384015437806546</v>
      </c>
      <c r="AY21" s="30" t="b">
        <f t="shared" si="18"/>
        <v>1</v>
      </c>
      <c r="AZ21" s="30">
        <f t="shared" si="19"/>
        <v>1.2384015437806546</v>
      </c>
      <c r="BA21" s="8" t="str" cm="1">
        <f t="array" ref="BA21">INDEX($I:$I,MATCH(MIN(IF(($A:$A=$V21)*($B:$B=$W21)*($J:$J=AS$12)*($H:$H=AS$11),$O:$O)),$O:$O,0),1)</f>
        <v>ALL</v>
      </c>
      <c r="BB21" s="8" cm="1">
        <f t="array" ref="BB21">IF(AVERAGEIFS($O:$O, $A:$A, $V21, $B:$B, $W21, $J:$J, AS$12, $H:$H, AS$11, $O:$O, "&lt;&gt;" &amp; INDEX($O:$O, MATCH(MIN(IF(($A:$A=$V21)*($B:$B=$W21)*($J:$J=AS$12)*($H:$H=AS$11), $O:$O)), $O:$O, 0), 1)) &lt;&gt; 0, ABS((INDEX($O:$O, MATCH(MIN(IF(($A:$A=$V21)*($B:$B=$W21)*($J:$J=AS$12)*($H:$H=AS$11), $O:$O)), $O:$O, 0), 1) - AVERAGEIFS($O:$O, $A:$A, $V21, $B:$B, $W21, $J:$J, AS$12, $H:$H, AS$11, $O:$O, "&lt;&gt;" &amp; INDEX($O:$O, MATCH(MIN(IF(($A:$A=$V21)*($B:$B=$W21)*($J:$J=AS$12)*($H:$H=AS$11), $O:$O)), $O:$O, 0), 1))) / AVERAGEIFS($O:$O, $A:$A, $V21, $B:$B, $W21, $J:$J, AS$12, $H:$H, AS$11, $O:$O, "&lt;&gt;" &amp; INDEX($O:$O, MATCH(MIN(IF(($A:$A=$V21)*($B:$B=$W21)*($J:$J=AS$12)*($H:$H=AS$11), $O:$O)), $O:$O, 0), 1))) * 100, "")</f>
        <v>27.731776053923703</v>
      </c>
      <c r="BC21" s="17" cm="1">
        <f t="array" ref="BC21">INDEX($O:$O,MATCH(MIN(IF(($A:$A=$V21)*($B:$B=$W21)*($J:$J=BC$12)*($H:$H=BC$11),$O:$O)),$O:$O,0),1)</f>
        <v>7.5680000000000001E-3</v>
      </c>
      <c r="BD21" s="8" cm="1">
        <f t="array" ref="BD21">INDEX($P:$P,MATCH(MIN(IF(($A:$A=$V21)*($B:$B=$W21)*($J:$J=BC$12)*($H:$H=BC$11),$O:$O)),$O:$O,0),1)</f>
        <v>6.9999999999999994E-5</v>
      </c>
      <c r="BE21" s="30" t="b">
        <f t="shared" si="20"/>
        <v>1</v>
      </c>
      <c r="BF21" s="30">
        <f t="shared" si="21"/>
        <v>13.660280126849894</v>
      </c>
      <c r="BG21" s="30" t="b">
        <f t="shared" si="22"/>
        <v>1</v>
      </c>
      <c r="BH21" s="30">
        <f t="shared" si="23"/>
        <v>2.0351479915433406</v>
      </c>
      <c r="BI21" s="30" t="b">
        <f t="shared" si="24"/>
        <v>1</v>
      </c>
      <c r="BJ21" s="30">
        <f t="shared" si="25"/>
        <v>2.0351479915433406</v>
      </c>
      <c r="BK21" s="8" t="str" cm="1">
        <f t="array" ref="BK21">INDEX($I:$I,MATCH(MIN(IF(($A:$A=$V21)*($B:$B=$W21)*($J:$J=BC$12)*($H:$H=BC$11),$O:$O)),$O:$O,0),1)</f>
        <v>DELTA</v>
      </c>
      <c r="BL21" s="8" cm="1">
        <f t="array" ref="BL21">IF(AVERAGEIFS($O:$O, $A:$A, $V21, $B:$B, $W21, $J:$J, BC$12, $H:$H, BC$11, $O:$O, "&lt;&gt;" &amp; INDEX($O:$O, MATCH(MIN(IF(($A:$A=$V21)*($B:$B=$W21)*($J:$J=BC$12)*($H:$H=BC$11), $O:$O)), $O:$O, 0), 1)) &lt;&gt; 0, ABS((INDEX($O:$O, MATCH(MIN(IF(($A:$A=$V21)*($B:$B=$W21)*($J:$J=BC$12)*($H:$H=BC$11), $O:$O)), $O:$O, 0), 1) - AVERAGEIFS($O:$O, $A:$A, $V21, $B:$B, $W21, $J:$J, BC$12, $H:$H, BC$11, $O:$O, "&lt;&gt;" &amp; INDEX($O:$O, MATCH(MIN(IF(($A:$A=$V21)*($B:$B=$W21)*($J:$J=BC$12)*($H:$H=BC$11), $O:$O)), $O:$O, 0), 1))) / AVERAGEIFS($O:$O, $A:$A, $V21, $B:$B, $W21, $J:$J, BC$12, $H:$H, BC$11, $O:$O, "&lt;&gt;" &amp; INDEX($O:$O, MATCH(MIN(IF(($A:$A=$V21)*($B:$B=$W21)*($J:$J=BC$12)*($H:$H=BC$11), $O:$O)), $O:$O, 0), 1))) * 100, "")</f>
        <v>44.79740326051278</v>
      </c>
      <c r="BM21" s="17" cm="1">
        <f t="array" ref="BM21">INDEX($O:$O,MATCH(MIN(IF(($A:$A=$V21)*($B:$B=$W21)*($J:$J=BM$12)*($H:$H=BM$11),$O:$O)),$O:$O,0),1)</f>
        <v>1.4441000000000001E-2</v>
      </c>
      <c r="BN21" s="8" cm="1">
        <f t="array" ref="BN21">INDEX($P:$P,MATCH(MIN(IF(($A:$A=$V21)*($B:$B=$W21)*($J:$J=BM$12)*($H:$H=BM$11),$O:$O)),$O:$O,0),1)</f>
        <v>2.9999999999999997E-4</v>
      </c>
      <c r="BO21" s="30" t="b">
        <f t="shared" si="26"/>
        <v>1</v>
      </c>
      <c r="BP21" s="30">
        <f t="shared" si="27"/>
        <v>7.1588532650093484</v>
      </c>
      <c r="BQ21" s="30" t="b">
        <f t="shared" si="28"/>
        <v>1</v>
      </c>
      <c r="BR21" s="30">
        <f t="shared" si="29"/>
        <v>1.0665466380444568</v>
      </c>
      <c r="BS21" s="30" t="b">
        <f t="shared" si="30"/>
        <v>1</v>
      </c>
      <c r="BT21" s="8">
        <f t="shared" si="31"/>
        <v>1.0665466380444568</v>
      </c>
      <c r="BU21" s="8" t="str" cm="1">
        <f t="array" ref="BU21">INDEX($I:$I,MATCH(MIN(IF(($A:$A=$V21)*($B:$B=$W21)*($J:$J=BM$12)*($H:$H=BM$11),$O:$O)),$O:$O,0),1)</f>
        <v>ALL</v>
      </c>
      <c r="BV21" s="8" cm="1">
        <f t="array" ref="BV21">IF(AVERAGEIFS($O:$O, $A:$A, $V21, $B:$B, $W21, $J:$J, BM$12, $H:$H, BM$11, $O:$O, "&lt;&gt;" &amp; INDEX($O:$O, MATCH(MIN(IF(($A:$A=$V21)*($B:$B=$W21)*($J:$J=BM$12)*($H:$H=BM$11), $O:$O)), $O:$O, 0), 1)) &lt;&gt; 0, ABS((INDEX($O:$O, MATCH(MIN(IF(($A:$A=$V21)*($B:$B=$W21)*($J:$J=BM$12)*($H:$H=BM$11), $O:$O)), $O:$O, 0), 1) - AVERAGEIFS($O:$O, $A:$A, $V21, $B:$B, $W21, $J:$J, BM$12, $H:$H, BM$11, $O:$O, "&lt;&gt;" &amp; INDEX($O:$O, MATCH(MIN(IF(($A:$A=$V21)*($B:$B=$W21)*($J:$J=BM$12)*($H:$H=BM$11), $O:$O)), $O:$O, 0), 1))) / AVERAGEIFS($O:$O, $A:$A, $V21, $B:$B, $W21, $J:$J, BM$12, $H:$H, BM$11, $O:$O, "&lt;&gt;" &amp; INDEX($O:$O, MATCH(MIN(IF(($A:$A=$V21)*($B:$B=$W21)*($J:$J=BM$12)*($H:$H=BM$11), $O:$O)), $O:$O, 0), 1))) * 100, "")</f>
        <v>3.9699428115440791</v>
      </c>
      <c r="BW21" s="17" cm="1">
        <f t="array" ref="BW21">INDEX($O:$O,MATCH(MIN(IF(($A:$A=$V21)*($B:$B=$W21)*($J:$J=BW$12)*($H:$H=BW$11),$O:$O)),$O:$O,0),1)</f>
        <v>1.3272000000000001E-2</v>
      </c>
      <c r="BX21" s="8" cm="1">
        <f t="array" ref="BX21">INDEX($P:$P,MATCH(MIN(IF(($A:$A=$V21)*($B:$B=$W21)*($J:$J=BW$12)*($H:$H=BW$11),$O:$O)),$O:$O,0),1)</f>
        <v>5.9999999999999995E-4</v>
      </c>
      <c r="BY21" s="19" t="b">
        <f>ABS(BW21-VLOOKUP($V21, $V$2:AB$10, 4, FALSE))&gt;MAX(BX21, VLOOKUP($V21, $V$2:$AB$10, 5, FALSE))</f>
        <v>1</v>
      </c>
      <c r="BZ21" s="19">
        <f t="shared" si="32"/>
        <v>7.7894062688366486</v>
      </c>
      <c r="CA21" s="19" t="b">
        <f t="shared" si="33"/>
        <v>1</v>
      </c>
      <c r="CB21" s="19">
        <f t="shared" si="34"/>
        <v>1.160488245931284</v>
      </c>
      <c r="CC21" s="19" t="b">
        <f t="shared" si="35"/>
        <v>1</v>
      </c>
      <c r="CD21" s="19">
        <f t="shared" si="36"/>
        <v>1.160488245931284</v>
      </c>
      <c r="CE21" s="8" t="str" cm="1">
        <f t="array" ref="CE21">INDEX($I:$I,MATCH(MIN(IF(($A:$A=$V21)*($B:$B=$W21)*($J:$J=BW$12)*($H:$H=BW$11),$O:$O)),$O:$O,0),1)</f>
        <v>ALL</v>
      </c>
      <c r="CF21" s="8" cm="1">
        <f t="array" ref="CF21">IF(AVERAGEIFS($O:$O, $A:$A, $V21, $B:$B, $W21, $J:$J, BW$12, $H:$H, BW$11, $O:$O, "&lt;&gt;" &amp; INDEX($O:$O, MATCH(MIN(IF(($A:$A=$V21)*($B:$B=$W21)*($J:$J=BW$12)*($H:$H=BW$11), $O:$O)), $O:$O, 0), 1)) &lt;&gt; 0, ABS((INDEX($O:$O, MATCH(MIN(IF(($A:$A=$V21)*($B:$B=$W21)*($J:$J=BW$12)*($H:$H=BW$11), $O:$O)), $O:$O, 0), 1) - AVERAGEIFS($O:$O, $A:$A, $V21, $B:$B, $W21, $J:$J, BW$12, $H:$H, BW$11, $O:$O, "&lt;&gt;" &amp; INDEX($O:$O, MATCH(MIN(IF(($A:$A=$V21)*($B:$B=$W21)*($J:$J=BW$12)*($H:$H=BW$11), $O:$O)), $O:$O, 0), 1))) / AVERAGEIFS($O:$O, $A:$A, $V21, $B:$B, $W21, $J:$J, BW$12, $H:$H, BW$11, $O:$O, "&lt;&gt;" &amp; INDEX($O:$O, MATCH(MIN(IF(($A:$A=$V21)*($B:$B=$W21)*($J:$J=BW$12)*($H:$H=BW$11), $O:$O)), $O:$O, 0), 1))) * 100, "")</f>
        <v>28.313708544884946</v>
      </c>
      <c r="CG21" s="17" cm="1">
        <f t="array" ref="CG21">INDEX($O:$O,MATCH(MIN(IF(($A:$A=$V21)*($B:$B=$W21)*($J:$J=CG$12)*($H:$H=CG$11),$O:$O)),$O:$O,0),1)</f>
        <v>1.3752E-2</v>
      </c>
      <c r="CH21" s="8" cm="1">
        <f t="array" ref="CH21">INDEX($P:$P,MATCH(MIN(IF(($A:$A=$V21)*($B:$B=$W21)*($J:$J=CG$12)*($H:$H=CG$11),$O:$O)),$O:$O,0),1)</f>
        <v>2.0000000000000001E-4</v>
      </c>
      <c r="CI21" s="30" t="b">
        <f>ABS(CG21-VLOOKUP($V21, $V$2:AB$10, 4, FALSE))&gt;MAX(CH21, VLOOKUP($V21, $V$2:$AB$10, 5, FALSE))</f>
        <v>1</v>
      </c>
      <c r="CJ21" s="30">
        <f t="shared" si="37"/>
        <v>7.5175247236765559</v>
      </c>
      <c r="CK21" s="30" t="b">
        <f t="shared" si="38"/>
        <v>1</v>
      </c>
      <c r="CL21" s="30">
        <f t="shared" si="39"/>
        <v>1.1199825479930192</v>
      </c>
      <c r="CM21" s="30" t="b">
        <f t="shared" si="40"/>
        <v>1</v>
      </c>
      <c r="CN21" s="30">
        <f t="shared" si="41"/>
        <v>1.1199825479930192</v>
      </c>
      <c r="CO21" s="8" t="str" cm="1">
        <f t="array" ref="CO21">INDEX($I:$I,MATCH(MIN(IF(($A:$A=$V21)*($B:$B=$W21)*($J:$J=CG$12)*($H:$H=CG$11),$O:$O)),$O:$O,0),1)</f>
        <v>ALL</v>
      </c>
      <c r="CP21" s="8" cm="1">
        <f t="array" ref="CP21">IF(AVERAGEIFS($O:$O, $A:$A, $V21, $B:$B, $W21, $J:$J, CG$12, $H:$H, CG$11, $O:$O, "&lt;&gt;" &amp; INDEX($O:$O, MATCH(MIN(IF(($A:$A=$V21)*($B:$B=$W21)*($J:$J=CG$12)*($H:$H=CG$11), $O:$O)), $O:$O, 0), 1)) &lt;&gt; 0, ABS((INDEX($O:$O, MATCH(MIN(IF(($A:$A=$V21)*($B:$B=$W21)*($J:$J=CG$12)*($H:$H=CG$11), $O:$O)), $O:$O, 0), 1) - AVERAGEIFS($O:$O, $A:$A, $V21, $B:$B, $W21, $J:$J, CG$12, $H:$H, CG$11, $O:$O, "&lt;&gt;" &amp; INDEX($O:$O, MATCH(MIN(IF(($A:$A=$V21)*($B:$B=$W21)*($J:$J=CG$12)*($H:$H=CG$11), $O:$O)), $O:$O, 0), 1))) / AVERAGEIFS($O:$O, $A:$A, $V21, $B:$B, $W21, $J:$J, CG$12, $H:$H, CG$11, $O:$O, "&lt;&gt;" &amp; INDEX($O:$O, MATCH(MIN(IF(($A:$A=$V21)*($B:$B=$W21)*($J:$J=CG$12)*($H:$H=CG$11), $O:$O)), $O:$O, 0), 1))) * 100, "")</f>
        <v>14.429718125816679</v>
      </c>
      <c r="CQ21" s="17" cm="1">
        <f t="array" ref="CQ21">INDEX($O:$O,MATCH(1,($V21=$A:$A)*($W21=$B:$B)*("interpreted"=$C:$C)*("sel"=$E:$E),0))</f>
        <v>1.3408E-2</v>
      </c>
      <c r="CR21" s="8" cm="1">
        <f t="array" ref="CR21">INDEX($P:$P,MATCH(1,($V21=$A:$A)*($W21=$B:$B)*("interpreted"=$C:$C)*("sel"=$E:$E),0))</f>
        <v>1E-4</v>
      </c>
      <c r="CS21" s="30" t="b">
        <f>ABS(CQ21-VLOOKUP($V21, $V$2:AL$10, 4, FALSE))&gt;MAX(CR21, VLOOKUP($V21, $V$2:$AB$10, 5, FALSE))</f>
        <v>1</v>
      </c>
      <c r="CT21" s="30">
        <f t="shared" si="42"/>
        <v>7.7103967780429592</v>
      </c>
      <c r="CU21" s="30" t="b">
        <f t="shared" si="43"/>
        <v>1</v>
      </c>
      <c r="CV21" s="30">
        <f t="shared" si="44"/>
        <v>1.1487171837708832</v>
      </c>
      <c r="CW21" s="30" t="b">
        <f t="shared" si="45"/>
        <v>1</v>
      </c>
      <c r="CX21" s="30">
        <f t="shared" si="46"/>
        <v>1.1487171837708832</v>
      </c>
    </row>
    <row r="22" spans="1:102" x14ac:dyDescent="0.2">
      <c r="A22" s="15" t="s">
        <v>14</v>
      </c>
      <c r="B22" s="15" t="s">
        <v>65</v>
      </c>
      <c r="C22" s="15" t="s">
        <v>27</v>
      </c>
      <c r="D22" s="15" t="s">
        <v>17</v>
      </c>
      <c r="E22" s="15" t="s">
        <v>28</v>
      </c>
      <c r="F22" s="15"/>
      <c r="G22" s="15">
        <v>0</v>
      </c>
      <c r="H22" s="15" t="s">
        <v>29</v>
      </c>
      <c r="I22" s="15" t="s">
        <v>35</v>
      </c>
      <c r="J22" s="15" t="s">
        <v>30</v>
      </c>
      <c r="K22" s="15"/>
      <c r="L22" s="15" t="s">
        <v>19</v>
      </c>
      <c r="M22" s="15">
        <v>1</v>
      </c>
      <c r="N22" s="15">
        <v>10</v>
      </c>
      <c r="O22" s="15">
        <v>0.54322000000000004</v>
      </c>
      <c r="P22" s="15">
        <v>1.9E-2</v>
      </c>
      <c r="Q22" s="15" t="s">
        <v>20</v>
      </c>
      <c r="R22" s="8" t="str">
        <f t="shared" si="0"/>
        <v>jit-sel-async-ALL-bytecode</v>
      </c>
      <c r="V22" s="8" t="s">
        <v>37</v>
      </c>
      <c r="W22" s="14" t="s">
        <v>65</v>
      </c>
      <c r="X22" s="17" cm="1">
        <f t="array" ref="X22">INDEX($O:$O,MATCH(1,($V22=$A:$A)*($W22=$B:$B)*("interpreted"=$C:$C)*("unordered"=$E:$E),0))</f>
        <v>0.103381</v>
      </c>
      <c r="Y22" s="8" cm="1">
        <f t="array" ref="Y22">INDEX($P:$P,MATCH(1,($V22=$A:$A)*($W22=$B:$B)*("interpreted"=$C:$C)*("unordered"=$E:$E),0))</f>
        <v>5.0000000000000001E-3</v>
      </c>
      <c r="Z22" s="8" t="str" cm="1">
        <f t="array" ref="Z22">INDEX($R:$R, MATCH(MIN(IF(($A:$A=$V22)*($B:$B=$W22), $O:$O)), $O:$O, 0), 1)</f>
        <v>jit-sel-blocking-DELTA-lambda</v>
      </c>
      <c r="AA22" s="17" cm="1">
        <f t="array" ref="AA22">INDEX($O:$O, MATCH(MIN(IF(($A:$A=$V22)*($B:$B=$W22), $O:$O)), $O:$O, 0), 1)</f>
        <v>7.6819999999999996E-3</v>
      </c>
      <c r="AB22" s="8" cm="1">
        <f t="array" ref="AB22">INDEX($P:$P, MATCH(MIN(IF(($A:$A=$V22)*($B:$B=$W22), $O:$O)), $O:$O, 0), 1)</f>
        <v>2.0000000000000001E-4</v>
      </c>
      <c r="AC22" s="19" t="b">
        <f t="shared" si="3"/>
        <v>1</v>
      </c>
      <c r="AD22" s="19">
        <f t="shared" si="4"/>
        <v>13.457563134600365</v>
      </c>
      <c r="AE22" s="19" t="b">
        <f t="shared" si="5"/>
        <v>1</v>
      </c>
      <c r="AF22" s="19">
        <f t="shared" si="6"/>
        <v>2.0049466284821662</v>
      </c>
      <c r="AG22" s="19" t="b">
        <f t="shared" si="7"/>
        <v>1</v>
      </c>
      <c r="AH22" s="19">
        <f t="shared" si="8"/>
        <v>13.457563134600365</v>
      </c>
      <c r="AI22" s="29" cm="1">
        <f t="array" ref="AI22">INDEX($O:$O,MATCH(MIN(IF(($A:$A=$V22)*($B:$B=$W22)*($J:$J=AI$12)*($H:$H=AI$11),$O:$O)),$O:$O,0),1)</f>
        <v>1.4456E-2</v>
      </c>
      <c r="AJ22" s="14" cm="1">
        <f t="array" ref="AJ22">INDEX($P:$P,MATCH(MIN(IF(($A:$A=$V22)*($B:$B=$W22)*($J:$J=AI$12)*($H:$H=AI$11),$O:$O)),$O:$O,0),1)</f>
        <v>1E-4</v>
      </c>
      <c r="AK22" s="19" t="b">
        <f t="shared" si="9"/>
        <v>1</v>
      </c>
      <c r="AL22" s="19">
        <f t="shared" si="10"/>
        <v>7.1514250138350857</v>
      </c>
      <c r="AM22" s="19" t="b">
        <f t="shared" si="11"/>
        <v>1</v>
      </c>
      <c r="AN22" s="19">
        <f t="shared" si="12"/>
        <v>1.0654399557277257</v>
      </c>
      <c r="AO22" s="19" t="b">
        <f t="shared" si="13"/>
        <v>1</v>
      </c>
      <c r="AP22" s="19">
        <f t="shared" si="14"/>
        <v>7.1514250138350857</v>
      </c>
      <c r="AQ22" s="14" t="str" cm="1">
        <f t="array" ref="AQ22">INDEX($I:$I,MATCH(MIN(IF(($A:$A=$V22)*($B:$B=$W22)*($J:$J=AI$12)*($H:$H=AI$11),$O:$O)),$O:$O,0),1)</f>
        <v>ALL</v>
      </c>
      <c r="AR22" s="14" cm="1">
        <f t="array" ref="AR22">IF(AVERAGEIFS($O:$O, $A:$A, $V22, $B:$B, $W22, $J:$J, AI$12, $H:$H, AI$11, $O:$O, "&lt;&gt;" &amp; INDEX($O:$O, MATCH(MIN(IF(($A:$A=$V22)*($B:$B=$W22)*($J:$J=AI$12)*($H:$H=AI$11), $O:$O)), $O:$O, 0), 1)) &lt;&gt; 0, ABS((INDEX($O:$O, MATCH(MIN(IF(($A:$A=$V22)*($B:$B=$W22)*($J:$J=AI$12)*($H:$H=AI$11), $O:$O)), $O:$O, 0), 1) - AVERAGEIFS($O:$O, $A:$A, $V22, $B:$B, $W22, $J:$J, AI$12, $H:$H, AI$11, $O:$O, "&lt;&gt;" &amp; INDEX($O:$O, MATCH(MIN(IF(($A:$A=$V22)*($B:$B=$W22)*($J:$J=AI$12)*($H:$H=AI$11), $O:$O)), $O:$O, 0), 1))) / AVERAGEIFS($O:$O, $A:$A, $V22, $B:$B, $W22, $J:$J, AI$12, $H:$H, AI$11, $O:$O, "&lt;&gt;" &amp; INDEX($O:$O, MATCH(MIN(IF(($A:$A=$V22)*($B:$B=$W22)*($J:$J=AI$12)*($H:$H=AI$11), $O:$O)), $O:$O, 0), 1))) * 100, "")</f>
        <v>26.305057096247964</v>
      </c>
      <c r="AS22" s="29" cm="1">
        <f t="array" ref="AS22">INDEX($O:$O,MATCH(MIN(IF(($A:$A=$V22)*($B:$B=$W22)*($J:$J=AS$12)*($H:$H=AS$11),$O:$O)),$O:$O,0),1)</f>
        <v>1.2749E-2</v>
      </c>
      <c r="AT22" s="14" cm="1">
        <f t="array" ref="AT22">INDEX($P:$P,MATCH(MIN(IF(($A:$A=$V22)*($B:$B=$W22)*($J:$J=AS$12)*($H:$H=AS$11),$O:$O)),$O:$O,0),1)</f>
        <v>9.0000000000000006E-5</v>
      </c>
      <c r="AU22" s="30" t="b">
        <f>ABS(AS22-VLOOKUP($V22, $V$2:AT$10, 4, FALSE))&gt;MAX(AT22, VLOOKUP($V22, $V$2:$AB$10, 5, FALSE))</f>
        <v>1</v>
      </c>
      <c r="AV22" s="30">
        <f t="shared" si="15"/>
        <v>8.1089497215467876</v>
      </c>
      <c r="AW22" s="30" t="b">
        <f t="shared" si="16"/>
        <v>1</v>
      </c>
      <c r="AX22" s="30">
        <f t="shared" si="17"/>
        <v>1.2080947525296102</v>
      </c>
      <c r="AY22" s="30" t="b">
        <f t="shared" si="18"/>
        <v>1</v>
      </c>
      <c r="AZ22" s="30">
        <f t="shared" si="19"/>
        <v>8.1089497215467876</v>
      </c>
      <c r="BA22" s="8" t="str" cm="1">
        <f t="array" ref="BA22">INDEX($I:$I,MATCH(MIN(IF(($A:$A=$V22)*($B:$B=$W22)*($J:$J=AS$12)*($H:$H=AS$11),$O:$O)),$O:$O,0),1)</f>
        <v>ALL</v>
      </c>
      <c r="BB22" s="8" cm="1">
        <f t="array" ref="BB22">IF(AVERAGEIFS($O:$O, $A:$A, $V22, $B:$B, $W22, $J:$J, AS$12, $H:$H, AS$11, $O:$O, "&lt;&gt;" &amp; INDEX($O:$O, MATCH(MIN(IF(($A:$A=$V22)*($B:$B=$W22)*($J:$J=AS$12)*($H:$H=AS$11), $O:$O)), $O:$O, 0), 1)) &lt;&gt; 0, ABS((INDEX($O:$O, MATCH(MIN(IF(($A:$A=$V22)*($B:$B=$W22)*($J:$J=AS$12)*($H:$H=AS$11), $O:$O)), $O:$O, 0), 1) - AVERAGEIFS($O:$O, $A:$A, $V22, $B:$B, $W22, $J:$J, AS$12, $H:$H, AS$11, $O:$O, "&lt;&gt;" &amp; INDEX($O:$O, MATCH(MIN(IF(($A:$A=$V22)*($B:$B=$W22)*($J:$J=AS$12)*($H:$H=AS$11), $O:$O)), $O:$O, 0), 1))) / AVERAGEIFS($O:$O, $A:$A, $V22, $B:$B, $W22, $J:$J, AS$12, $H:$H, AS$11, $O:$O, "&lt;&gt;" &amp; INDEX($O:$O, MATCH(MIN(IF(($A:$A=$V22)*($B:$B=$W22)*($J:$J=AS$12)*($H:$H=AS$11), $O:$O)), $O:$O, 0), 1))) * 100, "")</f>
        <v>25.757046354530633</v>
      </c>
      <c r="BC22" s="17" cm="1">
        <f t="array" ref="BC22">INDEX($O:$O,MATCH(MIN(IF(($A:$A=$V22)*($B:$B=$W22)*($J:$J=BC$12)*($H:$H=BC$11),$O:$O)),$O:$O,0),1)</f>
        <v>7.6819999999999996E-3</v>
      </c>
      <c r="BD22" s="8" cm="1">
        <f t="array" ref="BD22">INDEX($P:$P,MATCH(MIN(IF(($A:$A=$V22)*($B:$B=$W22)*($J:$J=BC$12)*($H:$H=BC$11),$O:$O)),$O:$O,0),1)</f>
        <v>2.0000000000000001E-4</v>
      </c>
      <c r="BE22" s="30" t="b">
        <f t="shared" si="20"/>
        <v>1</v>
      </c>
      <c r="BF22" s="30">
        <f t="shared" si="21"/>
        <v>13.457563134600365</v>
      </c>
      <c r="BG22" s="30" t="b">
        <f t="shared" si="22"/>
        <v>1</v>
      </c>
      <c r="BH22" s="30">
        <f t="shared" si="23"/>
        <v>2.0049466284821662</v>
      </c>
      <c r="BI22" s="30" t="b">
        <f t="shared" si="24"/>
        <v>1</v>
      </c>
      <c r="BJ22" s="30">
        <f t="shared" si="25"/>
        <v>13.457563134600365</v>
      </c>
      <c r="BK22" s="8" t="str" cm="1">
        <f t="array" ref="BK22">INDEX($I:$I,MATCH(MIN(IF(($A:$A=$V22)*($B:$B=$W22)*($J:$J=BC$12)*($H:$H=BC$11),$O:$O)),$O:$O,0),1)</f>
        <v>DELTA</v>
      </c>
      <c r="BL22" s="8" cm="1">
        <f t="array" ref="BL22">IF(AVERAGEIFS($O:$O, $A:$A, $V22, $B:$B, $W22, $J:$J, BC$12, $H:$H, BC$11, $O:$O, "&lt;&gt;" &amp; INDEX($O:$O, MATCH(MIN(IF(($A:$A=$V22)*($B:$B=$W22)*($J:$J=BC$12)*($H:$H=BC$11), $O:$O)), $O:$O, 0), 1)) &lt;&gt; 0, ABS((INDEX($O:$O, MATCH(MIN(IF(($A:$A=$V22)*($B:$B=$W22)*($J:$J=BC$12)*($H:$H=BC$11), $O:$O)), $O:$O, 0), 1) - AVERAGEIFS($O:$O, $A:$A, $V22, $B:$B, $W22, $J:$J, BC$12, $H:$H, BC$11, $O:$O, "&lt;&gt;" &amp; INDEX($O:$O, MATCH(MIN(IF(($A:$A=$V22)*($B:$B=$W22)*($J:$J=BC$12)*($H:$H=BC$11), $O:$O)), $O:$O, 0), 1))) / AVERAGEIFS($O:$O, $A:$A, $V22, $B:$B, $W22, $J:$J, BC$12, $H:$H, BC$11, $O:$O, "&lt;&gt;" &amp; INDEX($O:$O, MATCH(MIN(IF(($A:$A=$V22)*($B:$B=$W22)*($J:$J=BC$12)*($H:$H=BC$11), $O:$O)), $O:$O, 0), 1))) * 100, "")</f>
        <v>42.340313743150951</v>
      </c>
      <c r="BM22" s="17" cm="1">
        <f t="array" ref="BM22">INDEX($O:$O,MATCH(MIN(IF(($A:$A=$V22)*($B:$B=$W22)*($J:$J=BM$12)*($H:$H=BM$11),$O:$O)),$O:$O,0),1)</f>
        <v>1.2503E-2</v>
      </c>
      <c r="BN22" s="8" cm="1">
        <f t="array" ref="BN22">INDEX($P:$P,MATCH(MIN(IF(($A:$A=$V22)*($B:$B=$W22)*($J:$J=BM$12)*($H:$H=BM$11),$O:$O)),$O:$O,0),1)</f>
        <v>1E-4</v>
      </c>
      <c r="BO22" s="30" t="b">
        <f t="shared" si="26"/>
        <v>1</v>
      </c>
      <c r="BP22" s="30">
        <f t="shared" si="27"/>
        <v>8.268495561065345</v>
      </c>
      <c r="BQ22" s="30" t="b">
        <f t="shared" si="28"/>
        <v>1</v>
      </c>
      <c r="BR22" s="30">
        <f t="shared" si="29"/>
        <v>1.2318643525553867</v>
      </c>
      <c r="BS22" s="30" t="b">
        <f t="shared" si="30"/>
        <v>1</v>
      </c>
      <c r="BT22" s="8">
        <f t="shared" si="31"/>
        <v>8.268495561065345</v>
      </c>
      <c r="BU22" s="8" t="str" cm="1">
        <f t="array" ref="BU22">INDEX($I:$I,MATCH(MIN(IF(($A:$A=$V22)*($B:$B=$W22)*($J:$J=BM$12)*($H:$H=BM$11),$O:$O)),$O:$O,0),1)</f>
        <v>ALL</v>
      </c>
      <c r="BV22" s="8" cm="1">
        <f t="array" ref="BV22">IF(AVERAGEIFS($O:$O, $A:$A, $V22, $B:$B, $W22, $J:$J, BM$12, $H:$H, BM$11, $O:$O, "&lt;&gt;" &amp; INDEX($O:$O, MATCH(MIN(IF(($A:$A=$V22)*($B:$B=$W22)*($J:$J=BM$12)*($H:$H=BM$11), $O:$O)), $O:$O, 0), 1)) &lt;&gt; 0, ABS((INDEX($O:$O, MATCH(MIN(IF(($A:$A=$V22)*($B:$B=$W22)*($J:$J=BM$12)*($H:$H=BM$11), $O:$O)), $O:$O, 0), 1) - AVERAGEIFS($O:$O, $A:$A, $V22, $B:$B, $W22, $J:$J, BM$12, $H:$H, BM$11, $O:$O, "&lt;&gt;" &amp; INDEX($O:$O, MATCH(MIN(IF(($A:$A=$V22)*($B:$B=$W22)*($J:$J=BM$12)*($H:$H=BM$11), $O:$O)), $O:$O, 0), 1))) / AVERAGEIFS($O:$O, $A:$A, $V22, $B:$B, $W22, $J:$J, BM$12, $H:$H, BM$11, $O:$O, "&lt;&gt;" &amp; INDEX($O:$O, MATCH(MIN(IF(($A:$A=$V22)*($B:$B=$W22)*($J:$J=BM$12)*($H:$H=BM$11), $O:$O)), $O:$O, 0), 1))) * 100, "")</f>
        <v>21.861133679145059</v>
      </c>
      <c r="BW22" s="17" cm="1">
        <f t="array" ref="BW22">INDEX($O:$O,MATCH(MIN(IF(($A:$A=$V22)*($B:$B=$W22)*($J:$J=BW$12)*($H:$H=BW$11),$O:$O)),$O:$O,0),1)</f>
        <v>1.34E-2</v>
      </c>
      <c r="BX22" s="8" cm="1">
        <f t="array" ref="BX22">INDEX($P:$P,MATCH(MIN(IF(($A:$A=$V22)*($B:$B=$W22)*($J:$J=BW$12)*($H:$H=BW$11),$O:$O)),$O:$O,0),1)</f>
        <v>5.9999999999999995E-4</v>
      </c>
      <c r="BY22" s="19" t="b">
        <f>ABS(BW22-VLOOKUP($V22, $V$2:AB$10, 4, FALSE))&gt;MAX(BX22, VLOOKUP($V22, $V$2:$AB$10, 5, FALSE))</f>
        <v>1</v>
      </c>
      <c r="BZ22" s="19">
        <f t="shared" si="32"/>
        <v>7.7149999999999999</v>
      </c>
      <c r="CA22" s="19" t="b">
        <f t="shared" si="33"/>
        <v>1</v>
      </c>
      <c r="CB22" s="19">
        <f t="shared" si="34"/>
        <v>1.1494029850746268</v>
      </c>
      <c r="CC22" s="19" t="b">
        <f t="shared" si="35"/>
        <v>1</v>
      </c>
      <c r="CD22" s="19">
        <f t="shared" si="36"/>
        <v>7.7149999999999999</v>
      </c>
      <c r="CE22" s="8" t="str" cm="1">
        <f t="array" ref="CE22">INDEX($I:$I,MATCH(MIN(IF(($A:$A=$V22)*($B:$B=$W22)*($J:$J=BW$12)*($H:$H=BW$11),$O:$O)),$O:$O,0),1)</f>
        <v>ALL</v>
      </c>
      <c r="CF22" s="8" cm="1">
        <f t="array" ref="CF22">IF(AVERAGEIFS($O:$O, $A:$A, $V22, $B:$B, $W22, $J:$J, BW$12, $H:$H, BW$11, $O:$O, "&lt;&gt;" &amp; INDEX($O:$O, MATCH(MIN(IF(($A:$A=$V22)*($B:$B=$W22)*($J:$J=BW$12)*($H:$H=BW$11), $O:$O)), $O:$O, 0), 1)) &lt;&gt; 0, ABS((INDEX($O:$O, MATCH(MIN(IF(($A:$A=$V22)*($B:$B=$W22)*($J:$J=BW$12)*($H:$H=BW$11), $O:$O)), $O:$O, 0), 1) - AVERAGEIFS($O:$O, $A:$A, $V22, $B:$B, $W22, $J:$J, BW$12, $H:$H, BW$11, $O:$O, "&lt;&gt;" &amp; INDEX($O:$O, MATCH(MIN(IF(($A:$A=$V22)*($B:$B=$W22)*($J:$J=BW$12)*($H:$H=BW$11), $O:$O)), $O:$O, 0), 1))) / AVERAGEIFS($O:$O, $A:$A, $V22, $B:$B, $W22, $J:$J, BW$12, $H:$H, BW$11, $O:$O, "&lt;&gt;" &amp; INDEX($O:$O, MATCH(MIN(IF(($A:$A=$V22)*($B:$B=$W22)*($J:$J=BW$12)*($H:$H=BW$11), $O:$O)), $O:$O, 0), 1))) * 100, "")</f>
        <v>10.58917728698205</v>
      </c>
      <c r="CG22" s="17" cm="1">
        <f t="array" ref="CG22">INDEX($O:$O,MATCH(MIN(IF(($A:$A=$V22)*($B:$B=$W22)*($J:$J=CG$12)*($H:$H=CG$11),$O:$O)),$O:$O,0),1)</f>
        <v>1.4484E-2</v>
      </c>
      <c r="CH22" s="8" cm="1">
        <f t="array" ref="CH22">INDEX($P:$P,MATCH(MIN(IF(($A:$A=$V22)*($B:$B=$W22)*($J:$J=CG$12)*($H:$H=CG$11),$O:$O)),$O:$O,0),1)</f>
        <v>1E-4</v>
      </c>
      <c r="CI22" s="30" t="b">
        <f>ABS(CG22-VLOOKUP($V22, $V$2:AB$10, 4, FALSE))&gt;MAX(CH22, VLOOKUP($V22, $V$2:$AB$10, 5, FALSE))</f>
        <v>1</v>
      </c>
      <c r="CJ22" s="30">
        <f t="shared" si="37"/>
        <v>7.1376001104667219</v>
      </c>
      <c r="CK22" s="30" t="b">
        <f t="shared" si="38"/>
        <v>1</v>
      </c>
      <c r="CL22" s="30">
        <f t="shared" si="39"/>
        <v>1.063380281690141</v>
      </c>
      <c r="CM22" s="30" t="b">
        <f t="shared" si="40"/>
        <v>1</v>
      </c>
      <c r="CN22" s="30">
        <f t="shared" si="41"/>
        <v>7.1376001104667219</v>
      </c>
      <c r="CO22" s="8" t="str" cm="1">
        <f t="array" ref="CO22">INDEX($I:$I,MATCH(MIN(IF(($A:$A=$V22)*($B:$B=$W22)*($J:$J=CG$12)*($H:$H=CG$11),$O:$O)),$O:$O,0),1)</f>
        <v>ALL</v>
      </c>
      <c r="CP22" s="8" cm="1">
        <f t="array" ref="CP22">IF(AVERAGEIFS($O:$O, $A:$A, $V22, $B:$B, $W22, $J:$J, CG$12, $H:$H, CG$11, $O:$O, "&lt;&gt;" &amp; INDEX($O:$O, MATCH(MIN(IF(($A:$A=$V22)*($B:$B=$W22)*($J:$J=CG$12)*($H:$H=CG$11), $O:$O)), $O:$O, 0), 1)) &lt;&gt; 0, ABS((INDEX($O:$O, MATCH(MIN(IF(($A:$A=$V22)*($B:$B=$W22)*($J:$J=CG$12)*($H:$H=CG$11), $O:$O)), $O:$O, 0), 1) - AVERAGEIFS($O:$O, $A:$A, $V22, $B:$B, $W22, $J:$J, CG$12, $H:$H, CG$11, $O:$O, "&lt;&gt;" &amp; INDEX($O:$O, MATCH(MIN(IF(($A:$A=$V22)*($B:$B=$W22)*($J:$J=CG$12)*($H:$H=CG$11), $O:$O)), $O:$O, 0), 1))) / AVERAGEIFS($O:$O, $A:$A, $V22, $B:$B, $W22, $J:$J, CG$12, $H:$H, CG$11, $O:$O, "&lt;&gt;" &amp; INDEX($O:$O, MATCH(MIN(IF(($A:$A=$V22)*($B:$B=$W22)*($J:$J=CG$12)*($H:$H=CG$11), $O:$O)), $O:$O, 0), 1))) * 100, "")</f>
        <v>7.2549145162323123</v>
      </c>
      <c r="CQ22" s="17" cm="1">
        <f t="array" ref="CQ22">INDEX($O:$O,MATCH(1,($V22=$A:$A)*($W22=$B:$B)*("interpreted"=$C:$C)*("sel"=$E:$E),0))</f>
        <v>1.3416000000000001E-2</v>
      </c>
      <c r="CR22" s="8" cm="1">
        <f t="array" ref="CR22">INDEX($P:$P,MATCH(1,($V22=$A:$A)*($W22=$B:$B)*("interpreted"=$C:$C)*("sel"=$E:$E),0))</f>
        <v>2.0000000000000001E-4</v>
      </c>
      <c r="CS22" s="30" t="b">
        <f>ABS(CQ22-VLOOKUP($V22, $V$2:AL$10, 4, FALSE))&gt;MAX(CR22, VLOOKUP($V22, $V$2:$AB$10, 5, FALSE))</f>
        <v>1</v>
      </c>
      <c r="CT22" s="30">
        <f t="shared" si="42"/>
        <v>7.7057990459153247</v>
      </c>
      <c r="CU22" s="30" t="b">
        <f t="shared" si="43"/>
        <v>1</v>
      </c>
      <c r="CV22" s="30">
        <f t="shared" si="44"/>
        <v>1.1480322003577816</v>
      </c>
      <c r="CW22" s="30" t="b">
        <f t="shared" si="45"/>
        <v>1</v>
      </c>
      <c r="CX22" s="30">
        <f t="shared" si="46"/>
        <v>7.7057990459153247</v>
      </c>
    </row>
    <row r="23" spans="1:102" x14ac:dyDescent="0.2">
      <c r="A23" s="15" t="s">
        <v>14</v>
      </c>
      <c r="B23" s="15" t="s">
        <v>65</v>
      </c>
      <c r="C23" s="15" t="s">
        <v>27</v>
      </c>
      <c r="D23" s="15" t="s">
        <v>17</v>
      </c>
      <c r="E23" s="15" t="s">
        <v>28</v>
      </c>
      <c r="F23" s="15"/>
      <c r="G23" s="15">
        <v>0</v>
      </c>
      <c r="H23" s="15" t="s">
        <v>29</v>
      </c>
      <c r="I23" s="15" t="s">
        <v>35</v>
      </c>
      <c r="J23" s="15" t="s">
        <v>31</v>
      </c>
      <c r="K23" s="15"/>
      <c r="L23" s="15" t="s">
        <v>19</v>
      </c>
      <c r="M23" s="15">
        <v>1</v>
      </c>
      <c r="N23" s="15">
        <v>10</v>
      </c>
      <c r="O23" s="15">
        <v>0.39541100000000001</v>
      </c>
      <c r="P23" s="15">
        <v>1.6E-2</v>
      </c>
      <c r="Q23" s="15" t="s">
        <v>20</v>
      </c>
      <c r="R23" s="8" t="str">
        <f t="shared" si="0"/>
        <v>jit-sel-async-ALL-lambda</v>
      </c>
      <c r="V23" s="8" t="s">
        <v>38</v>
      </c>
      <c r="W23" s="14" t="s">
        <v>15</v>
      </c>
      <c r="X23" s="17" cm="1">
        <f t="array" ref="X23">INDEX($O:$O,MATCH(1,($V23=$A:$A)*($W23=$B:$B)*("interpreted"=$C:$C)*("unordered"=$E:$E),0))</f>
        <v>12.246468</v>
      </c>
      <c r="Y23" s="8" cm="1">
        <f t="array" ref="Y23">INDEX($P:$P,MATCH(1,($V23=$A:$A)*($W23=$B:$B)*("interpreted"=$C:$C)*("unordered"=$E:$E),0))</f>
        <v>1.42</v>
      </c>
      <c r="Z23" s="8" t="str" cm="1">
        <f t="array" ref="Z23">INDEX($R:$R, MATCH(MIN(IF(($A:$A=$V23)*($B:$B=$W23), $O:$O)), $O:$O, 0), 1)</f>
        <v>interpreted-sel---</v>
      </c>
      <c r="AA23" s="17" cm="1">
        <f t="array" ref="AA23">INDEX($O:$O, MATCH(MIN(IF(($A:$A=$V23)*($B:$B=$W23), $O:$O)), $O:$O, 0), 1)</f>
        <v>9.8082429999999992</v>
      </c>
      <c r="AB23" s="8" cm="1">
        <f t="array" ref="AB23">INDEX($P:$P, MATCH(MIN(IF(($A:$A=$V23)*($B:$B=$W23), $O:$O)), $O:$O, 0), 1)</f>
        <v>0.24299999999999999</v>
      </c>
      <c r="AC23" s="19" t="b">
        <f t="shared" si="3"/>
        <v>1</v>
      </c>
      <c r="AD23" s="19">
        <f t="shared" si="4"/>
        <v>737.08139317102984</v>
      </c>
      <c r="AE23" s="19" t="b">
        <f t="shared" si="5"/>
        <v>1</v>
      </c>
      <c r="AF23" s="19">
        <f t="shared" si="6"/>
        <v>1.2485893752836263</v>
      </c>
      <c r="AG23" s="19" t="b">
        <f t="shared" si="7"/>
        <v>1</v>
      </c>
      <c r="AH23" s="19">
        <f t="shared" si="8"/>
        <v>1.2485893752836263</v>
      </c>
      <c r="AI23" s="29" cm="1">
        <f t="array" ref="AI23">INDEX($O:$O,MATCH(MIN(IF(($A:$A=$V23)*($B:$B=$W23)*($J:$J=AI$12)*($H:$H=AI$11),$O:$O)),$O:$O,0),1)</f>
        <v>38.387117000000003</v>
      </c>
      <c r="AJ23" s="14" cm="1">
        <f t="array" ref="AJ23">INDEX($P:$P,MATCH(MIN(IF(($A:$A=$V23)*($B:$B=$W23)*($J:$J=AI$12)*($H:$H=AI$11),$O:$O)),$O:$O,0),1)</f>
        <v>4.21</v>
      </c>
      <c r="AK23" s="19" t="b">
        <f t="shared" si="9"/>
        <v>1</v>
      </c>
      <c r="AL23" s="19">
        <f t="shared" si="10"/>
        <v>188.33072082490591</v>
      </c>
      <c r="AM23" s="19" t="b">
        <f t="shared" si="11"/>
        <v>1</v>
      </c>
      <c r="AN23" s="19">
        <f t="shared" si="12"/>
        <v>0.31902546888321931</v>
      </c>
      <c r="AO23" s="19" t="b">
        <f t="shared" si="13"/>
        <v>1</v>
      </c>
      <c r="AP23" s="19">
        <f t="shared" si="14"/>
        <v>0.31902546888321931</v>
      </c>
      <c r="AQ23" s="14" t="str" cm="1">
        <f t="array" ref="AQ23">INDEX($I:$I,MATCH(MIN(IF(($A:$A=$V23)*($B:$B=$W23)*($J:$J=AI$12)*($H:$H=AI$11),$O:$O)),$O:$O,0),1)</f>
        <v>DELTA</v>
      </c>
      <c r="AR23" s="14" cm="1">
        <f t="array" ref="AR23">IF(AVERAGEIFS($O:$O, $A:$A, $V23, $B:$B, $W23, $J:$J, AI$12, $H:$H, AI$11, $O:$O, "&lt;&gt;" &amp; INDEX($O:$O, MATCH(MIN(IF(($A:$A=$V23)*($B:$B=$W23)*($J:$J=AI$12)*($H:$H=AI$11), $O:$O)), $O:$O, 0), 1)) &lt;&gt; 0, ABS((INDEX($O:$O, MATCH(MIN(IF(($A:$A=$V23)*($B:$B=$W23)*($J:$J=AI$12)*($H:$H=AI$11), $O:$O)), $O:$O, 0), 1) - AVERAGEIFS($O:$O, $A:$A, $V23, $B:$B, $W23, $J:$J, AI$12, $H:$H, AI$11, $O:$O, "&lt;&gt;" &amp; INDEX($O:$O, MATCH(MIN(IF(($A:$A=$V23)*($B:$B=$W23)*($J:$J=AI$12)*($H:$H=AI$11), $O:$O)), $O:$O, 0), 1))) / AVERAGEIFS($O:$O, $A:$A, $V23, $B:$B, $W23, $J:$J, AI$12, $H:$H, AI$11, $O:$O, "&lt;&gt;" &amp; INDEX($O:$O, MATCH(MIN(IF(($A:$A=$V23)*($B:$B=$W23)*($J:$J=AI$12)*($H:$H=AI$11), $O:$O)), $O:$O, 0), 1))) * 100, "")</f>
        <v>48.905112316302137</v>
      </c>
      <c r="AS23" s="29" cm="1">
        <f t="array" ref="AS23">INDEX($O:$O,MATCH(MIN(IF(($A:$A=$V23)*($B:$B=$W23)*($J:$J=AS$12)*($H:$H=AS$11),$O:$O)),$O:$O,0),1)</f>
        <v>28.315505000000002</v>
      </c>
      <c r="AT23" s="14" cm="1">
        <f t="array" ref="AT23">INDEX($P:$P,MATCH(MIN(IF(($A:$A=$V23)*($B:$B=$W23)*($J:$J=AS$12)*($H:$H=AS$11),$O:$O)),$O:$O,0),1)</f>
        <v>0.52200000000000002</v>
      </c>
      <c r="AU23" s="30" t="b">
        <f>ABS(AS23-VLOOKUP($V23, $V$2:AT$10, 4, FALSE))&gt;MAX(AT23, VLOOKUP($V23, $V$2:$AB$10, 5, FALSE))</f>
        <v>1</v>
      </c>
      <c r="AV23" s="30">
        <f t="shared" si="15"/>
        <v>255.31854067232774</v>
      </c>
      <c r="AW23" s="30" t="b">
        <f t="shared" si="16"/>
        <v>1</v>
      </c>
      <c r="AX23" s="30">
        <f t="shared" si="17"/>
        <v>0.43250042688625895</v>
      </c>
      <c r="AY23" s="30" t="b">
        <f t="shared" si="18"/>
        <v>1</v>
      </c>
      <c r="AZ23" s="30">
        <f t="shared" si="19"/>
        <v>0.43250042688625895</v>
      </c>
      <c r="BA23" s="8" t="str" cm="1">
        <f t="array" ref="BA23">INDEX($I:$I,MATCH(MIN(IF(($A:$A=$V23)*($B:$B=$W23)*($J:$J=AS$12)*($H:$H=AS$11),$O:$O)),$O:$O,0),1)</f>
        <v>DELTA</v>
      </c>
      <c r="BB23" s="8" cm="1">
        <f t="array" ref="BB23">IF(AVERAGEIFS($O:$O, $A:$A, $V23, $B:$B, $W23, $J:$J, AS$12, $H:$H, AS$11, $O:$O, "&lt;&gt;" &amp; INDEX($O:$O, MATCH(MIN(IF(($A:$A=$V23)*($B:$B=$W23)*($J:$J=AS$12)*($H:$H=AS$11), $O:$O)), $O:$O, 0), 1)) &lt;&gt; 0, ABS((INDEX($O:$O, MATCH(MIN(IF(($A:$A=$V23)*($B:$B=$W23)*($J:$J=AS$12)*($H:$H=AS$11), $O:$O)), $O:$O, 0), 1) - AVERAGEIFS($O:$O, $A:$A, $V23, $B:$B, $W23, $J:$J, AS$12, $H:$H, AS$11, $O:$O, "&lt;&gt;" &amp; INDEX($O:$O, MATCH(MIN(IF(($A:$A=$V23)*($B:$B=$W23)*($J:$J=AS$12)*($H:$H=AS$11), $O:$O)), $O:$O, 0), 1))) / AVERAGEIFS($O:$O, $A:$A, $V23, $B:$B, $W23, $J:$J, AS$12, $H:$H, AS$11, $O:$O, "&lt;&gt;" &amp; INDEX($O:$O, MATCH(MIN(IF(($A:$A=$V23)*($B:$B=$W23)*($J:$J=AS$12)*($H:$H=AS$11), $O:$O)), $O:$O, 0), 1))) * 100, "")</f>
        <v>48.983577851653628</v>
      </c>
      <c r="BC23" s="17" cm="1">
        <f t="array" ref="BC23">INDEX($O:$O,MATCH(MIN(IF(($A:$A=$V23)*($B:$B=$W23)*($J:$J=BC$12)*($H:$H=BC$11),$O:$O)),$O:$O,0),1)</f>
        <v>47.863453</v>
      </c>
      <c r="BD23" s="8" cm="1">
        <f t="array" ref="BD23">INDEX($P:$P,MATCH(MIN(IF(($A:$A=$V23)*($B:$B=$W23)*($J:$J=BC$12)*($H:$H=BC$11),$O:$O)),$O:$O,0),1)</f>
        <v>1.39</v>
      </c>
      <c r="BE23" s="30" t="b">
        <f t="shared" si="20"/>
        <v>1</v>
      </c>
      <c r="BF23" s="30">
        <f t="shared" si="21"/>
        <v>151.0437079205297</v>
      </c>
      <c r="BG23" s="30" t="b">
        <f t="shared" si="22"/>
        <v>1</v>
      </c>
      <c r="BH23" s="30">
        <f t="shared" si="23"/>
        <v>0.25586260982883957</v>
      </c>
      <c r="BI23" s="30" t="b">
        <f t="shared" si="24"/>
        <v>1</v>
      </c>
      <c r="BJ23" s="30">
        <f t="shared" si="25"/>
        <v>0.25586260982883957</v>
      </c>
      <c r="BK23" s="8" t="str" cm="1">
        <f t="array" ref="BK23">INDEX($I:$I,MATCH(MIN(IF(($A:$A=$V23)*($B:$B=$W23)*($J:$J=BC$12)*($H:$H=BC$11),$O:$O)),$O:$O,0),1)</f>
        <v>DELTA</v>
      </c>
      <c r="BL23" s="8" cm="1">
        <f t="array" ref="BL23">IF(AVERAGEIFS($O:$O, $A:$A, $V23, $B:$B, $W23, $J:$J, BC$12, $H:$H, BC$11, $O:$O, "&lt;&gt;" &amp; INDEX($O:$O, MATCH(MIN(IF(($A:$A=$V23)*($B:$B=$W23)*($J:$J=BC$12)*($H:$H=BC$11), $O:$O)), $O:$O, 0), 1)) &lt;&gt; 0, ABS((INDEX($O:$O, MATCH(MIN(IF(($A:$A=$V23)*($B:$B=$W23)*($J:$J=BC$12)*($H:$H=BC$11), $O:$O)), $O:$O, 0), 1) - AVERAGEIFS($O:$O, $A:$A, $V23, $B:$B, $W23, $J:$J, BC$12, $H:$H, BC$11, $O:$O, "&lt;&gt;" &amp; INDEX($O:$O, MATCH(MIN(IF(($A:$A=$V23)*($B:$B=$W23)*($J:$J=BC$12)*($H:$H=BC$11), $O:$O)), $O:$O, 0), 1))) / AVERAGEIFS($O:$O, $A:$A, $V23, $B:$B, $W23, $J:$J, BC$12, $H:$H, BC$11, $O:$O, "&lt;&gt;" &amp; INDEX($O:$O, MATCH(MIN(IF(($A:$A=$V23)*($B:$B=$W23)*($J:$J=BC$12)*($H:$H=BC$11), $O:$O)), $O:$O, 0), 1))) * 100, "")</f>
        <v>24.354903400468018</v>
      </c>
      <c r="BM23" s="17" cm="1">
        <f t="array" ref="BM23">INDEX($O:$O,MATCH(MIN(IF(($A:$A=$V23)*($B:$B=$W23)*($J:$J=BM$12)*($H:$H=BM$11),$O:$O)),$O:$O,0),1)</f>
        <v>18.916978</v>
      </c>
      <c r="BN23" s="8" cm="1">
        <f t="array" ref="BN23">INDEX($P:$P,MATCH(MIN(IF(($A:$A=$V23)*($B:$B=$W23)*($J:$J=BM$12)*($H:$H=BM$11),$O:$O)),$O:$O,0),1)</f>
        <v>2.0579999999999998</v>
      </c>
      <c r="BO23" s="30" t="b">
        <f t="shared" si="26"/>
        <v>1</v>
      </c>
      <c r="BP23" s="30">
        <f t="shared" si="27"/>
        <v>382.16851629261294</v>
      </c>
      <c r="BQ23" s="30" t="b">
        <f t="shared" si="28"/>
        <v>1</v>
      </c>
      <c r="BR23" s="30">
        <f t="shared" si="29"/>
        <v>0.64737972418216061</v>
      </c>
      <c r="BS23" s="30" t="b">
        <f t="shared" si="30"/>
        <v>1</v>
      </c>
      <c r="BT23" s="8">
        <f t="shared" si="31"/>
        <v>0.64737972418216061</v>
      </c>
      <c r="BU23" s="8" t="str" cm="1">
        <f t="array" ref="BU23">INDEX($I:$I,MATCH(MIN(IF(($A:$A=$V23)*($B:$B=$W23)*($J:$J=BM$12)*($H:$H=BM$11),$O:$O)),$O:$O,0),1)</f>
        <v>RULE</v>
      </c>
      <c r="BV23" s="8" cm="1">
        <f t="array" ref="BV23">IF(AVERAGEIFS($O:$O, $A:$A, $V23, $B:$B, $W23, $J:$J, BM$12, $H:$H, BM$11, $O:$O, "&lt;&gt;" &amp; INDEX($O:$O, MATCH(MIN(IF(($A:$A=$V23)*($B:$B=$W23)*($J:$J=BM$12)*($H:$H=BM$11), $O:$O)), $O:$O, 0), 1)) &lt;&gt; 0, ABS((INDEX($O:$O, MATCH(MIN(IF(($A:$A=$V23)*($B:$B=$W23)*($J:$J=BM$12)*($H:$H=BM$11), $O:$O)), $O:$O, 0), 1) - AVERAGEIFS($O:$O, $A:$A, $V23, $B:$B, $W23, $J:$J, BM$12, $H:$H, BM$11, $O:$O, "&lt;&gt;" &amp; INDEX($O:$O, MATCH(MIN(IF(($A:$A=$V23)*($B:$B=$W23)*($J:$J=BM$12)*($H:$H=BM$11), $O:$O)), $O:$O, 0), 1))) / AVERAGEIFS($O:$O, $A:$A, $V23, $B:$B, $W23, $J:$J, BM$12, $H:$H, BM$11, $O:$O, "&lt;&gt;" &amp; INDEX($O:$O, MATCH(MIN(IF(($A:$A=$V23)*($B:$B=$W23)*($J:$J=BM$12)*($H:$H=BM$11), $O:$O)), $O:$O, 0), 1))) * 100, "")</f>
        <v>31.385066424933278</v>
      </c>
      <c r="BW23" s="17" cm="1">
        <f t="array" ref="BW23">INDEX($O:$O,MATCH(MIN(IF(($A:$A=$V23)*($B:$B=$W23)*($J:$J=BW$12)*($H:$H=BW$11),$O:$O)),$O:$O,0),1)</f>
        <v>15.194917999999999</v>
      </c>
      <c r="BX23" s="8" cm="1">
        <f t="array" ref="BX23">INDEX($P:$P,MATCH(MIN(IF(($A:$A=$V23)*($B:$B=$W23)*($J:$J=BW$12)*($H:$H=BW$11),$O:$O)),$O:$O,0),1)</f>
        <v>1.099</v>
      </c>
      <c r="BY23" s="19" t="b">
        <f>ABS(BW23-VLOOKUP($V23, $V$2:AB$10, 4, FALSE))&gt;MAX(BX23, VLOOKUP($V23, $V$2:$AB$10, 5, FALSE))</f>
        <v>1</v>
      </c>
      <c r="BZ23" s="19">
        <f t="shared" si="32"/>
        <v>475.78232505104671</v>
      </c>
      <c r="CA23" s="19" t="b">
        <f t="shared" si="33"/>
        <v>1</v>
      </c>
      <c r="CB23" s="19">
        <f t="shared" si="34"/>
        <v>0.80595814995513637</v>
      </c>
      <c r="CC23" s="19" t="b">
        <f t="shared" si="35"/>
        <v>1</v>
      </c>
      <c r="CD23" s="19">
        <f t="shared" si="36"/>
        <v>0.80595814995513637</v>
      </c>
      <c r="CE23" s="8" t="str" cm="1">
        <f t="array" ref="CE23">INDEX($I:$I,MATCH(MIN(IF(($A:$A=$V23)*($B:$B=$W23)*($J:$J=BW$12)*($H:$H=BW$11),$O:$O)),$O:$O,0),1)</f>
        <v>RULE</v>
      </c>
      <c r="CF23" s="8" cm="1">
        <f t="array" ref="CF23">IF(AVERAGEIFS($O:$O, $A:$A, $V23, $B:$B, $W23, $J:$J, BW$12, $H:$H, BW$11, $O:$O, "&lt;&gt;" &amp; INDEX($O:$O, MATCH(MIN(IF(($A:$A=$V23)*($B:$B=$W23)*($J:$J=BW$12)*($H:$H=BW$11), $O:$O)), $O:$O, 0), 1)) &lt;&gt; 0, ABS((INDEX($O:$O, MATCH(MIN(IF(($A:$A=$V23)*($B:$B=$W23)*($J:$J=BW$12)*($H:$H=BW$11), $O:$O)), $O:$O, 0), 1) - AVERAGEIFS($O:$O, $A:$A, $V23, $B:$B, $W23, $J:$J, BW$12, $H:$H, BW$11, $O:$O, "&lt;&gt;" &amp; INDEX($O:$O, MATCH(MIN(IF(($A:$A=$V23)*($B:$B=$W23)*($J:$J=BW$12)*($H:$H=BW$11), $O:$O)), $O:$O, 0), 1))) / AVERAGEIFS($O:$O, $A:$A, $V23, $B:$B, $W23, $J:$J, BW$12, $H:$H, BW$11, $O:$O, "&lt;&gt;" &amp; INDEX($O:$O, MATCH(MIN(IF(($A:$A=$V23)*($B:$B=$W23)*($J:$J=BW$12)*($H:$H=BW$11), $O:$O)), $O:$O, 0), 1))) * 100, "")</f>
        <v>54.576536542514106</v>
      </c>
      <c r="CG23" s="17" cm="1">
        <f t="array" ref="CG23">INDEX($O:$O,MATCH(MIN(IF(($A:$A=$V23)*($B:$B=$W23)*($J:$J=CG$12)*($H:$H=CG$11),$O:$O)),$O:$O,0),1)</f>
        <v>28.983388000000001</v>
      </c>
      <c r="CH23" s="8" cm="1">
        <f t="array" ref="CH23">INDEX($P:$P,MATCH(MIN(IF(($A:$A=$V23)*($B:$B=$W23)*($J:$J=CG$12)*($H:$H=CG$11),$O:$O)),$O:$O,0),1)</f>
        <v>0.69299999999999995</v>
      </c>
      <c r="CI23" s="30" t="b">
        <f>ABS(CG23-VLOOKUP($V23, $V$2:AB$10, 4, FALSE))&gt;MAX(CH23, VLOOKUP($V23, $V$2:$AB$10, 5, FALSE))</f>
        <v>1</v>
      </c>
      <c r="CJ23" s="30">
        <f t="shared" si="37"/>
        <v>249.43507001320896</v>
      </c>
      <c r="CK23" s="30" t="b">
        <f t="shared" si="38"/>
        <v>1</v>
      </c>
      <c r="CL23" s="30">
        <f t="shared" si="39"/>
        <v>0.42253403915373866</v>
      </c>
      <c r="CM23" s="30" t="b">
        <f t="shared" si="40"/>
        <v>1</v>
      </c>
      <c r="CN23" s="30">
        <f t="shared" si="41"/>
        <v>0.42253403915373866</v>
      </c>
      <c r="CO23" s="8" t="str" cm="1">
        <f t="array" ref="CO23">INDEX($I:$I,MATCH(MIN(IF(($A:$A=$V23)*($B:$B=$W23)*($J:$J=CG$12)*($H:$H=CG$11),$O:$O)),$O:$O,0),1)</f>
        <v>ALL</v>
      </c>
      <c r="CP23" s="8" cm="1">
        <f t="array" ref="CP23">IF(AVERAGEIFS($O:$O, $A:$A, $V23, $B:$B, $W23, $J:$J, CG$12, $H:$H, CG$11, $O:$O, "&lt;&gt;" &amp; INDEX($O:$O, MATCH(MIN(IF(($A:$A=$V23)*($B:$B=$W23)*($J:$J=CG$12)*($H:$H=CG$11), $O:$O)), $O:$O, 0), 1)) &lt;&gt; 0, ABS((INDEX($O:$O, MATCH(MIN(IF(($A:$A=$V23)*($B:$B=$W23)*($J:$J=CG$12)*($H:$H=CG$11), $O:$O)), $O:$O, 0), 1) - AVERAGEIFS($O:$O, $A:$A, $V23, $B:$B, $W23, $J:$J, CG$12, $H:$H, CG$11, $O:$O, "&lt;&gt;" &amp; INDEX($O:$O, MATCH(MIN(IF(($A:$A=$V23)*($B:$B=$W23)*($J:$J=CG$12)*($H:$H=CG$11), $O:$O)), $O:$O, 0), 1))) / AVERAGEIFS($O:$O, $A:$A, $V23, $B:$B, $W23, $J:$J, CG$12, $H:$H, CG$11, $O:$O, "&lt;&gt;" &amp; INDEX($O:$O, MATCH(MIN(IF(($A:$A=$V23)*($B:$B=$W23)*($J:$J=CG$12)*($H:$H=CG$11), $O:$O)), $O:$O, 0), 1))) * 100, "")</f>
        <v>0.24465082309192693</v>
      </c>
      <c r="CQ23" s="17" cm="1">
        <f t="array" ref="CQ23">INDEX($O:$O,MATCH(1,($V23=$A:$A)*($W23=$B:$B)*("interpreted"=$C:$C)*("sel"=$E:$E),0))</f>
        <v>9.8082429999999992</v>
      </c>
      <c r="CR23" s="8" cm="1">
        <f t="array" ref="CR23">INDEX($P:$P,MATCH(1,($V23=$A:$A)*($W23=$B:$B)*("interpreted"=$C:$C)*("sel"=$E:$E),0))</f>
        <v>0.24299999999999999</v>
      </c>
      <c r="CS23" s="30" t="b">
        <f>ABS(CQ23-VLOOKUP($V23, $V$2:AL$10, 4, FALSE))&gt;MAX(CR23, VLOOKUP($V23, $V$2:$AB$10, 5, FALSE))</f>
        <v>1</v>
      </c>
      <c r="CT23" s="30">
        <f t="shared" si="42"/>
        <v>737.08139317102984</v>
      </c>
      <c r="CU23" s="30" t="b">
        <f t="shared" si="43"/>
        <v>1</v>
      </c>
      <c r="CV23" s="30">
        <f t="shared" si="44"/>
        <v>1.2485893752836263</v>
      </c>
      <c r="CW23" s="30" t="b">
        <f t="shared" si="45"/>
        <v>1</v>
      </c>
      <c r="CX23" s="30">
        <f t="shared" si="46"/>
        <v>1.2485893752836263</v>
      </c>
    </row>
    <row r="24" spans="1:102" x14ac:dyDescent="0.2">
      <c r="A24" s="15" t="s">
        <v>14</v>
      </c>
      <c r="B24" s="15" t="s">
        <v>65</v>
      </c>
      <c r="C24" s="15" t="s">
        <v>27</v>
      </c>
      <c r="D24" s="15" t="s">
        <v>17</v>
      </c>
      <c r="E24" s="15" t="s">
        <v>28</v>
      </c>
      <c r="F24" s="15"/>
      <c r="G24" s="15">
        <v>0</v>
      </c>
      <c r="H24" s="15" t="s">
        <v>29</v>
      </c>
      <c r="I24" s="15" t="s">
        <v>35</v>
      </c>
      <c r="J24" s="15" t="s">
        <v>33</v>
      </c>
      <c r="K24" s="15"/>
      <c r="L24" s="15" t="s">
        <v>19</v>
      </c>
      <c r="M24" s="15">
        <v>1</v>
      </c>
      <c r="N24" s="15">
        <v>10</v>
      </c>
      <c r="O24" s="15">
        <v>0.45080999999999999</v>
      </c>
      <c r="P24" s="15">
        <v>6.7000000000000004E-2</v>
      </c>
      <c r="Q24" s="15" t="s">
        <v>20</v>
      </c>
      <c r="R24" s="8" t="str">
        <f t="shared" si="0"/>
        <v>jit-sel-async-ALL-quotes</v>
      </c>
      <c r="V24" s="15" t="s">
        <v>38</v>
      </c>
      <c r="W24" s="14" t="s">
        <v>65</v>
      </c>
      <c r="X24" s="17" cm="1">
        <f t="array" ref="X24">INDEX($O:$O,MATCH(1,($V24=$A:$A)*($W24=$B:$B)*("interpreted"=$C:$C)*("unordered"=$E:$E),0))</f>
        <v>7229.4734150000004</v>
      </c>
      <c r="Y24" s="8" cm="1">
        <f t="array" ref="Y24">INDEX($P:$P,MATCH(1,($V24=$A:$A)*($W24=$B:$B)*("interpreted"=$C:$C)*("unordered"=$E:$E),0))</f>
        <v>174.3</v>
      </c>
      <c r="Z24" s="8" t="str" cm="1">
        <f t="array" ref="Z24">INDEX($R:$R, MATCH(MIN(IF(($A:$A=$V24)*($B:$B=$W24), $O:$O)), $O:$O, 0), 1)</f>
        <v>interpreted-sel---</v>
      </c>
      <c r="AA24" s="17" cm="1">
        <f t="array" ref="AA24">INDEX($O:$O, MATCH(MIN(IF(($A:$A=$V24)*($B:$B=$W24), $O:$O)), $O:$O, 0), 1)</f>
        <v>18.349513000000002</v>
      </c>
      <c r="AB24" s="8" cm="1">
        <f t="array" ref="AB24">INDEX($P:$P, MATCH(MIN(IF(($A:$A=$V24)*($B:$B=$W24), $O:$O)), $O:$O, 0), 1)</f>
        <v>0.44900000000000001</v>
      </c>
      <c r="AC24" s="19" t="b">
        <f t="shared" si="3"/>
        <v>1</v>
      </c>
      <c r="AD24" s="19">
        <f t="shared" si="4"/>
        <v>393.98720908832837</v>
      </c>
      <c r="AE24" s="19" t="b">
        <f t="shared" si="5"/>
        <v>1</v>
      </c>
      <c r="AF24" s="19">
        <f t="shared" si="6"/>
        <v>0.66740016478911446</v>
      </c>
      <c r="AG24" s="19" t="b">
        <f t="shared" si="7"/>
        <v>1</v>
      </c>
      <c r="AH24" s="19">
        <f t="shared" si="8"/>
        <v>393.98720908832837</v>
      </c>
      <c r="AI24" s="29" cm="1">
        <f t="array" ref="AI24">INDEX($O:$O,MATCH(MIN(IF(($A:$A=$V24)*($B:$B=$W24)*($J:$J=AI$12)*($H:$H=AI$11),$O:$O)),$O:$O,0),1)</f>
        <v>37.686450999999998</v>
      </c>
      <c r="AJ24" s="14" cm="1">
        <f t="array" ref="AJ24">INDEX($P:$P,MATCH(MIN(IF(($A:$A=$V24)*($B:$B=$W24)*($J:$J=AI$12)*($H:$H=AI$11),$O:$O)),$O:$O,0),1)</f>
        <v>3.01</v>
      </c>
      <c r="AK24" s="19" t="b">
        <f t="shared" si="9"/>
        <v>1</v>
      </c>
      <c r="AL24" s="19">
        <f t="shared" si="10"/>
        <v>191.83216310286159</v>
      </c>
      <c r="AM24" s="19" t="b">
        <f t="shared" si="11"/>
        <v>1</v>
      </c>
      <c r="AN24" s="19">
        <f t="shared" si="12"/>
        <v>0.32495678619353147</v>
      </c>
      <c r="AO24" s="19" t="b">
        <f t="shared" si="13"/>
        <v>1</v>
      </c>
      <c r="AP24" s="19">
        <f t="shared" si="14"/>
        <v>191.83216310286159</v>
      </c>
      <c r="AQ24" s="14" t="str" cm="1">
        <f t="array" ref="AQ24">INDEX($I:$I,MATCH(MIN(IF(($A:$A=$V24)*($B:$B=$W24)*($J:$J=AI$12)*($H:$H=AI$11),$O:$O)),$O:$O,0),1)</f>
        <v>DELTA</v>
      </c>
      <c r="AR24" s="14" cm="1">
        <f t="array" ref="AR24">IF(AVERAGEIFS($O:$O, $A:$A, $V24, $B:$B, $W24, $J:$J, AI$12, $H:$H, AI$11, $O:$O, "&lt;&gt;" &amp; INDEX($O:$O, MATCH(MIN(IF(($A:$A=$V24)*($B:$B=$W24)*($J:$J=AI$12)*($H:$H=AI$11), $O:$O)), $O:$O, 0), 1)) &lt;&gt; 0, ABS((INDEX($O:$O, MATCH(MIN(IF(($A:$A=$V24)*($B:$B=$W24)*($J:$J=AI$12)*($H:$H=AI$11), $O:$O)), $O:$O, 0), 1) - AVERAGEIFS($O:$O, $A:$A, $V24, $B:$B, $W24, $J:$J, AI$12, $H:$H, AI$11, $O:$O, "&lt;&gt;" &amp; INDEX($O:$O, MATCH(MIN(IF(($A:$A=$V24)*($B:$B=$W24)*($J:$J=AI$12)*($H:$H=AI$11), $O:$O)), $O:$O, 0), 1))) / AVERAGEIFS($O:$O, $A:$A, $V24, $B:$B, $W24, $J:$J, AI$12, $H:$H, AI$11, $O:$O, "&lt;&gt;" &amp; INDEX($O:$O, MATCH(MIN(IF(($A:$A=$V24)*($B:$B=$W24)*($J:$J=AI$12)*($H:$H=AI$11), $O:$O)), $O:$O, 0), 1))) * 100, "")</f>
        <v>53.967674581468707</v>
      </c>
      <c r="AS24" s="29" cm="1">
        <f t="array" ref="AS24">INDEX($O:$O,MATCH(MIN(IF(($A:$A=$V24)*($B:$B=$W24)*($J:$J=AS$12)*($H:$H=AS$11),$O:$O)),$O:$O,0),1)</f>
        <v>35.220582999999998</v>
      </c>
      <c r="AT24" s="14" cm="1">
        <f t="array" ref="AT24">INDEX($P:$P,MATCH(MIN(IF(($A:$A=$V24)*($B:$B=$W24)*($J:$J=AS$12)*($H:$H=AS$11),$O:$O)),$O:$O,0),1)</f>
        <v>1.0269999999999999</v>
      </c>
      <c r="AU24" s="30" t="b">
        <f>ABS(AS24-VLOOKUP($V24, $V$2:AT$10, 4, FALSE))&gt;MAX(AT24, VLOOKUP($V24, $V$2:$AB$10, 5, FALSE))</f>
        <v>1</v>
      </c>
      <c r="AV24" s="30">
        <f t="shared" si="15"/>
        <v>205.26274124991062</v>
      </c>
      <c r="AW24" s="30" t="b">
        <f t="shared" si="16"/>
        <v>1</v>
      </c>
      <c r="AX24" s="30">
        <f t="shared" si="17"/>
        <v>0.34770770262377543</v>
      </c>
      <c r="AY24" s="30" t="b">
        <f t="shared" si="18"/>
        <v>1</v>
      </c>
      <c r="AZ24" s="30">
        <f t="shared" si="19"/>
        <v>205.26274124991062</v>
      </c>
      <c r="BA24" s="8" t="str" cm="1">
        <f t="array" ref="BA24">INDEX($I:$I,MATCH(MIN(IF(($A:$A=$V24)*($B:$B=$W24)*($J:$J=AS$12)*($H:$H=AS$11),$O:$O)),$O:$O,0),1)</f>
        <v>DELTA</v>
      </c>
      <c r="BB24" s="8" cm="1">
        <f t="array" ref="BB24">IF(AVERAGEIFS($O:$O, $A:$A, $V24, $B:$B, $W24, $J:$J, AS$12, $H:$H, AS$11, $O:$O, "&lt;&gt;" &amp; INDEX($O:$O, MATCH(MIN(IF(($A:$A=$V24)*($B:$B=$W24)*($J:$J=AS$12)*($H:$H=AS$11), $O:$O)), $O:$O, 0), 1)) &lt;&gt; 0, ABS((INDEX($O:$O, MATCH(MIN(IF(($A:$A=$V24)*($B:$B=$W24)*($J:$J=AS$12)*($H:$H=AS$11), $O:$O)), $O:$O, 0), 1) - AVERAGEIFS($O:$O, $A:$A, $V24, $B:$B, $W24, $J:$J, AS$12, $H:$H, AS$11, $O:$O, "&lt;&gt;" &amp; INDEX($O:$O, MATCH(MIN(IF(($A:$A=$V24)*($B:$B=$W24)*($J:$J=AS$12)*($H:$H=AS$11), $O:$O)), $O:$O, 0), 1))) / AVERAGEIFS($O:$O, $A:$A, $V24, $B:$B, $W24, $J:$J, AS$12, $H:$H, AS$11, $O:$O, "&lt;&gt;" &amp; INDEX($O:$O, MATCH(MIN(IF(($A:$A=$V24)*($B:$B=$W24)*($J:$J=AS$12)*($H:$H=AS$11), $O:$O)), $O:$O, 0), 1))) * 100, "")</f>
        <v>38.972134482881536</v>
      </c>
      <c r="BC24" s="17" cm="1">
        <f t="array" ref="BC24">INDEX($O:$O,MATCH(MIN(IF(($A:$A=$V24)*($B:$B=$W24)*($J:$J=BC$12)*($H:$H=BC$11),$O:$O)),$O:$O,0),1)</f>
        <v>27.749541000000001</v>
      </c>
      <c r="BD24" s="8" cm="1">
        <f t="array" ref="BD24">INDEX($P:$P,MATCH(MIN(IF(($A:$A=$V24)*($B:$B=$W24)*($J:$J=BC$12)*($H:$H=BC$11),$O:$O)),$O:$O,0),1)</f>
        <v>0.83899999999999997</v>
      </c>
      <c r="BE24" s="30" t="b">
        <f t="shared" si="20"/>
        <v>1</v>
      </c>
      <c r="BF24" s="30">
        <f t="shared" si="21"/>
        <v>260.52587374328101</v>
      </c>
      <c r="BG24" s="30" t="b">
        <f t="shared" si="22"/>
        <v>1</v>
      </c>
      <c r="BH24" s="30">
        <f t="shared" si="23"/>
        <v>0.44132146185769344</v>
      </c>
      <c r="BI24" s="30" t="b">
        <f t="shared" si="24"/>
        <v>1</v>
      </c>
      <c r="BJ24" s="30">
        <f t="shared" si="25"/>
        <v>260.52587374328101</v>
      </c>
      <c r="BK24" s="8" t="str" cm="1">
        <f t="array" ref="BK24">INDEX($I:$I,MATCH(MIN(IF(($A:$A=$V24)*($B:$B=$W24)*($J:$J=BC$12)*($H:$H=BC$11),$O:$O)),$O:$O,0),1)</f>
        <v>DELTA</v>
      </c>
      <c r="BL24" s="8" cm="1">
        <f t="array" ref="BL24">IF(AVERAGEIFS($O:$O, $A:$A, $V24, $B:$B, $W24, $J:$J, BC$12, $H:$H, BC$11, $O:$O, "&lt;&gt;" &amp; INDEX($O:$O, MATCH(MIN(IF(($A:$A=$V24)*($B:$B=$W24)*($J:$J=BC$12)*($H:$H=BC$11), $O:$O)), $O:$O, 0), 1)) &lt;&gt; 0, ABS((INDEX($O:$O, MATCH(MIN(IF(($A:$A=$V24)*($B:$B=$W24)*($J:$J=BC$12)*($H:$H=BC$11), $O:$O)), $O:$O, 0), 1) - AVERAGEIFS($O:$O, $A:$A, $V24, $B:$B, $W24, $J:$J, BC$12, $H:$H, BC$11, $O:$O, "&lt;&gt;" &amp; INDEX($O:$O, MATCH(MIN(IF(($A:$A=$V24)*($B:$B=$W24)*($J:$J=BC$12)*($H:$H=BC$11), $O:$O)), $O:$O, 0), 1))) / AVERAGEIFS($O:$O, $A:$A, $V24, $B:$B, $W24, $J:$J, BC$12, $H:$H, BC$11, $O:$O, "&lt;&gt;" &amp; INDEX($O:$O, MATCH(MIN(IF(($A:$A=$V24)*($B:$B=$W24)*($J:$J=BC$12)*($H:$H=BC$11), $O:$O)), $O:$O, 0), 1))) * 100, "")</f>
        <v>42.984378879116811</v>
      </c>
      <c r="BM24" s="17" cm="1">
        <f t="array" ref="BM24">INDEX($O:$O,MATCH(MIN(IF(($A:$A=$V24)*($B:$B=$W24)*($J:$J=BM$12)*($H:$H=BM$11),$O:$O)),$O:$O,0),1)</f>
        <v>20.807300999999999</v>
      </c>
      <c r="BN24" s="8" cm="1">
        <f t="array" ref="BN24">INDEX($P:$P,MATCH(MIN(IF(($A:$A=$V24)*($B:$B=$W24)*($J:$J=BM$12)*($H:$H=BM$11),$O:$O)),$O:$O,0),1)</f>
        <v>1.264</v>
      </c>
      <c r="BO24" s="30" t="b">
        <f t="shared" si="26"/>
        <v>1</v>
      </c>
      <c r="BP24" s="30">
        <f t="shared" si="27"/>
        <v>347.44887936210472</v>
      </c>
      <c r="BQ24" s="30" t="b">
        <f t="shared" si="28"/>
        <v>1</v>
      </c>
      <c r="BR24" s="30">
        <f t="shared" si="29"/>
        <v>0.58856590770710726</v>
      </c>
      <c r="BS24" s="30" t="b">
        <f t="shared" si="30"/>
        <v>1</v>
      </c>
      <c r="BT24" s="8">
        <f t="shared" si="31"/>
        <v>347.44887936210472</v>
      </c>
      <c r="BU24" s="8" t="str" cm="1">
        <f t="array" ref="BU24">INDEX($I:$I,MATCH(MIN(IF(($A:$A=$V24)*($B:$B=$W24)*($J:$J=BM$12)*($H:$H=BM$11),$O:$O)),$O:$O,0),1)</f>
        <v>RULE</v>
      </c>
      <c r="BV24" s="8" cm="1">
        <f t="array" ref="BV24">IF(AVERAGEIFS($O:$O, $A:$A, $V24, $B:$B, $W24, $J:$J, BM$12, $H:$H, BM$11, $O:$O, "&lt;&gt;" &amp; INDEX($O:$O, MATCH(MIN(IF(($A:$A=$V24)*($B:$B=$W24)*($J:$J=BM$12)*($H:$H=BM$11), $O:$O)), $O:$O, 0), 1)) &lt;&gt; 0, ABS((INDEX($O:$O, MATCH(MIN(IF(($A:$A=$V24)*($B:$B=$W24)*($J:$J=BM$12)*($H:$H=BM$11), $O:$O)), $O:$O, 0), 1) - AVERAGEIFS($O:$O, $A:$A, $V24, $B:$B, $W24, $J:$J, BM$12, $H:$H, BM$11, $O:$O, "&lt;&gt;" &amp; INDEX($O:$O, MATCH(MIN(IF(($A:$A=$V24)*($B:$B=$W24)*($J:$J=BM$12)*($H:$H=BM$11), $O:$O)), $O:$O, 0), 1))) / AVERAGEIFS($O:$O, $A:$A, $V24, $B:$B, $W24, $J:$J, BM$12, $H:$H, BM$11, $O:$O, "&lt;&gt;" &amp; INDEX($O:$O, MATCH(MIN(IF(($A:$A=$V24)*($B:$B=$W24)*($J:$J=BM$12)*($H:$H=BM$11), $O:$O)), $O:$O, 0), 1))) * 100, "")</f>
        <v>90.080362868015811</v>
      </c>
      <c r="BW24" s="17" cm="1">
        <f t="array" ref="BW24">INDEX($O:$O,MATCH(MIN(IF(($A:$A=$V24)*($B:$B=$W24)*($J:$J=BW$12)*($H:$H=BW$11),$O:$O)),$O:$O,0),1)</f>
        <v>36.999102999999998</v>
      </c>
      <c r="BX24" s="8" cm="1">
        <f t="array" ref="BX24">INDEX($P:$P,MATCH(MIN(IF(($A:$A=$V24)*($B:$B=$W24)*($J:$J=BW$12)*($H:$H=BW$11),$O:$O)),$O:$O,0),1)</f>
        <v>1.9710000000000001</v>
      </c>
      <c r="BY24" s="19" t="b">
        <f>ABS(BW24-VLOOKUP($V24, $V$2:AB$10, 4, FALSE))&gt;MAX(BX24, VLOOKUP($V24, $V$2:$AB$10, 5, FALSE))</f>
        <v>1</v>
      </c>
      <c r="BZ24" s="19">
        <f t="shared" si="32"/>
        <v>195.39591040896318</v>
      </c>
      <c r="CA24" s="19" t="b">
        <f t="shared" si="33"/>
        <v>1</v>
      </c>
      <c r="CB24" s="19">
        <f t="shared" si="34"/>
        <v>0.33099364598109315</v>
      </c>
      <c r="CC24" s="19" t="b">
        <f t="shared" si="35"/>
        <v>1</v>
      </c>
      <c r="CD24" s="19">
        <f t="shared" si="36"/>
        <v>195.39591040896318</v>
      </c>
      <c r="CE24" s="8" t="str" cm="1">
        <f t="array" ref="CE24">INDEX($I:$I,MATCH(MIN(IF(($A:$A=$V24)*($B:$B=$W24)*($J:$J=BW$12)*($H:$H=BW$11),$O:$O)),$O:$O,0),1)</f>
        <v>ALL</v>
      </c>
      <c r="CF24" s="8" cm="1">
        <f t="array" ref="CF24">IF(AVERAGEIFS($O:$O, $A:$A, $V24, $B:$B, $W24, $J:$J, BW$12, $H:$H, BW$11, $O:$O, "&lt;&gt;" &amp; INDEX($O:$O, MATCH(MIN(IF(($A:$A=$V24)*($B:$B=$W24)*($J:$J=BW$12)*($H:$H=BW$11), $O:$O)), $O:$O, 0), 1)) &lt;&gt; 0, ABS((INDEX($O:$O, MATCH(MIN(IF(($A:$A=$V24)*($B:$B=$W24)*($J:$J=BW$12)*($H:$H=BW$11), $O:$O)), $O:$O, 0), 1) - AVERAGEIFS($O:$O, $A:$A, $V24, $B:$B, $W24, $J:$J, BW$12, $H:$H, BW$11, $O:$O, "&lt;&gt;" &amp; INDEX($O:$O, MATCH(MIN(IF(($A:$A=$V24)*($B:$B=$W24)*($J:$J=BW$12)*($H:$H=BW$11), $O:$O)), $O:$O, 0), 1))) / AVERAGEIFS($O:$O, $A:$A, $V24, $B:$B, $W24, $J:$J, BW$12, $H:$H, BW$11, $O:$O, "&lt;&gt;" &amp; INDEX($O:$O, MATCH(MIN(IF(($A:$A=$V24)*($B:$B=$W24)*($J:$J=BW$12)*($H:$H=BW$11), $O:$O)), $O:$O, 0), 1))) * 100, "")</f>
        <v>31.720523778285852</v>
      </c>
      <c r="CG24" s="17" cm="1">
        <f t="array" ref="CG24">INDEX($O:$O,MATCH(MIN(IF(($A:$A=$V24)*($B:$B=$W24)*($J:$J=CG$12)*($H:$H=CG$11),$O:$O)),$O:$O,0),1)</f>
        <v>36.32114</v>
      </c>
      <c r="CH24" s="8" cm="1">
        <f t="array" ref="CH24">INDEX($P:$P,MATCH(MIN(IF(($A:$A=$V24)*($B:$B=$W24)*($J:$J=CG$12)*($H:$H=CG$11),$O:$O)),$O:$O,0),1)</f>
        <v>0.72399999999999998</v>
      </c>
      <c r="CI24" s="30" t="b">
        <f>ABS(CG24-VLOOKUP($V24, $V$2:AB$10, 4, FALSE))&gt;MAX(CH24, VLOOKUP($V24, $V$2:$AB$10, 5, FALSE))</f>
        <v>1</v>
      </c>
      <c r="CJ24" s="30">
        <f t="shared" si="37"/>
        <v>199.04313066715417</v>
      </c>
      <c r="CK24" s="30" t="b">
        <f t="shared" si="38"/>
        <v>1</v>
      </c>
      <c r="CL24" s="30">
        <f t="shared" si="39"/>
        <v>0.33717190594788599</v>
      </c>
      <c r="CM24" s="30" t="b">
        <f t="shared" si="40"/>
        <v>1</v>
      </c>
      <c r="CN24" s="30">
        <f t="shared" si="41"/>
        <v>199.04313066715417</v>
      </c>
      <c r="CO24" s="8" t="str" cm="1">
        <f t="array" ref="CO24">INDEX($I:$I,MATCH(MIN(IF(($A:$A=$V24)*($B:$B=$W24)*($J:$J=CG$12)*($H:$H=CG$11),$O:$O)),$O:$O,0),1)</f>
        <v>RULE</v>
      </c>
      <c r="CP24" s="8" cm="1">
        <f t="array" ref="CP24">IF(AVERAGEIFS($O:$O, $A:$A, $V24, $B:$B, $W24, $J:$J, CG$12, $H:$H, CG$11, $O:$O, "&lt;&gt;" &amp; INDEX($O:$O, MATCH(MIN(IF(($A:$A=$V24)*($B:$B=$W24)*($J:$J=CG$12)*($H:$H=CG$11), $O:$O)), $O:$O, 0), 1)) &lt;&gt; 0, ABS((INDEX($O:$O, MATCH(MIN(IF(($A:$A=$V24)*($B:$B=$W24)*($J:$J=CG$12)*($H:$H=CG$11), $O:$O)), $O:$O, 0), 1) - AVERAGEIFS($O:$O, $A:$A, $V24, $B:$B, $W24, $J:$J, CG$12, $H:$H, CG$11, $O:$O, "&lt;&gt;" &amp; INDEX($O:$O, MATCH(MIN(IF(($A:$A=$V24)*($B:$B=$W24)*($J:$J=CG$12)*($H:$H=CG$11), $O:$O)), $O:$O, 0), 1))) / AVERAGEIFS($O:$O, $A:$A, $V24, $B:$B, $W24, $J:$J, CG$12, $H:$H, CG$11, $O:$O, "&lt;&gt;" &amp; INDEX($O:$O, MATCH(MIN(IF(($A:$A=$V24)*($B:$B=$W24)*($J:$J=CG$12)*($H:$H=CG$11), $O:$O)), $O:$O, 0), 1))) * 100, "")</f>
        <v>21.6525968609476</v>
      </c>
      <c r="CQ24" s="17" cm="1">
        <f t="array" ref="CQ24">INDEX($O:$O,MATCH(1,($V24=$A:$A)*($W24=$B:$B)*("interpreted"=$C:$C)*("sel"=$E:$E),0))</f>
        <v>18.349513000000002</v>
      </c>
      <c r="CR24" s="8" cm="1">
        <f t="array" ref="CR24">INDEX($P:$P,MATCH(1,($V24=$A:$A)*($W24=$B:$B)*("interpreted"=$C:$C)*("sel"=$E:$E),0))</f>
        <v>0.44900000000000001</v>
      </c>
      <c r="CS24" s="30" t="b">
        <f>ABS(CQ24-VLOOKUP($V24, $V$2:AL$10, 4, FALSE))&gt;MAX(CR24, VLOOKUP($V24, $V$2:$AB$10, 5, FALSE))</f>
        <v>1</v>
      </c>
      <c r="CT24" s="30">
        <f t="shared" si="42"/>
        <v>393.98720908832837</v>
      </c>
      <c r="CU24" s="30" t="b">
        <f t="shared" si="43"/>
        <v>1</v>
      </c>
      <c r="CV24" s="30">
        <f t="shared" si="44"/>
        <v>0.66740016478911446</v>
      </c>
      <c r="CW24" s="30" t="b">
        <f t="shared" si="45"/>
        <v>1</v>
      </c>
      <c r="CX24" s="30">
        <f t="shared" si="46"/>
        <v>393.98720908832837</v>
      </c>
    </row>
    <row r="25" spans="1:102" x14ac:dyDescent="0.2">
      <c r="A25" s="15" t="s">
        <v>14</v>
      </c>
      <c r="B25" s="15" t="s">
        <v>65</v>
      </c>
      <c r="C25" s="15" t="s">
        <v>27</v>
      </c>
      <c r="D25" s="15" t="s">
        <v>17</v>
      </c>
      <c r="E25" s="15" t="s">
        <v>28</v>
      </c>
      <c r="F25" s="15"/>
      <c r="G25" s="15">
        <v>0</v>
      </c>
      <c r="H25" s="15" t="s">
        <v>29</v>
      </c>
      <c r="I25" s="15" t="s">
        <v>74</v>
      </c>
      <c r="J25" s="15" t="s">
        <v>30</v>
      </c>
      <c r="K25" s="15"/>
      <c r="L25" s="15" t="s">
        <v>19</v>
      </c>
      <c r="M25" s="15">
        <v>1</v>
      </c>
      <c r="N25" s="15">
        <v>10</v>
      </c>
      <c r="O25" s="15">
        <v>0.35665400000000003</v>
      </c>
      <c r="P25" s="15">
        <v>3.0000000000000001E-3</v>
      </c>
      <c r="Q25" s="15" t="s">
        <v>20</v>
      </c>
      <c r="R25" s="8" t="str">
        <f t="shared" si="0"/>
        <v>jit-sel-async-RULE-bytecode</v>
      </c>
      <c r="V25" s="8" t="s">
        <v>40</v>
      </c>
      <c r="W25" s="14" t="s">
        <v>15</v>
      </c>
      <c r="X25" s="17" cm="1">
        <f t="array" ref="X25">INDEX($O:$O,MATCH(1,($V25=$A:$A)*($W25=$B:$B)*("interpreted"=$C:$C)*("unordered"=$E:$E),0))</f>
        <v>7.5042030000000004</v>
      </c>
      <c r="Y25" s="8" cm="1">
        <f t="array" ref="Y25">INDEX($P:$P,MATCH(1,($V25=$A:$A)*($W25=$B:$B)*("interpreted"=$C:$C)*("unordered"=$E:$E),0))</f>
        <v>0.22700000000000001</v>
      </c>
      <c r="Z25" s="8" t="str" cm="1">
        <f t="array" ref="Z25">INDEX($R:$R, MATCH(MIN(IF(($A:$A=$V25)*($B:$B=$W25), $O:$O)), $O:$O, 0), 1)</f>
        <v>interpreted-sel---</v>
      </c>
      <c r="AA25" s="17" cm="1">
        <f t="array" ref="AA25">INDEX($O:$O, MATCH(MIN(IF(($A:$A=$V25)*($B:$B=$W25), $O:$O)), $O:$O, 0), 1)</f>
        <v>4.0518419999999997</v>
      </c>
      <c r="AB25" s="8" cm="1">
        <f t="array" ref="AB25">INDEX($P:$P, MATCH(MIN(IF(($A:$A=$V25)*($B:$B=$W25), $O:$O)), $O:$O, 0), 1)</f>
        <v>8.4000000000000005E-2</v>
      </c>
      <c r="AC25" s="19" t="b">
        <f t="shared" si="3"/>
        <v>1</v>
      </c>
      <c r="AD25" s="19">
        <f t="shared" si="4"/>
        <v>4190.7288536917285</v>
      </c>
      <c r="AE25" s="19" t="b">
        <f t="shared" si="5"/>
        <v>1</v>
      </c>
      <c r="AF25" s="19">
        <f t="shared" si="6"/>
        <v>1.8520472910839072</v>
      </c>
      <c r="AG25" s="19" t="b">
        <f t="shared" si="7"/>
        <v>1</v>
      </c>
      <c r="AH25" s="19">
        <f t="shared" si="8"/>
        <v>1.8520472910839072</v>
      </c>
      <c r="AI25" s="29" cm="1">
        <f t="array" ref="AI25">INDEX($O:$O,MATCH(MIN(IF(($A:$A=$V25)*($B:$B=$W25)*($J:$J=AI$12)*($H:$H=AI$11),$O:$O)),$O:$O,0),1)</f>
        <v>11.034943</v>
      </c>
      <c r="AJ25" s="14" cm="1">
        <f t="array" ref="AJ25">INDEX($P:$P,MATCH(MIN(IF(($A:$A=$V25)*($B:$B=$W25)*($J:$J=AI$12)*($H:$H=AI$11),$O:$O)),$O:$O,0),1)</f>
        <v>0.81100000000000005</v>
      </c>
      <c r="AK25" s="19" t="b">
        <f t="shared" si="9"/>
        <v>1</v>
      </c>
      <c r="AL25" s="19">
        <f t="shared" si="10"/>
        <v>1538.7638323097819</v>
      </c>
      <c r="AM25" s="19" t="b">
        <f t="shared" si="11"/>
        <v>1</v>
      </c>
      <c r="AN25" s="19">
        <f t="shared" si="12"/>
        <v>0.68004003283025571</v>
      </c>
      <c r="AO25" s="19" t="b">
        <f t="shared" si="13"/>
        <v>1</v>
      </c>
      <c r="AP25" s="19">
        <f t="shared" si="14"/>
        <v>0.68004003283025571</v>
      </c>
      <c r="AQ25" s="14" t="str" cm="1">
        <f t="array" ref="AQ25">INDEX($I:$I,MATCH(MIN(IF(($A:$A=$V25)*($B:$B=$W25)*($J:$J=AI$12)*($H:$H=AI$11),$O:$O)),$O:$O,0),1)</f>
        <v>DELTA</v>
      </c>
      <c r="AR25" s="14" cm="1">
        <f t="array" ref="AR25">IF(AVERAGEIFS($O:$O, $A:$A, $V25, $B:$B, $W25, $J:$J, AI$12, $H:$H, AI$11, $O:$O, "&lt;&gt;" &amp; INDEX($O:$O, MATCH(MIN(IF(($A:$A=$V25)*($B:$B=$W25)*($J:$J=AI$12)*($H:$H=AI$11), $O:$O)), $O:$O, 0), 1)) &lt;&gt; 0, ABS((INDEX($O:$O, MATCH(MIN(IF(($A:$A=$V25)*($B:$B=$W25)*($J:$J=AI$12)*($H:$H=AI$11), $O:$O)), $O:$O, 0), 1) - AVERAGEIFS($O:$O, $A:$A, $V25, $B:$B, $W25, $J:$J, AI$12, $H:$H, AI$11, $O:$O, "&lt;&gt;" &amp; INDEX($O:$O, MATCH(MIN(IF(($A:$A=$V25)*($B:$B=$W25)*($J:$J=AI$12)*($H:$H=AI$11), $O:$O)), $O:$O, 0), 1))) / AVERAGEIFS($O:$O, $A:$A, $V25, $B:$B, $W25, $J:$J, AI$12, $H:$H, AI$11, $O:$O, "&lt;&gt;" &amp; INDEX($O:$O, MATCH(MIN(IF(($A:$A=$V25)*($B:$B=$W25)*($J:$J=AI$12)*($H:$H=AI$11), $O:$O)), $O:$O, 0), 1))) * 100, "")</f>
        <v>41.283362369884905</v>
      </c>
      <c r="AS25" s="29" cm="1">
        <f t="array" ref="AS25">INDEX($O:$O,MATCH(MIN(IF(($A:$A=$V25)*($B:$B=$W25)*($J:$J=AS$12)*($H:$H=AS$11),$O:$O)),$O:$O,0),1)</f>
        <v>11.758088000000001</v>
      </c>
      <c r="AT25" s="14" cm="1">
        <f t="array" ref="AT25">INDEX($P:$P,MATCH(MIN(IF(($A:$A=$V25)*($B:$B=$W25)*($J:$J=AS$12)*($H:$H=AS$11),$O:$O)),$O:$O,0),1)</f>
        <v>1.167</v>
      </c>
      <c r="AU25" s="30" t="b">
        <f>ABS(AS25-VLOOKUP($V25, $V$2:AT$10, 4, FALSE))&gt;MAX(AT25, VLOOKUP($V25, $V$2:$AB$10, 5, FALSE))</f>
        <v>1</v>
      </c>
      <c r="AV25" s="30">
        <f t="shared" si="15"/>
        <v>1444.1269005641054</v>
      </c>
      <c r="AW25" s="30" t="b">
        <f t="shared" si="16"/>
        <v>1</v>
      </c>
      <c r="AX25" s="30">
        <f t="shared" si="17"/>
        <v>0.63821626441305768</v>
      </c>
      <c r="AY25" s="30" t="b">
        <f t="shared" si="18"/>
        <v>1</v>
      </c>
      <c r="AZ25" s="30">
        <f t="shared" si="19"/>
        <v>0.63821626441305768</v>
      </c>
      <c r="BA25" s="8" t="str" cm="1">
        <f t="array" ref="BA25">INDEX($I:$I,MATCH(MIN(IF(($A:$A=$V25)*($B:$B=$W25)*($J:$J=AS$12)*($H:$H=AS$11),$O:$O)),$O:$O,0),1)</f>
        <v>ALL</v>
      </c>
      <c r="BB25" s="8" cm="1">
        <f t="array" ref="BB25">IF(AVERAGEIFS($O:$O, $A:$A, $V25, $B:$B, $W25, $J:$J, AS$12, $H:$H, AS$11, $O:$O, "&lt;&gt;" &amp; INDEX($O:$O, MATCH(MIN(IF(($A:$A=$V25)*($B:$B=$W25)*($J:$J=AS$12)*($H:$H=AS$11), $O:$O)), $O:$O, 0), 1)) &lt;&gt; 0, ABS((INDEX($O:$O, MATCH(MIN(IF(($A:$A=$V25)*($B:$B=$W25)*($J:$J=AS$12)*($H:$H=AS$11), $O:$O)), $O:$O, 0), 1) - AVERAGEIFS($O:$O, $A:$A, $V25, $B:$B, $W25, $J:$J, AS$12, $H:$H, AS$11, $O:$O, "&lt;&gt;" &amp; INDEX($O:$O, MATCH(MIN(IF(($A:$A=$V25)*($B:$B=$W25)*($J:$J=AS$12)*($H:$H=AS$11), $O:$O)), $O:$O, 0), 1))) / AVERAGEIFS($O:$O, $A:$A, $V25, $B:$B, $W25, $J:$J, AS$12, $H:$H, AS$11, $O:$O, "&lt;&gt;" &amp; INDEX($O:$O, MATCH(MIN(IF(($A:$A=$V25)*($B:$B=$W25)*($J:$J=AS$12)*($H:$H=AS$11), $O:$O)), $O:$O, 0), 1))) * 100, "")</f>
        <v>30.571505662073346</v>
      </c>
      <c r="BC25" s="17" cm="1">
        <f t="array" ref="BC25">INDEX($O:$O,MATCH(MIN(IF(($A:$A=$V25)*($B:$B=$W25)*($J:$J=BC$12)*($H:$H=BC$11),$O:$O)),$O:$O,0),1)</f>
        <v>6.6517189999999999</v>
      </c>
      <c r="BD25" s="8" cm="1">
        <f t="array" ref="BD25">INDEX($P:$P,MATCH(MIN(IF(($A:$A=$V25)*($B:$B=$W25)*($J:$J=BC$12)*($H:$H=BC$11),$O:$O)),$O:$O,0),1)</f>
        <v>0.20100000000000001</v>
      </c>
      <c r="BE25" s="30" t="b">
        <f t="shared" si="20"/>
        <v>1</v>
      </c>
      <c r="BF25" s="30">
        <f t="shared" si="21"/>
        <v>2552.7493238965749</v>
      </c>
      <c r="BG25" s="30" t="b">
        <f t="shared" si="22"/>
        <v>1</v>
      </c>
      <c r="BH25" s="30">
        <f t="shared" si="23"/>
        <v>1.1281599538405036</v>
      </c>
      <c r="BI25" s="30" t="b">
        <f t="shared" si="24"/>
        <v>1</v>
      </c>
      <c r="BJ25" s="30">
        <f t="shared" si="25"/>
        <v>1.1281599538405036</v>
      </c>
      <c r="BK25" s="8" t="str" cm="1">
        <f t="array" ref="BK25">INDEX($I:$I,MATCH(MIN(IF(($A:$A=$V25)*($B:$B=$W25)*($J:$J=BC$12)*($H:$H=BC$11),$O:$O)),$O:$O,0),1)</f>
        <v>DELTA</v>
      </c>
      <c r="BL25" s="8" cm="1">
        <f t="array" ref="BL25">IF(AVERAGEIFS($O:$O, $A:$A, $V25, $B:$B, $W25, $J:$J, BC$12, $H:$H, BC$11, $O:$O, "&lt;&gt;" &amp; INDEX($O:$O, MATCH(MIN(IF(($A:$A=$V25)*($B:$B=$W25)*($J:$J=BC$12)*($H:$H=BC$11), $O:$O)), $O:$O, 0), 1)) &lt;&gt; 0, ABS((INDEX($O:$O, MATCH(MIN(IF(($A:$A=$V25)*($B:$B=$W25)*($J:$J=BC$12)*($H:$H=BC$11), $O:$O)), $O:$O, 0), 1) - AVERAGEIFS($O:$O, $A:$A, $V25, $B:$B, $W25, $J:$J, BC$12, $H:$H, BC$11, $O:$O, "&lt;&gt;" &amp; INDEX($O:$O, MATCH(MIN(IF(($A:$A=$V25)*($B:$B=$W25)*($J:$J=BC$12)*($H:$H=BC$11), $O:$O)), $O:$O, 0), 1))) / AVERAGEIFS($O:$O, $A:$A, $V25, $B:$B, $W25, $J:$J, BC$12, $H:$H, BC$11, $O:$O, "&lt;&gt;" &amp; INDEX($O:$O, MATCH(MIN(IF(($A:$A=$V25)*($B:$B=$W25)*($J:$J=BC$12)*($H:$H=BC$11), $O:$O)), $O:$O, 0), 1))) * 100, "")</f>
        <v>50.255292665591355</v>
      </c>
      <c r="BM25" s="17" cm="1">
        <f t="array" ref="BM25">INDEX($O:$O,MATCH(MIN(IF(($A:$A=$V25)*($B:$B=$W25)*($J:$J=BM$12)*($H:$H=BM$11),$O:$O)),$O:$O,0),1)</f>
        <v>7.4986490000000003</v>
      </c>
      <c r="BN25" s="8" cm="1">
        <f t="array" ref="BN25">INDEX($P:$P,MATCH(MIN(IF(($A:$A=$V25)*($B:$B=$W25)*($J:$J=BM$12)*($H:$H=BM$11),$O:$O)),$O:$O,0),1)</f>
        <v>1.597</v>
      </c>
      <c r="BO25" s="30" t="b">
        <f t="shared" si="26"/>
        <v>1</v>
      </c>
      <c r="BP25" s="30">
        <f t="shared" si="27"/>
        <v>2264.4307234543185</v>
      </c>
      <c r="BQ25" s="30" t="b">
        <f t="shared" si="28"/>
        <v>0</v>
      </c>
      <c r="BR25" s="30">
        <f t="shared" si="29"/>
        <v>1.0007406667521044</v>
      </c>
      <c r="BS25" s="30" t="b">
        <f t="shared" si="30"/>
        <v>0</v>
      </c>
      <c r="BT25" s="8">
        <f t="shared" si="31"/>
        <v>1.0007406667521044</v>
      </c>
      <c r="BU25" s="8" t="str" cm="1">
        <f t="array" ref="BU25">INDEX($I:$I,MATCH(MIN(IF(($A:$A=$V25)*($B:$B=$W25)*($J:$J=BM$12)*($H:$H=BM$11),$O:$O)),$O:$O,0),1)</f>
        <v>RULE</v>
      </c>
      <c r="BV25" s="8" cm="1">
        <f t="array" ref="BV25">IF(AVERAGEIFS($O:$O, $A:$A, $V25, $B:$B, $W25, $J:$J, BM$12, $H:$H, BM$11, $O:$O, "&lt;&gt;" &amp; INDEX($O:$O, MATCH(MIN(IF(($A:$A=$V25)*($B:$B=$W25)*($J:$J=BM$12)*($H:$H=BM$11), $O:$O)), $O:$O, 0), 1)) &lt;&gt; 0, ABS((INDEX($O:$O, MATCH(MIN(IF(($A:$A=$V25)*($B:$B=$W25)*($J:$J=BM$12)*($H:$H=BM$11), $O:$O)), $O:$O, 0), 1) - AVERAGEIFS($O:$O, $A:$A, $V25, $B:$B, $W25, $J:$J, BM$12, $H:$H, BM$11, $O:$O, "&lt;&gt;" &amp; INDEX($O:$O, MATCH(MIN(IF(($A:$A=$V25)*($B:$B=$W25)*($J:$J=BM$12)*($H:$H=BM$11), $O:$O)), $O:$O, 0), 1))) / AVERAGEIFS($O:$O, $A:$A, $V25, $B:$B, $W25, $J:$J, BM$12, $H:$H, BM$11, $O:$O, "&lt;&gt;" &amp; INDEX($O:$O, MATCH(MIN(IF(($A:$A=$V25)*($B:$B=$W25)*($J:$J=BM$12)*($H:$H=BM$11), $O:$O)), $O:$O, 0), 1))) * 100, "")</f>
        <v>90.561780937731399</v>
      </c>
      <c r="BW25" s="17" cm="1">
        <f t="array" ref="BW25">INDEX($O:$O,MATCH(MIN(IF(($A:$A=$V25)*($B:$B=$W25)*($J:$J=BW$12)*($H:$H=BW$11),$O:$O)),$O:$O,0),1)</f>
        <v>7.6676650000000004</v>
      </c>
      <c r="BX25" s="8" cm="1">
        <f t="array" ref="BX25">INDEX($P:$P,MATCH(MIN(IF(($A:$A=$V25)*($B:$B=$W25)*($J:$J=BW$12)*($H:$H=BW$11),$O:$O)),$O:$O,0),1)</f>
        <v>0.44400000000000001</v>
      </c>
      <c r="BY25" s="19" t="b">
        <f>ABS(BW25-VLOOKUP($V25, $V$2:AB$10, 4, FALSE))&gt;MAX(BX25, VLOOKUP($V25, $V$2:$AB$10, 5, FALSE))</f>
        <v>1</v>
      </c>
      <c r="BZ25" s="19">
        <f t="shared" si="32"/>
        <v>2214.5165679512602</v>
      </c>
      <c r="CA25" s="19" t="b">
        <f t="shared" si="33"/>
        <v>0</v>
      </c>
      <c r="CB25" s="19">
        <f t="shared" si="34"/>
        <v>0.97868164558571613</v>
      </c>
      <c r="CC25" s="19" t="b">
        <f t="shared" si="35"/>
        <v>0</v>
      </c>
      <c r="CD25" s="19">
        <f t="shared" si="36"/>
        <v>0.97868164558571613</v>
      </c>
      <c r="CE25" s="8" t="str" cm="1">
        <f t="array" ref="CE25">INDEX($I:$I,MATCH(MIN(IF(($A:$A=$V25)*($B:$B=$W25)*($J:$J=BW$12)*($H:$H=BW$11),$O:$O)),$O:$O,0),1)</f>
        <v>RULE</v>
      </c>
      <c r="CF25" s="8" cm="1">
        <f t="array" ref="CF25">IF(AVERAGEIFS($O:$O, $A:$A, $V25, $B:$B, $W25, $J:$J, BW$12, $H:$H, BW$11, $O:$O, "&lt;&gt;" &amp; INDEX($O:$O, MATCH(MIN(IF(($A:$A=$V25)*($B:$B=$W25)*($J:$J=BW$12)*($H:$H=BW$11), $O:$O)), $O:$O, 0), 1)) &lt;&gt; 0, ABS((INDEX($O:$O, MATCH(MIN(IF(($A:$A=$V25)*($B:$B=$W25)*($J:$J=BW$12)*($H:$H=BW$11), $O:$O)), $O:$O, 0), 1) - AVERAGEIFS($O:$O, $A:$A, $V25, $B:$B, $W25, $J:$J, BW$12, $H:$H, BW$11, $O:$O, "&lt;&gt;" &amp; INDEX($O:$O, MATCH(MIN(IF(($A:$A=$V25)*($B:$B=$W25)*($J:$J=BW$12)*($H:$H=BW$11), $O:$O)), $O:$O, 0), 1))) / AVERAGEIFS($O:$O, $A:$A, $V25, $B:$B, $W25, $J:$J, BW$12, $H:$H, BW$11, $O:$O, "&lt;&gt;" &amp; INDEX($O:$O, MATCH(MIN(IF(($A:$A=$V25)*($B:$B=$W25)*($J:$J=BW$12)*($H:$H=BW$11), $O:$O)), $O:$O, 0), 1))) * 100, "")</f>
        <v>26.272168354493669</v>
      </c>
      <c r="CG25" s="17" cm="1">
        <f t="array" ref="CG25">INDEX($O:$O,MATCH(MIN(IF(($A:$A=$V25)*($B:$B=$W25)*($J:$J=CG$12)*($H:$H=CG$11),$O:$O)),$O:$O,0),1)</f>
        <v>9.4000640000000004</v>
      </c>
      <c r="CH25" s="8" cm="1">
        <f t="array" ref="CH25">INDEX($P:$P,MATCH(MIN(IF(($A:$A=$V25)*($B:$B=$W25)*($J:$J=CG$12)*($H:$H=CG$11),$O:$O)),$O:$O,0),1)</f>
        <v>0.23300000000000001</v>
      </c>
      <c r="CI25" s="30" t="b">
        <f>ABS(CG25-VLOOKUP($V25, $V$2:AB$10, 4, FALSE))&gt;MAX(CH25, VLOOKUP($V25, $V$2:$AB$10, 5, FALSE))</f>
        <v>1</v>
      </c>
      <c r="CJ25" s="30">
        <f t="shared" si="37"/>
        <v>1806.3888905437241</v>
      </c>
      <c r="CK25" s="30" t="b">
        <f t="shared" si="38"/>
        <v>1</v>
      </c>
      <c r="CL25" s="30">
        <f t="shared" si="39"/>
        <v>0.79831403275552171</v>
      </c>
      <c r="CM25" s="30" t="b">
        <f t="shared" si="40"/>
        <v>1</v>
      </c>
      <c r="CN25" s="30">
        <f t="shared" si="41"/>
        <v>0.79831403275552171</v>
      </c>
      <c r="CO25" s="8" t="str" cm="1">
        <f t="array" ref="CO25">INDEX($I:$I,MATCH(MIN(IF(($A:$A=$V25)*($B:$B=$W25)*($J:$J=CG$12)*($H:$H=CG$11),$O:$O)),$O:$O,0),1)</f>
        <v>ALL</v>
      </c>
      <c r="CP25" s="8" cm="1">
        <f t="array" ref="CP25">IF(AVERAGEIFS($O:$O, $A:$A, $V25, $B:$B, $W25, $J:$J, CG$12, $H:$H, CG$11, $O:$O, "&lt;&gt;" &amp; INDEX($O:$O, MATCH(MIN(IF(($A:$A=$V25)*($B:$B=$W25)*($J:$J=CG$12)*($H:$H=CG$11), $O:$O)), $O:$O, 0), 1)) &lt;&gt; 0, ABS((INDEX($O:$O, MATCH(MIN(IF(($A:$A=$V25)*($B:$B=$W25)*($J:$J=CG$12)*($H:$H=CG$11), $O:$O)), $O:$O, 0), 1) - AVERAGEIFS($O:$O, $A:$A, $V25, $B:$B, $W25, $J:$J, CG$12, $H:$H, CG$11, $O:$O, "&lt;&gt;" &amp; INDEX($O:$O, MATCH(MIN(IF(($A:$A=$V25)*($B:$B=$W25)*($J:$J=CG$12)*($H:$H=CG$11), $O:$O)), $O:$O, 0), 1))) / AVERAGEIFS($O:$O, $A:$A, $V25, $B:$B, $W25, $J:$J, CG$12, $H:$H, CG$11, $O:$O, "&lt;&gt;" &amp; INDEX($O:$O, MATCH(MIN(IF(($A:$A=$V25)*($B:$B=$W25)*($J:$J=CG$12)*($H:$H=CG$11), $O:$O)), $O:$O, 0), 1))) * 100, "")</f>
        <v>1.4790720439861511</v>
      </c>
      <c r="CQ25" s="17" cm="1">
        <f t="array" ref="CQ25">INDEX($O:$O,MATCH(1,($V25=$A:$A)*($W25=$B:$B)*("interpreted"=$C:$C)*("sel"=$E:$E),0))</f>
        <v>4.0518419999999997</v>
      </c>
      <c r="CR25" s="8" cm="1">
        <f t="array" ref="CR25">INDEX($P:$P,MATCH(1,($V25=$A:$A)*($W25=$B:$B)*("interpreted"=$C:$C)*("sel"=$E:$E),0))</f>
        <v>8.4000000000000005E-2</v>
      </c>
      <c r="CS25" s="30" t="b">
        <f>ABS(CQ25-VLOOKUP($V25, $V$2:AL$10, 4, FALSE))&gt;MAX(CR25, VLOOKUP($V25, $V$2:$AB$10, 5, FALSE))</f>
        <v>1</v>
      </c>
      <c r="CT25" s="30">
        <f t="shared" si="42"/>
        <v>4190.7288536917285</v>
      </c>
      <c r="CU25" s="30" t="b">
        <f t="shared" si="43"/>
        <v>1</v>
      </c>
      <c r="CV25" s="30">
        <f t="shared" si="44"/>
        <v>1.8520472910839072</v>
      </c>
      <c r="CW25" s="30" t="b">
        <f t="shared" si="45"/>
        <v>1</v>
      </c>
      <c r="CX25" s="30">
        <f t="shared" si="46"/>
        <v>1.8520472910839072</v>
      </c>
    </row>
    <row r="26" spans="1:102" x14ac:dyDescent="0.2">
      <c r="A26" s="15" t="s">
        <v>14</v>
      </c>
      <c r="B26" s="15" t="s">
        <v>65</v>
      </c>
      <c r="C26" s="15" t="s">
        <v>27</v>
      </c>
      <c r="D26" s="15" t="s">
        <v>17</v>
      </c>
      <c r="E26" s="15" t="s">
        <v>28</v>
      </c>
      <c r="F26" s="15"/>
      <c r="G26" s="15">
        <v>0</v>
      </c>
      <c r="H26" s="15" t="s">
        <v>29</v>
      </c>
      <c r="I26" s="15" t="s">
        <v>74</v>
      </c>
      <c r="J26" s="15" t="s">
        <v>31</v>
      </c>
      <c r="K26" s="15"/>
      <c r="L26" s="15" t="s">
        <v>19</v>
      </c>
      <c r="M26" s="15">
        <v>1</v>
      </c>
      <c r="N26" s="15">
        <v>10</v>
      </c>
      <c r="O26" s="15">
        <v>0.40849099999999999</v>
      </c>
      <c r="P26" s="15">
        <v>7.0000000000000001E-3</v>
      </c>
      <c r="Q26" s="15" t="s">
        <v>20</v>
      </c>
      <c r="R26" s="8" t="str">
        <f t="shared" si="0"/>
        <v>jit-sel-async-RULE-lambda</v>
      </c>
      <c r="V26" s="8" t="s">
        <v>40</v>
      </c>
      <c r="W26" s="14" t="s">
        <v>65</v>
      </c>
      <c r="X26" s="17" cm="1">
        <f t="array" ref="X26">INDEX($O:$O,MATCH(1,($V26=$A:$A)*($W26=$B:$B)*("interpreted"=$C:$C)*("unordered"=$E:$E),0))</f>
        <v>16980.171180000001</v>
      </c>
      <c r="Y26" s="8" cm="1">
        <f t="array" ref="Y26">INDEX($P:$P,MATCH(1,($V26=$A:$A)*($W26=$B:$B)*("interpreted"=$C:$C)*("unordered"=$E:$E),0))</f>
        <v>299.3</v>
      </c>
      <c r="Z26" s="8" t="str" cm="1">
        <f t="array" ref="Z26">INDEX($R:$R, MATCH(MIN(IF(($A:$A=$V26)*($B:$B=$W26), $O:$O)), $O:$O, 0), 1)</f>
        <v>jit-sel-blocking-DELTA-lambda</v>
      </c>
      <c r="AA26" s="17" cm="1">
        <f t="array" ref="AA26">INDEX($O:$O, MATCH(MIN(IF(($A:$A=$V26)*($B:$B=$W26), $O:$O)), $O:$O, 0), 1)</f>
        <v>7.0060089999999997</v>
      </c>
      <c r="AB26" s="8" cm="1">
        <f t="array" ref="AB26">INDEX($P:$P, MATCH(MIN(IF(($A:$A=$V26)*($B:$B=$W26), $O:$O)), $O:$O, 0), 1)</f>
        <v>0.76200000000000001</v>
      </c>
      <c r="AC26" s="19" t="b">
        <f t="shared" si="3"/>
        <v>1</v>
      </c>
      <c r="AD26" s="19">
        <f t="shared" si="4"/>
        <v>2423.6582025515527</v>
      </c>
      <c r="AE26" s="19" t="b">
        <f t="shared" si="5"/>
        <v>0</v>
      </c>
      <c r="AF26" s="19">
        <f t="shared" si="6"/>
        <v>1.0711095289771966</v>
      </c>
      <c r="AG26" s="19" t="b">
        <f t="shared" si="7"/>
        <v>1</v>
      </c>
      <c r="AH26" s="19">
        <f t="shared" si="8"/>
        <v>2423.6582025515527</v>
      </c>
      <c r="AI26" s="29" cm="1">
        <f t="array" ref="AI26">INDEX($O:$O,MATCH(MIN(IF(($A:$A=$V26)*($B:$B=$W26)*($J:$J=AI$12)*($H:$H=AI$11),$O:$O)),$O:$O,0),1)</f>
        <v>11.040279</v>
      </c>
      <c r="AJ26" s="14" cm="1">
        <f t="array" ref="AJ26">INDEX($P:$P,MATCH(MIN(IF(($A:$A=$V26)*($B:$B=$W26)*($J:$J=AI$12)*($H:$H=AI$11),$O:$O)),$O:$O,0),1)</f>
        <v>1.2849999999999999</v>
      </c>
      <c r="AK26" s="19" t="b">
        <f t="shared" si="9"/>
        <v>1</v>
      </c>
      <c r="AL26" s="19">
        <f t="shared" si="10"/>
        <v>1538.0201152525224</v>
      </c>
      <c r="AM26" s="19" t="b">
        <f t="shared" si="11"/>
        <v>1</v>
      </c>
      <c r="AN26" s="19">
        <f t="shared" si="12"/>
        <v>0.67971135512064507</v>
      </c>
      <c r="AO26" s="19" t="b">
        <f t="shared" si="13"/>
        <v>1</v>
      </c>
      <c r="AP26" s="19">
        <f t="shared" si="14"/>
        <v>1538.0201152525224</v>
      </c>
      <c r="AQ26" s="14" t="str" cm="1">
        <f t="array" ref="AQ26">INDEX($I:$I,MATCH(MIN(IF(($A:$A=$V26)*($B:$B=$W26)*($J:$J=AI$12)*($H:$H=AI$11),$O:$O)),$O:$O,0),1)</f>
        <v>DELTA</v>
      </c>
      <c r="AR26" s="14" cm="1">
        <f t="array" ref="AR26">IF(AVERAGEIFS($O:$O, $A:$A, $V26, $B:$B, $W26, $J:$J, AI$12, $H:$H, AI$11, $O:$O, "&lt;&gt;" &amp; INDEX($O:$O, MATCH(MIN(IF(($A:$A=$V26)*($B:$B=$W26)*($J:$J=AI$12)*($H:$H=AI$11), $O:$O)), $O:$O, 0), 1)) &lt;&gt; 0, ABS((INDEX($O:$O, MATCH(MIN(IF(($A:$A=$V26)*($B:$B=$W26)*($J:$J=AI$12)*($H:$H=AI$11), $O:$O)), $O:$O, 0), 1) - AVERAGEIFS($O:$O, $A:$A, $V26, $B:$B, $W26, $J:$J, AI$12, $H:$H, AI$11, $O:$O, "&lt;&gt;" &amp; INDEX($O:$O, MATCH(MIN(IF(($A:$A=$V26)*($B:$B=$W26)*($J:$J=AI$12)*($H:$H=AI$11), $O:$O)), $O:$O, 0), 1))) / AVERAGEIFS($O:$O, $A:$A, $V26, $B:$B, $W26, $J:$J, AI$12, $H:$H, AI$11, $O:$O, "&lt;&gt;" &amp; INDEX($O:$O, MATCH(MIN(IF(($A:$A=$V26)*($B:$B=$W26)*($J:$J=AI$12)*($H:$H=AI$11), $O:$O)), $O:$O, 0), 1))) * 100, "")</f>
        <v>55.357768420353729</v>
      </c>
      <c r="AS26" s="29" cm="1">
        <f t="array" ref="AS26">INDEX($O:$O,MATCH(MIN(IF(($A:$A=$V26)*($B:$B=$W26)*($J:$J=AS$12)*($H:$H=AS$11),$O:$O)),$O:$O,0),1)</f>
        <v>11.691063</v>
      </c>
      <c r="AT26" s="14" cm="1">
        <f t="array" ref="AT26">INDEX($P:$P,MATCH(MIN(IF(($A:$A=$V26)*($B:$B=$W26)*($J:$J=AS$12)*($H:$H=AS$11),$O:$O)),$O:$O,0),1)</f>
        <v>0.68</v>
      </c>
      <c r="AU26" s="30" t="b">
        <f>ABS(AS26-VLOOKUP($V26, $V$2:AT$10, 4, FALSE))&gt;MAX(AT26, VLOOKUP($V26, $V$2:$AB$10, 5, FALSE))</f>
        <v>1</v>
      </c>
      <c r="AV26" s="30">
        <f t="shared" si="15"/>
        <v>1452.4060968621932</v>
      </c>
      <c r="AW26" s="30" t="b">
        <f t="shared" si="16"/>
        <v>1</v>
      </c>
      <c r="AX26" s="30">
        <f t="shared" si="17"/>
        <v>0.64187516567141933</v>
      </c>
      <c r="AY26" s="30" t="b">
        <f t="shared" si="18"/>
        <v>1</v>
      </c>
      <c r="AZ26" s="30">
        <f t="shared" si="19"/>
        <v>1452.4060968621932</v>
      </c>
      <c r="BA26" s="8" t="str" cm="1">
        <f t="array" ref="BA26">INDEX($I:$I,MATCH(MIN(IF(($A:$A=$V26)*($B:$B=$W26)*($J:$J=AS$12)*($H:$H=AS$11),$O:$O)),$O:$O,0),1)</f>
        <v>ALL</v>
      </c>
      <c r="BB26" s="8" cm="1">
        <f t="array" ref="BB26">IF(AVERAGEIFS($O:$O, $A:$A, $V26, $B:$B, $W26, $J:$J, AS$12, $H:$H, AS$11, $O:$O, "&lt;&gt;" &amp; INDEX($O:$O, MATCH(MIN(IF(($A:$A=$V26)*($B:$B=$W26)*($J:$J=AS$12)*($H:$H=AS$11), $O:$O)), $O:$O, 0), 1)) &lt;&gt; 0, ABS((INDEX($O:$O, MATCH(MIN(IF(($A:$A=$V26)*($B:$B=$W26)*($J:$J=AS$12)*($H:$H=AS$11), $O:$O)), $O:$O, 0), 1) - AVERAGEIFS($O:$O, $A:$A, $V26, $B:$B, $W26, $J:$J, AS$12, $H:$H, AS$11, $O:$O, "&lt;&gt;" &amp; INDEX($O:$O, MATCH(MIN(IF(($A:$A=$V26)*($B:$B=$W26)*($J:$J=AS$12)*($H:$H=AS$11), $O:$O)), $O:$O, 0), 1))) / AVERAGEIFS($O:$O, $A:$A, $V26, $B:$B, $W26, $J:$J, AS$12, $H:$H, AS$11, $O:$O, "&lt;&gt;" &amp; INDEX($O:$O, MATCH(MIN(IF(($A:$A=$V26)*($B:$B=$W26)*($J:$J=AS$12)*($H:$H=AS$11), $O:$O)), $O:$O, 0), 1))) * 100, "")</f>
        <v>40.880436801762642</v>
      </c>
      <c r="BC26" s="17" cm="1">
        <f t="array" ref="BC26">INDEX($O:$O,MATCH(MIN(IF(($A:$A=$V26)*($B:$B=$W26)*($J:$J=BC$12)*($H:$H=BC$11),$O:$O)),$O:$O,0),1)</f>
        <v>7.0060089999999997</v>
      </c>
      <c r="BD26" s="8" cm="1">
        <f t="array" ref="BD26">INDEX($P:$P,MATCH(MIN(IF(($A:$A=$V26)*($B:$B=$W26)*($J:$J=BC$12)*($H:$H=BC$11),$O:$O)),$O:$O,0),1)</f>
        <v>0.76200000000000001</v>
      </c>
      <c r="BE26" s="30" t="b">
        <f t="shared" si="20"/>
        <v>1</v>
      </c>
      <c r="BF26" s="30">
        <f t="shared" si="21"/>
        <v>2423.6582025515527</v>
      </c>
      <c r="BG26" s="30" t="b">
        <f t="shared" si="22"/>
        <v>0</v>
      </c>
      <c r="BH26" s="30">
        <f t="shared" si="23"/>
        <v>1.0711095289771966</v>
      </c>
      <c r="BI26" s="30" t="b">
        <f t="shared" si="24"/>
        <v>1</v>
      </c>
      <c r="BJ26" s="30">
        <f t="shared" si="25"/>
        <v>2423.6582025515527</v>
      </c>
      <c r="BK26" s="8" t="str" cm="1">
        <f t="array" ref="BK26">INDEX($I:$I,MATCH(MIN(IF(($A:$A=$V26)*($B:$B=$W26)*($J:$J=BC$12)*($H:$H=BC$11),$O:$O)),$O:$O,0),1)</f>
        <v>DELTA</v>
      </c>
      <c r="BL26" s="8" cm="1">
        <f t="array" ref="BL26">IF(AVERAGEIFS($O:$O, $A:$A, $V26, $B:$B, $W26, $J:$J, BC$12, $H:$H, BC$11, $O:$O, "&lt;&gt;" &amp; INDEX($O:$O, MATCH(MIN(IF(($A:$A=$V26)*($B:$B=$W26)*($J:$J=BC$12)*($H:$H=BC$11), $O:$O)), $O:$O, 0), 1)) &lt;&gt; 0, ABS((INDEX($O:$O, MATCH(MIN(IF(($A:$A=$V26)*($B:$B=$W26)*($J:$J=BC$12)*($H:$H=BC$11), $O:$O)), $O:$O, 0), 1) - AVERAGEIFS($O:$O, $A:$A, $V26, $B:$B, $W26, $J:$J, BC$12, $H:$H, BC$11, $O:$O, "&lt;&gt;" &amp; INDEX($O:$O, MATCH(MIN(IF(($A:$A=$V26)*($B:$B=$W26)*($J:$J=BC$12)*($H:$H=BC$11), $O:$O)), $O:$O, 0), 1))) / AVERAGEIFS($O:$O, $A:$A, $V26, $B:$B, $W26, $J:$J, BC$12, $H:$H, BC$11, $O:$O, "&lt;&gt;" &amp; INDEX($O:$O, MATCH(MIN(IF(($A:$A=$V26)*($B:$B=$W26)*($J:$J=BC$12)*($H:$H=BC$11), $O:$O)), $O:$O, 0), 1))) * 100, "")</f>
        <v>52.517930710222352</v>
      </c>
      <c r="BM26" s="17" cm="1">
        <f t="array" ref="BM26">INDEX($O:$O,MATCH(MIN(IF(($A:$A=$V26)*($B:$B=$W26)*($J:$J=BM$12)*($H:$H=BM$11),$O:$O)),$O:$O,0),1)</f>
        <v>10.140947000000001</v>
      </c>
      <c r="BN26" s="8" cm="1">
        <f t="array" ref="BN26">INDEX($P:$P,MATCH(MIN(IF(($A:$A=$V26)*($B:$B=$W26)*($J:$J=BM$12)*($H:$H=BM$11),$O:$O)),$O:$O,0),1)</f>
        <v>0.95</v>
      </c>
      <c r="BO26" s="30" t="b">
        <f t="shared" si="26"/>
        <v>1</v>
      </c>
      <c r="BP26" s="30">
        <f t="shared" si="27"/>
        <v>1674.4167167030851</v>
      </c>
      <c r="BQ26" s="30" t="b">
        <f t="shared" si="28"/>
        <v>1</v>
      </c>
      <c r="BR26" s="30">
        <f t="shared" si="29"/>
        <v>0.73999035790247203</v>
      </c>
      <c r="BS26" s="30" t="b">
        <f t="shared" si="30"/>
        <v>1</v>
      </c>
      <c r="BT26" s="8">
        <f t="shared" si="31"/>
        <v>1674.4167167030851</v>
      </c>
      <c r="BU26" s="8" t="str" cm="1">
        <f t="array" ref="BU26">INDEX($I:$I,MATCH(MIN(IF(($A:$A=$V26)*($B:$B=$W26)*($J:$J=BM$12)*($H:$H=BM$11),$O:$O)),$O:$O,0),1)</f>
        <v>RULE</v>
      </c>
      <c r="BV26" s="8" cm="1">
        <f t="array" ref="BV26">IF(AVERAGEIFS($O:$O, $A:$A, $V26, $B:$B, $W26, $J:$J, BM$12, $H:$H, BM$11, $O:$O, "&lt;&gt;" &amp; INDEX($O:$O, MATCH(MIN(IF(($A:$A=$V26)*($B:$B=$W26)*($J:$J=BM$12)*($H:$H=BM$11), $O:$O)), $O:$O, 0), 1)) &lt;&gt; 0, ABS((INDEX($O:$O, MATCH(MIN(IF(($A:$A=$V26)*($B:$B=$W26)*($J:$J=BM$12)*($H:$H=BM$11), $O:$O)), $O:$O, 0), 1) - AVERAGEIFS($O:$O, $A:$A, $V26, $B:$B, $W26, $J:$J, BM$12, $H:$H, BM$11, $O:$O, "&lt;&gt;" &amp; INDEX($O:$O, MATCH(MIN(IF(($A:$A=$V26)*($B:$B=$W26)*($J:$J=BM$12)*($H:$H=BM$11), $O:$O)), $O:$O, 0), 1))) / AVERAGEIFS($O:$O, $A:$A, $V26, $B:$B, $W26, $J:$J, BM$12, $H:$H, BM$11, $O:$O, "&lt;&gt;" &amp; INDEX($O:$O, MATCH(MIN(IF(($A:$A=$V26)*($B:$B=$W26)*($J:$J=BM$12)*($H:$H=BM$11), $O:$O)), $O:$O, 0), 1))) * 100, "")</f>
        <v>78.383209525881483</v>
      </c>
      <c r="BW26" s="17" cm="1">
        <f t="array" ref="BW26">INDEX($O:$O,MATCH(MIN(IF(($A:$A=$V26)*($B:$B=$W26)*($J:$J=BW$12)*($H:$H=BW$11),$O:$O)),$O:$O,0),1)</f>
        <v>10.55917</v>
      </c>
      <c r="BX26" s="8" cm="1">
        <f t="array" ref="BX26">INDEX($P:$P,MATCH(MIN(IF(($A:$A=$V26)*($B:$B=$W26)*($J:$J=BW$12)*($H:$H=BW$11),$O:$O)),$O:$O,0),1)</f>
        <v>0.36899999999999999</v>
      </c>
      <c r="BY26" s="19" t="b">
        <f>ABS(BW26-VLOOKUP($V26, $V$2:AB$10, 4, FALSE))&gt;MAX(BX26, VLOOKUP($V26, $V$2:$AB$10, 5, FALSE))</f>
        <v>1</v>
      </c>
      <c r="BZ26" s="19">
        <f t="shared" si="32"/>
        <v>1608.0971496812724</v>
      </c>
      <c r="CA26" s="19" t="b">
        <f t="shared" si="33"/>
        <v>1</v>
      </c>
      <c r="CB26" s="19">
        <f t="shared" si="34"/>
        <v>0.71068114255192405</v>
      </c>
      <c r="CC26" s="19" t="b">
        <f t="shared" si="35"/>
        <v>1</v>
      </c>
      <c r="CD26" s="19">
        <f t="shared" si="36"/>
        <v>1608.0971496812724</v>
      </c>
      <c r="CE26" s="8" t="str" cm="1">
        <f t="array" ref="CE26">INDEX($I:$I,MATCH(MIN(IF(($A:$A=$V26)*($B:$B=$W26)*($J:$J=BW$12)*($H:$H=BW$11),$O:$O)),$O:$O,0),1)</f>
        <v>ALL</v>
      </c>
      <c r="CF26" s="8" cm="1">
        <f t="array" ref="CF26">IF(AVERAGEIFS($O:$O, $A:$A, $V26, $B:$B, $W26, $J:$J, BW$12, $H:$H, BW$11, $O:$O, "&lt;&gt;" &amp; INDEX($O:$O, MATCH(MIN(IF(($A:$A=$V26)*($B:$B=$W26)*($J:$J=BW$12)*($H:$H=BW$11), $O:$O)), $O:$O, 0), 1)) &lt;&gt; 0, ABS((INDEX($O:$O, MATCH(MIN(IF(($A:$A=$V26)*($B:$B=$W26)*($J:$J=BW$12)*($H:$H=BW$11), $O:$O)), $O:$O, 0), 1) - AVERAGEIFS($O:$O, $A:$A, $V26, $B:$B, $W26, $J:$J, BW$12, $H:$H, BW$11, $O:$O, "&lt;&gt;" &amp; INDEX($O:$O, MATCH(MIN(IF(($A:$A=$V26)*($B:$B=$W26)*($J:$J=BW$12)*($H:$H=BW$11), $O:$O)), $O:$O, 0), 1))) / AVERAGEIFS($O:$O, $A:$A, $V26, $B:$B, $W26, $J:$J, BW$12, $H:$H, BW$11, $O:$O, "&lt;&gt;" &amp; INDEX($O:$O, MATCH(MIN(IF(($A:$A=$V26)*($B:$B=$W26)*($J:$J=BW$12)*($H:$H=BW$11), $O:$O)), $O:$O, 0), 1))) * 100, "")</f>
        <v>8.4087069224693423</v>
      </c>
      <c r="CG26" s="17" cm="1">
        <f t="array" ref="CG26">INDEX($O:$O,MATCH(MIN(IF(($A:$A=$V26)*($B:$B=$W26)*($J:$J=CG$12)*($H:$H=CG$11),$O:$O)),$O:$O,0),1)</f>
        <v>9.9877359999999999</v>
      </c>
      <c r="CH26" s="8" cm="1">
        <f t="array" ref="CH26">INDEX($P:$P,MATCH(MIN(IF(($A:$A=$V26)*($B:$B=$W26)*($J:$J=CG$12)*($H:$H=CG$11),$O:$O)),$O:$O,0),1)</f>
        <v>0.53500000000000003</v>
      </c>
      <c r="CI26" s="30" t="b">
        <f>ABS(CG26-VLOOKUP($V26, $V$2:AB$10, 4, FALSE))&gt;MAX(CH26, VLOOKUP($V26, $V$2:$AB$10, 5, FALSE))</f>
        <v>1</v>
      </c>
      <c r="CJ26" s="30">
        <f t="shared" si="37"/>
        <v>1700.1021232439466</v>
      </c>
      <c r="CK26" s="30" t="b">
        <f t="shared" si="38"/>
        <v>1</v>
      </c>
      <c r="CL26" s="30">
        <f t="shared" si="39"/>
        <v>0.75134174551670174</v>
      </c>
      <c r="CM26" s="30" t="b">
        <f t="shared" si="40"/>
        <v>1</v>
      </c>
      <c r="CN26" s="30">
        <f t="shared" si="41"/>
        <v>1700.1021232439466</v>
      </c>
      <c r="CO26" s="8" t="str" cm="1">
        <f t="array" ref="CO26">INDEX($I:$I,MATCH(MIN(IF(($A:$A=$V26)*($B:$B=$W26)*($J:$J=CG$12)*($H:$H=CG$11),$O:$O)),$O:$O,0),1)</f>
        <v>ALL</v>
      </c>
      <c r="CP26" s="8" cm="1">
        <f t="array" ref="CP26">IF(AVERAGEIFS($O:$O, $A:$A, $V26, $B:$B, $W26, $J:$J, CG$12, $H:$H, CG$11, $O:$O, "&lt;&gt;" &amp; INDEX($O:$O, MATCH(MIN(IF(($A:$A=$V26)*($B:$B=$W26)*($J:$J=CG$12)*($H:$H=CG$11), $O:$O)), $O:$O, 0), 1)) &lt;&gt; 0, ABS((INDEX($O:$O, MATCH(MIN(IF(($A:$A=$V26)*($B:$B=$W26)*($J:$J=CG$12)*($H:$H=CG$11), $O:$O)), $O:$O, 0), 1) - AVERAGEIFS($O:$O, $A:$A, $V26, $B:$B, $W26, $J:$J, CG$12, $H:$H, CG$11, $O:$O, "&lt;&gt;" &amp; INDEX($O:$O, MATCH(MIN(IF(($A:$A=$V26)*($B:$B=$W26)*($J:$J=CG$12)*($H:$H=CG$11), $O:$O)), $O:$O, 0), 1))) / AVERAGEIFS($O:$O, $A:$A, $V26, $B:$B, $W26, $J:$J, CG$12, $H:$H, CG$11, $O:$O, "&lt;&gt;" &amp; INDEX($O:$O, MATCH(MIN(IF(($A:$A=$V26)*($B:$B=$W26)*($J:$J=CG$12)*($H:$H=CG$11), $O:$O)), $O:$O, 0), 1))) * 100, "")</f>
        <v>6.8283960002317219</v>
      </c>
      <c r="CQ26" s="17" cm="1">
        <f t="array" ref="CQ26">INDEX($O:$O,MATCH(1,($V26=$A:$A)*($W26=$B:$B)*("interpreted"=$C:$C)*("sel"=$E:$E),0))</f>
        <v>8.1355810000000002</v>
      </c>
      <c r="CR26" s="8" cm="1">
        <f t="array" ref="CR26">INDEX($P:$P,MATCH(1,($V26=$A:$A)*($W26=$B:$B)*("interpreted"=$C:$C)*("sel"=$E:$E),0))</f>
        <v>0.186</v>
      </c>
      <c r="CS26" s="30" t="b">
        <f>ABS(CQ26-VLOOKUP($V26, $V$2:AL$10, 4, FALSE))&gt;MAX(CR26, VLOOKUP($V26, $V$2:$AB$10, 5, FALSE))</f>
        <v>1</v>
      </c>
      <c r="CT26" s="30">
        <f t="shared" si="42"/>
        <v>2087.1491759469914</v>
      </c>
      <c r="CU26" s="30" t="b">
        <f t="shared" si="43"/>
        <v>1</v>
      </c>
      <c r="CV26" s="30">
        <f t="shared" si="44"/>
        <v>0.92239300426115856</v>
      </c>
      <c r="CW26" s="30" t="b">
        <f t="shared" si="45"/>
        <v>1</v>
      </c>
      <c r="CX26" s="30">
        <f t="shared" si="46"/>
        <v>2087.1491759469914</v>
      </c>
    </row>
    <row r="27" spans="1:102" x14ac:dyDescent="0.2">
      <c r="A27" s="15" t="s">
        <v>14</v>
      </c>
      <c r="B27" s="15" t="s">
        <v>65</v>
      </c>
      <c r="C27" s="15" t="s">
        <v>27</v>
      </c>
      <c r="D27" s="15" t="s">
        <v>17</v>
      </c>
      <c r="E27" s="15" t="s">
        <v>28</v>
      </c>
      <c r="F27" s="15"/>
      <c r="G27" s="15">
        <v>0</v>
      </c>
      <c r="H27" s="15" t="s">
        <v>29</v>
      </c>
      <c r="I27" s="15" t="s">
        <v>74</v>
      </c>
      <c r="J27" s="15" t="s">
        <v>33</v>
      </c>
      <c r="K27" s="15"/>
      <c r="L27" s="15" t="s">
        <v>19</v>
      </c>
      <c r="M27" s="15">
        <v>1</v>
      </c>
      <c r="N27" s="15">
        <v>10</v>
      </c>
      <c r="O27" s="15">
        <v>0.37779800000000002</v>
      </c>
      <c r="P27" s="15">
        <v>6.0000000000000001E-3</v>
      </c>
      <c r="Q27" s="15" t="s">
        <v>20</v>
      </c>
      <c r="R27" s="8" t="str">
        <f t="shared" si="0"/>
        <v>jit-sel-async-RULE-quotes</v>
      </c>
    </row>
    <row r="28" spans="1:102" x14ac:dyDescent="0.2">
      <c r="A28" s="15" t="s">
        <v>14</v>
      </c>
      <c r="B28" s="15" t="s">
        <v>65</v>
      </c>
      <c r="C28" s="15" t="s">
        <v>27</v>
      </c>
      <c r="D28" s="15" t="s">
        <v>17</v>
      </c>
      <c r="E28" s="15" t="s">
        <v>28</v>
      </c>
      <c r="F28" s="15"/>
      <c r="G28" s="15">
        <v>0</v>
      </c>
      <c r="H28" s="15" t="s">
        <v>39</v>
      </c>
      <c r="I28" s="15" t="s">
        <v>35</v>
      </c>
      <c r="J28" s="15" t="s">
        <v>30</v>
      </c>
      <c r="K28" s="15"/>
      <c r="L28" s="15" t="s">
        <v>19</v>
      </c>
      <c r="M28" s="15">
        <v>1</v>
      </c>
      <c r="N28" s="15">
        <v>10</v>
      </c>
      <c r="O28" s="15">
        <v>0.50322800000000001</v>
      </c>
      <c r="P28" s="15">
        <v>2.1000000000000001E-2</v>
      </c>
      <c r="Q28" s="15" t="s">
        <v>20</v>
      </c>
      <c r="R28" s="8" t="str">
        <f t="shared" si="0"/>
        <v>jit-sel-blocking-ALL-bytecode</v>
      </c>
      <c r="X28" t="s">
        <v>122</v>
      </c>
      <c r="Y28" t="s">
        <v>122</v>
      </c>
      <c r="Z28" t="s">
        <v>122</v>
      </c>
      <c r="AA28" t="s">
        <v>123</v>
      </c>
      <c r="AB28" t="s">
        <v>123</v>
      </c>
      <c r="AC28" t="s">
        <v>123</v>
      </c>
      <c r="AD28" t="s">
        <v>122</v>
      </c>
      <c r="AE28" t="s">
        <v>122</v>
      </c>
      <c r="AF28" t="s">
        <v>122</v>
      </c>
      <c r="AG28" t="s">
        <v>123</v>
      </c>
      <c r="AH28" t="s">
        <v>123</v>
      </c>
      <c r="AI28" t="s">
        <v>123</v>
      </c>
      <c r="AS28" t="s">
        <v>122</v>
      </c>
      <c r="AT28" t="s">
        <v>122</v>
      </c>
      <c r="AU28" t="s">
        <v>122</v>
      </c>
      <c r="AV28" t="s">
        <v>123</v>
      </c>
      <c r="AW28" t="s">
        <v>123</v>
      </c>
      <c r="AX28" t="s">
        <v>123</v>
      </c>
      <c r="AY28" t="s">
        <v>122</v>
      </c>
      <c r="AZ28" t="s">
        <v>122</v>
      </c>
      <c r="BA28" t="s">
        <v>122</v>
      </c>
      <c r="BB28" t="s">
        <v>123</v>
      </c>
      <c r="BC28" t="s">
        <v>123</v>
      </c>
      <c r="BD28" t="s">
        <v>123</v>
      </c>
    </row>
    <row r="29" spans="1:102" x14ac:dyDescent="0.2">
      <c r="A29" s="15" t="s">
        <v>14</v>
      </c>
      <c r="B29" s="15" t="s">
        <v>65</v>
      </c>
      <c r="C29" s="15" t="s">
        <v>27</v>
      </c>
      <c r="D29" s="15" t="s">
        <v>17</v>
      </c>
      <c r="E29" s="15" t="s">
        <v>28</v>
      </c>
      <c r="F29" s="15"/>
      <c r="G29" s="15">
        <v>0</v>
      </c>
      <c r="H29" s="15" t="s">
        <v>39</v>
      </c>
      <c r="I29" s="15" t="s">
        <v>35</v>
      </c>
      <c r="J29" s="15" t="s">
        <v>31</v>
      </c>
      <c r="K29" s="15"/>
      <c r="L29" s="15" t="s">
        <v>19</v>
      </c>
      <c r="M29" s="15">
        <v>1</v>
      </c>
      <c r="N29" s="15">
        <v>10</v>
      </c>
      <c r="O29" s="15">
        <v>0.38037199999999999</v>
      </c>
      <c r="P29" s="15">
        <v>4.0000000000000001E-3</v>
      </c>
      <c r="Q29" s="15" t="s">
        <v>20</v>
      </c>
      <c r="R29" s="8" t="str">
        <f t="shared" si="0"/>
        <v>jit-sel-blocking-ALL-lambda</v>
      </c>
      <c r="V29" s="8"/>
      <c r="W29" s="14"/>
      <c r="X29" s="31" t="s">
        <v>66</v>
      </c>
      <c r="Y29" s="31" t="s">
        <v>66</v>
      </c>
      <c r="Z29" s="31" t="s">
        <v>66</v>
      </c>
      <c r="AA29" s="31" t="s">
        <v>66</v>
      </c>
      <c r="AB29" s="31" t="s">
        <v>66</v>
      </c>
      <c r="AC29" s="31" t="s">
        <v>66</v>
      </c>
      <c r="AD29" s="32" t="s">
        <v>67</v>
      </c>
      <c r="AE29" s="32" t="s">
        <v>67</v>
      </c>
      <c r="AF29" s="32" t="s">
        <v>67</v>
      </c>
      <c r="AG29" s="32" t="s">
        <v>67</v>
      </c>
      <c r="AH29" s="32" t="s">
        <v>67</v>
      </c>
      <c r="AI29" s="32" t="s">
        <v>67</v>
      </c>
      <c r="AJ29" s="32" t="s">
        <v>68</v>
      </c>
      <c r="AK29" s="32" t="s">
        <v>68</v>
      </c>
      <c r="AL29" s="32" t="s">
        <v>68</v>
      </c>
      <c r="AM29" s="5"/>
      <c r="AN29" s="5"/>
      <c r="AO29" s="5"/>
      <c r="AP29" s="5"/>
      <c r="AQ29" s="8"/>
      <c r="AR29" s="14"/>
      <c r="AS29" s="31" t="s">
        <v>66</v>
      </c>
      <c r="AT29" s="31" t="s">
        <v>66</v>
      </c>
      <c r="AU29" s="31" t="s">
        <v>66</v>
      </c>
      <c r="AV29" s="31" t="s">
        <v>66</v>
      </c>
      <c r="AW29" s="31" t="s">
        <v>66</v>
      </c>
      <c r="AX29" s="31" t="s">
        <v>66</v>
      </c>
      <c r="AY29" s="32" t="s">
        <v>67</v>
      </c>
      <c r="AZ29" s="32" t="s">
        <v>67</v>
      </c>
      <c r="BA29" s="32" t="s">
        <v>67</v>
      </c>
      <c r="BB29" s="32" t="s">
        <v>67</v>
      </c>
      <c r="BC29" s="32" t="s">
        <v>67</v>
      </c>
      <c r="BD29" s="32" t="s">
        <v>67</v>
      </c>
      <c r="BE29" s="32" t="s">
        <v>68</v>
      </c>
      <c r="BF29" s="32" t="s">
        <v>68</v>
      </c>
      <c r="BG29" s="32" t="s">
        <v>68</v>
      </c>
    </row>
    <row r="30" spans="1:102" ht="102" x14ac:dyDescent="0.2">
      <c r="A30" s="15" t="s">
        <v>14</v>
      </c>
      <c r="B30" s="15" t="s">
        <v>65</v>
      </c>
      <c r="C30" s="15" t="s">
        <v>27</v>
      </c>
      <c r="D30" s="15" t="s">
        <v>17</v>
      </c>
      <c r="E30" s="15" t="s">
        <v>28</v>
      </c>
      <c r="F30" s="15"/>
      <c r="G30" s="15">
        <v>0</v>
      </c>
      <c r="H30" s="15" t="s">
        <v>39</v>
      </c>
      <c r="I30" s="15" t="s">
        <v>35</v>
      </c>
      <c r="J30" s="15" t="s">
        <v>33</v>
      </c>
      <c r="K30" s="15"/>
      <c r="L30" s="15" t="s">
        <v>19</v>
      </c>
      <c r="M30" s="15">
        <v>1</v>
      </c>
      <c r="N30" s="15">
        <v>10</v>
      </c>
      <c r="O30" s="15">
        <v>1.6165389999999999</v>
      </c>
      <c r="P30" s="15">
        <v>0.157</v>
      </c>
      <c r="Q30" s="15" t="s">
        <v>20</v>
      </c>
      <c r="R30" s="8" t="str">
        <f t="shared" si="0"/>
        <v>jit-sel-blocking-ALL-quotes</v>
      </c>
      <c r="V30" s="8" t="s">
        <v>0</v>
      </c>
      <c r="W30" s="22" t="s">
        <v>124</v>
      </c>
      <c r="X30" s="33" t="s">
        <v>82</v>
      </c>
      <c r="Y30" s="33" t="s">
        <v>83</v>
      </c>
      <c r="Z30" s="34" t="s">
        <v>84</v>
      </c>
      <c r="AA30" s="33" t="s">
        <v>82</v>
      </c>
      <c r="AB30" s="33" t="s">
        <v>83</v>
      </c>
      <c r="AC30" s="34" t="s">
        <v>84</v>
      </c>
      <c r="AD30" s="35" t="s">
        <v>82</v>
      </c>
      <c r="AE30" s="35" t="s">
        <v>83</v>
      </c>
      <c r="AF30" s="35" t="s">
        <v>84</v>
      </c>
      <c r="AG30" s="35" t="s">
        <v>82</v>
      </c>
      <c r="AH30" s="35" t="s">
        <v>83</v>
      </c>
      <c r="AI30" s="35" t="s">
        <v>84</v>
      </c>
      <c r="AJ30" s="35" t="s">
        <v>80</v>
      </c>
      <c r="AK30" s="36" t="s">
        <v>81</v>
      </c>
      <c r="AL30" s="36" t="s">
        <v>73</v>
      </c>
      <c r="AM30" s="3"/>
      <c r="AN30" s="3"/>
      <c r="AO30" s="3"/>
      <c r="AP30" s="3"/>
      <c r="AQ30" s="8" t="s">
        <v>0</v>
      </c>
      <c r="AR30" s="22" t="s">
        <v>114</v>
      </c>
      <c r="AS30" s="33" t="s">
        <v>82</v>
      </c>
      <c r="AT30" s="33" t="s">
        <v>83</v>
      </c>
      <c r="AU30" s="34" t="s">
        <v>84</v>
      </c>
      <c r="AV30" s="33" t="s">
        <v>82</v>
      </c>
      <c r="AW30" s="33" t="s">
        <v>83</v>
      </c>
      <c r="AX30" s="34" t="s">
        <v>84</v>
      </c>
      <c r="AY30" s="35" t="s">
        <v>82</v>
      </c>
      <c r="AZ30" s="35" t="s">
        <v>83</v>
      </c>
      <c r="BA30" s="35" t="s">
        <v>84</v>
      </c>
      <c r="BB30" s="35" t="s">
        <v>82</v>
      </c>
      <c r="BC30" s="35" t="s">
        <v>83</v>
      </c>
      <c r="BD30" s="35" t="s">
        <v>84</v>
      </c>
      <c r="BE30" s="35" t="s">
        <v>80</v>
      </c>
      <c r="BF30" s="36" t="s">
        <v>81</v>
      </c>
      <c r="BG30" s="36" t="s">
        <v>73</v>
      </c>
    </row>
    <row r="31" spans="1:102" x14ac:dyDescent="0.2">
      <c r="A31" s="15" t="s">
        <v>14</v>
      </c>
      <c r="B31" s="15" t="s">
        <v>65</v>
      </c>
      <c r="C31" s="15" t="s">
        <v>27</v>
      </c>
      <c r="D31" s="15" t="s">
        <v>17</v>
      </c>
      <c r="E31" s="15" t="s">
        <v>28</v>
      </c>
      <c r="F31" s="15"/>
      <c r="G31" s="15">
        <v>0</v>
      </c>
      <c r="H31" s="15" t="s">
        <v>39</v>
      </c>
      <c r="I31" s="15" t="s">
        <v>75</v>
      </c>
      <c r="J31" s="15" t="s">
        <v>30</v>
      </c>
      <c r="K31" s="15"/>
      <c r="L31" s="15" t="s">
        <v>19</v>
      </c>
      <c r="M31" s="15">
        <v>1</v>
      </c>
      <c r="N31" s="15">
        <v>10</v>
      </c>
      <c r="O31" s="15">
        <v>0.39790999999999999</v>
      </c>
      <c r="P31" s="15">
        <v>4.0000000000000001E-3</v>
      </c>
      <c r="Q31" s="15" t="s">
        <v>20</v>
      </c>
      <c r="R31" s="8" t="str">
        <f t="shared" si="0"/>
        <v>jit-sel-blocking-DELTA-bytecode</v>
      </c>
      <c r="V31" s="11" t="s">
        <v>111</v>
      </c>
      <c r="W31" s="2">
        <f>AB5</f>
        <v>4.7511160714285712</v>
      </c>
      <c r="X31" s="37">
        <f>AL16</f>
        <v>3.7139395114385421</v>
      </c>
      <c r="Y31" s="37">
        <f>AV16</f>
        <v>3.5146316851664987</v>
      </c>
      <c r="Z31" s="37">
        <f>BF16</f>
        <v>4.2060599407179708</v>
      </c>
      <c r="AA31" s="37">
        <f>AN16</f>
        <v>0.78169833268708799</v>
      </c>
      <c r="AB31" s="37">
        <f>AX16</f>
        <v>0.73974864691312725</v>
      </c>
      <c r="AC31" s="37">
        <f>BH16</f>
        <v>0.88527829619058063</v>
      </c>
      <c r="AD31" s="38">
        <f>BP16</f>
        <v>3.8439851509982943</v>
      </c>
      <c r="AE31" s="38">
        <f>BZ16</f>
        <v>3.6460791777693187</v>
      </c>
      <c r="AF31" s="38">
        <f>CJ16</f>
        <v>4.1771696467509818</v>
      </c>
      <c r="AG31" s="38">
        <f>BR16</f>
        <v>0.8090699307715461</v>
      </c>
      <c r="AH31" s="38">
        <f>CB16</f>
        <v>0.76741530262657021</v>
      </c>
      <c r="AI31" s="38">
        <f>CL16</f>
        <v>0.87919755778456177</v>
      </c>
      <c r="AJ31" s="38">
        <f>CT16</f>
        <v>4.6143562567746601</v>
      </c>
      <c r="AK31" s="38">
        <f>CV16</f>
        <v>0.97121522341322419</v>
      </c>
      <c r="AL31" s="38">
        <f>CX16</f>
        <v>4.6143562567746601</v>
      </c>
      <c r="AQ31" s="11" t="s">
        <v>111</v>
      </c>
      <c r="AR31">
        <f>IF(AA5, AB5, _xlfn.CONCAT("INVALID(", AB5, ")"))</f>
        <v>4.7511160714285712</v>
      </c>
      <c r="AS31">
        <f>IF(AK16, AL16, _xlfn.CONCAT("INVALID(", AL16, ")"))</f>
        <v>3.7139395114385421</v>
      </c>
      <c r="AT31" s="39">
        <f>IF(AU16, AV16, _xlfn.CONCAT("INVALID(", AV16, ")"))</f>
        <v>3.5146316851664987</v>
      </c>
      <c r="AU31" s="39">
        <f>IF(BE16, BF16, _xlfn.CONCAT("INVALID(", BF16, ")"))</f>
        <v>4.2060599407179708</v>
      </c>
      <c r="AV31" s="39">
        <f>IF(AM16, AN16, _xlfn.CONCAT("INVALID(", AN16, ")"))</f>
        <v>0.78169833268708799</v>
      </c>
      <c r="AW31" s="39">
        <f>IF(AW16, AX16, _xlfn.CONCAT("INVALID(", AX16, ")"))</f>
        <v>0.73974864691312725</v>
      </c>
      <c r="AX31" s="39">
        <f>IF(BG16, BH16, _xlfn.CONCAT("INVALID(", BH16, ")"))</f>
        <v>0.88527829619058063</v>
      </c>
      <c r="AY31" s="39">
        <f>IF(BO16, BP16, _xlfn.CONCAT("INVALID(", BP16, ")"))</f>
        <v>3.8439851509982943</v>
      </c>
      <c r="AZ31" s="39">
        <f>IF(BY16, BZ16, _xlfn.CONCAT("INVALID(", BZ16, ")"))</f>
        <v>3.6460791777693187</v>
      </c>
      <c r="BA31" s="39">
        <f>IF(CI16, CJ16, _xlfn.CONCAT("INVALID(", CJ16, ")"))</f>
        <v>4.1771696467509818</v>
      </c>
      <c r="BB31" s="39">
        <f>IF(BQ16, BR16, _xlfn.CONCAT("INVALID(", BR16, ")"))</f>
        <v>0.8090699307715461</v>
      </c>
      <c r="BC31" s="39">
        <f>IF(CA16, CB16, _xlfn.CONCAT("INVALID(", CB16, ")"))</f>
        <v>0.76741530262657021</v>
      </c>
      <c r="BD31" s="39">
        <f>IF(CK16, CL16, _xlfn.CONCAT("INVALID(", CL16, ")"))</f>
        <v>0.87919755778456177</v>
      </c>
      <c r="BE31" s="39">
        <f>IF(CS16, CT16, _xlfn.CONCAT("INVALID(", CT16, ")"))</f>
        <v>4.6143562567746601</v>
      </c>
      <c r="BF31" s="39">
        <f>IF(CU16, CV16, _xlfn.CONCAT("INVALID(", CV16, ")"))</f>
        <v>0.97121522341322419</v>
      </c>
      <c r="BG31" s="39">
        <f>IF(CW16, CX16, _xlfn.CONCAT("INVALID(", CX16, ")"))</f>
        <v>4.6143562567746601</v>
      </c>
    </row>
    <row r="32" spans="1:102" x14ac:dyDescent="0.2">
      <c r="A32" s="15" t="s">
        <v>14</v>
      </c>
      <c r="B32" s="15" t="s">
        <v>65</v>
      </c>
      <c r="C32" s="15" t="s">
        <v>27</v>
      </c>
      <c r="D32" s="15" t="s">
        <v>17</v>
      </c>
      <c r="E32" s="15" t="s">
        <v>28</v>
      </c>
      <c r="F32" s="15"/>
      <c r="G32" s="15">
        <v>0</v>
      </c>
      <c r="H32" s="15" t="s">
        <v>39</v>
      </c>
      <c r="I32" s="15" t="s">
        <v>75</v>
      </c>
      <c r="J32" s="15" t="s">
        <v>31</v>
      </c>
      <c r="K32" s="15"/>
      <c r="L32" s="15" t="s">
        <v>19</v>
      </c>
      <c r="M32" s="15">
        <v>1</v>
      </c>
      <c r="N32" s="15">
        <v>10</v>
      </c>
      <c r="O32" s="15">
        <v>6.0330000000000002E-2</v>
      </c>
      <c r="P32" s="15">
        <v>8.9999999999999998E-4</v>
      </c>
      <c r="Q32" s="15" t="s">
        <v>20</v>
      </c>
      <c r="R32" s="8" t="str">
        <f t="shared" si="0"/>
        <v>jit-sel-blocking-DELTA-lambda</v>
      </c>
      <c r="V32" s="11" t="s">
        <v>78</v>
      </c>
      <c r="W32" s="14">
        <f>AB6</f>
        <v>4.6614858407524773</v>
      </c>
      <c r="X32" s="37">
        <f>AL18</f>
        <v>4.6458291558050924</v>
      </c>
      <c r="Y32" s="37">
        <f>AV18</f>
        <v>4.6753607103218648</v>
      </c>
      <c r="Z32" s="37">
        <f>BF18</f>
        <v>11.708780795957043</v>
      </c>
      <c r="AA32" s="37">
        <f>AN18</f>
        <v>0.99664126729496683</v>
      </c>
      <c r="AB32" s="37">
        <f>AX18</f>
        <v>1.0029764907678338</v>
      </c>
      <c r="AC32" s="37">
        <f>BH18</f>
        <v>2.5118130132659506</v>
      </c>
      <c r="AD32" s="38">
        <f>BP18</f>
        <v>4.932669789227166</v>
      </c>
      <c r="AE32" s="38">
        <f>BZ18</f>
        <v>5.2047062787824325</v>
      </c>
      <c r="AF32" s="38">
        <f>CJ18</f>
        <v>3.9118230551686293</v>
      </c>
      <c r="AG32" s="38">
        <f>BR18</f>
        <v>1.0581754311262508</v>
      </c>
      <c r="AH32" s="38">
        <f>CB18</f>
        <v>1.1165337526676402</v>
      </c>
      <c r="AI32" s="38">
        <f>CL18</f>
        <v>0.83917943522856775</v>
      </c>
      <c r="AJ32" s="38">
        <f>CT18</f>
        <v>5.0523360409965647</v>
      </c>
      <c r="AK32" s="38">
        <f>CV18</f>
        <v>1.0838466990132474</v>
      </c>
      <c r="AL32" s="38">
        <f>CX18</f>
        <v>5.0523360409965647</v>
      </c>
      <c r="AQ32" s="11" t="s">
        <v>78</v>
      </c>
      <c r="AR32">
        <f>IF(AA6, AB6, _xlfn.CONCAT("INVALID(", AB6, ")"))</f>
        <v>4.6614858407524773</v>
      </c>
      <c r="AS32">
        <f>IF(AK18, AL18, _xlfn.CONCAT("INVALID(", AL18, ")"))</f>
        <v>4.6458291558050924</v>
      </c>
      <c r="AT32" s="39">
        <f>IF(AU18, AV18, _xlfn.CONCAT("INVALID(", AV18, ")"))</f>
        <v>4.6753607103218648</v>
      </c>
      <c r="AU32" s="39">
        <f>IF(BE18, BF18, _xlfn.CONCAT("INVALID(", BF18, ")"))</f>
        <v>11.708780795957043</v>
      </c>
      <c r="AV32" s="39" t="str">
        <f>IF(AM18, AN18, _xlfn.CONCAT("INVALID(", AN18, ")"))</f>
        <v>INVALID(0.996641267294967)</v>
      </c>
      <c r="AW32" s="39" t="str">
        <f>IF(AW18, AX18, _xlfn.CONCAT("INVALID(", AX18, ")"))</f>
        <v>INVALID(1.00297649076783)</v>
      </c>
      <c r="AX32" s="39">
        <f>IF(BG18, BH18, _xlfn.CONCAT("INVALID(", BH18, ")"))</f>
        <v>2.5118130132659506</v>
      </c>
      <c r="AY32" s="39">
        <f>IF(BO18, BP18, _xlfn.CONCAT("INVALID(", BP18, ")"))</f>
        <v>4.932669789227166</v>
      </c>
      <c r="AZ32" s="39">
        <f>IF(BY18, BZ18, _xlfn.CONCAT("INVALID(", BZ18, ")"))</f>
        <v>5.2047062787824325</v>
      </c>
      <c r="BA32" s="39">
        <f>IF(CI18, CJ18, _xlfn.CONCAT("INVALID(", CJ18, ")"))</f>
        <v>3.9118230551686293</v>
      </c>
      <c r="BB32" s="39">
        <f>IF(BQ18, BR18, _xlfn.CONCAT("INVALID(", BR18, ")"))</f>
        <v>1.0581754311262508</v>
      </c>
      <c r="BC32" s="39">
        <f>IF(CA18, CB18, _xlfn.CONCAT("INVALID(", CB18, ")"))</f>
        <v>1.1165337526676402</v>
      </c>
      <c r="BD32" s="39">
        <f>IF(CK18, CL18, _xlfn.CONCAT("INVALID(", CL18, ")"))</f>
        <v>0.83917943522856775</v>
      </c>
      <c r="BE32" s="39">
        <f>IF(CS18, CT18, _xlfn.CONCAT("INVALID(", CT18, ")"))</f>
        <v>5.0523360409965647</v>
      </c>
      <c r="BF32" s="39">
        <f>IF(CU18, CV18, _xlfn.CONCAT("INVALID(", CV18, ")"))</f>
        <v>1.0838466990132474</v>
      </c>
      <c r="BG32" s="39">
        <f>IF(CW18, CX18, _xlfn.CONCAT("INVALID(", CX18, ")"))</f>
        <v>5.0523360409965647</v>
      </c>
    </row>
    <row r="33" spans="1:59" x14ac:dyDescent="0.2">
      <c r="A33" s="15" t="s">
        <v>14</v>
      </c>
      <c r="B33" s="15" t="s">
        <v>65</v>
      </c>
      <c r="C33" s="15" t="s">
        <v>27</v>
      </c>
      <c r="D33" s="15" t="s">
        <v>17</v>
      </c>
      <c r="E33" s="15" t="s">
        <v>28</v>
      </c>
      <c r="F33" s="15"/>
      <c r="G33" s="15">
        <v>0</v>
      </c>
      <c r="H33" s="15" t="s">
        <v>39</v>
      </c>
      <c r="I33" s="15" t="s">
        <v>75</v>
      </c>
      <c r="J33" s="15" t="s">
        <v>33</v>
      </c>
      <c r="K33" s="15"/>
      <c r="L33" s="15" t="s">
        <v>19</v>
      </c>
      <c r="M33" s="15">
        <v>1</v>
      </c>
      <c r="N33" s="15">
        <v>10</v>
      </c>
      <c r="O33" s="15">
        <v>0.42938599999999999</v>
      </c>
      <c r="P33" s="15">
        <v>7.0000000000000001E-3</v>
      </c>
      <c r="Q33" s="15" t="s">
        <v>20</v>
      </c>
      <c r="R33" s="8" t="str">
        <f t="shared" si="0"/>
        <v>jit-sel-blocking-DELTA-quotes</v>
      </c>
      <c r="V33" s="11" t="s">
        <v>79</v>
      </c>
      <c r="W33" s="14">
        <f>AB7</f>
        <v>3.2896928300926693</v>
      </c>
      <c r="X33" s="37">
        <f>AL20</f>
        <v>2.2686610474885782</v>
      </c>
      <c r="Y33" s="37">
        <f>AV20</f>
        <v>1.980949294363749</v>
      </c>
      <c r="Z33" s="37">
        <f>BF20</f>
        <v>11.782454787606898</v>
      </c>
      <c r="AA33" s="37">
        <f>AN20</f>
        <v>0.68962701524466363</v>
      </c>
      <c r="AB33" s="37">
        <f>AX20</f>
        <v>0.60216846881352937</v>
      </c>
      <c r="AC33" s="37">
        <f>BH20</f>
        <v>3.5816276461516896</v>
      </c>
      <c r="AD33" s="38">
        <f>BP20</f>
        <v>2.264077369126432</v>
      </c>
      <c r="AE33" s="38">
        <f>BZ20</f>
        <v>2.1232142180453977</v>
      </c>
      <c r="AF33" s="38">
        <f>CJ20</f>
        <v>2.6583873033947762</v>
      </c>
      <c r="AG33" s="38">
        <f>BR20</f>
        <v>0.68823366984772671</v>
      </c>
      <c r="AH33" s="38">
        <f>CB20</f>
        <v>0.64541412457210712</v>
      </c>
      <c r="AI33" s="38">
        <f>CL20</f>
        <v>0.8080959046014915</v>
      </c>
      <c r="AJ33" s="38">
        <f>CT20</f>
        <v>1.6871951097103164</v>
      </c>
      <c r="AK33" s="38">
        <f>CV20</f>
        <v>0.51287314556441088</v>
      </c>
      <c r="AL33" s="38">
        <f>CX20</f>
        <v>1.6871951097103164</v>
      </c>
      <c r="AQ33" s="11" t="s">
        <v>79</v>
      </c>
      <c r="AR33">
        <f>IF(AA7, AB7, _xlfn.CONCAT("INVALID(", AB7, ")"))</f>
        <v>3.2896928300926693</v>
      </c>
      <c r="AS33">
        <f>IF(AK20, AL20, _xlfn.CONCAT("INVALID(", AL20, ")"))</f>
        <v>2.2686610474885782</v>
      </c>
      <c r="AT33" s="39">
        <f>IF(AU20, AV20, _xlfn.CONCAT("INVALID(", AV20, ")"))</f>
        <v>1.980949294363749</v>
      </c>
      <c r="AU33" s="39">
        <f>IF(BE20, BF20, _xlfn.CONCAT("INVALID(", BF20, ")"))</f>
        <v>11.782454787606898</v>
      </c>
      <c r="AV33" s="39">
        <f>IF(AM20, AN20, _xlfn.CONCAT("INVALID(", AN20, ")"))</f>
        <v>0.68962701524466363</v>
      </c>
      <c r="AW33" s="39">
        <f>IF(AW20, AX20, _xlfn.CONCAT("INVALID(", AX20, ")"))</f>
        <v>0.60216846881352937</v>
      </c>
      <c r="AX33" s="39">
        <f>IF(BG20, BH20, _xlfn.CONCAT("INVALID(", BH20, ")"))</f>
        <v>3.5816276461516896</v>
      </c>
      <c r="AY33" s="39">
        <f>IF(BO20, BP20, _xlfn.CONCAT("INVALID(", BP20, ")"))</f>
        <v>2.264077369126432</v>
      </c>
      <c r="AZ33" s="39">
        <f>IF(BY20, BZ20, _xlfn.CONCAT("INVALID(", BZ20, ")"))</f>
        <v>2.1232142180453977</v>
      </c>
      <c r="BA33" s="39">
        <f>IF(CI20, CJ20, _xlfn.CONCAT("INVALID(", CJ20, ")"))</f>
        <v>2.6583873033947762</v>
      </c>
      <c r="BB33" s="39">
        <f>IF(BQ20, BR20, _xlfn.CONCAT("INVALID(", BR20, ")"))</f>
        <v>0.68823366984772671</v>
      </c>
      <c r="BC33" s="39">
        <f>IF(CA20, CB20, _xlfn.CONCAT("INVALID(", CB20, ")"))</f>
        <v>0.64541412457210712</v>
      </c>
      <c r="BD33" s="39">
        <f>IF(CK20, CL20, _xlfn.CONCAT("INVALID(", CL20, ")"))</f>
        <v>0.8080959046014915</v>
      </c>
      <c r="BE33" s="39">
        <f>IF(CS20, CT20, _xlfn.CONCAT("INVALID(", CT20, ")"))</f>
        <v>1.6871951097103164</v>
      </c>
      <c r="BF33" s="39">
        <f>IF(CU20, CV20, _xlfn.CONCAT("INVALID(", CV20, ")"))</f>
        <v>0.51287314556441088</v>
      </c>
      <c r="BG33" s="39">
        <f>IF(CW20, CX20, _xlfn.CONCAT("INVALID(", CX20, ")"))</f>
        <v>1.6871951097103164</v>
      </c>
    </row>
    <row r="34" spans="1:59" x14ac:dyDescent="0.2">
      <c r="A34" s="15" t="s">
        <v>14</v>
      </c>
      <c r="B34" s="15" t="s">
        <v>65</v>
      </c>
      <c r="C34" s="15" t="s">
        <v>27</v>
      </c>
      <c r="D34" s="15" t="s">
        <v>17</v>
      </c>
      <c r="E34" s="15" t="s">
        <v>28</v>
      </c>
      <c r="F34" s="15"/>
      <c r="G34" s="15">
        <v>0</v>
      </c>
      <c r="H34" s="15" t="s">
        <v>39</v>
      </c>
      <c r="I34" s="15" t="s">
        <v>74</v>
      </c>
      <c r="J34" s="15" t="s">
        <v>30</v>
      </c>
      <c r="K34" s="15"/>
      <c r="L34" s="15" t="s">
        <v>19</v>
      </c>
      <c r="M34" s="15">
        <v>1</v>
      </c>
      <c r="N34" s="15">
        <v>10</v>
      </c>
      <c r="O34" s="15">
        <v>0.40303699999999998</v>
      </c>
      <c r="P34" s="15">
        <v>5.0000000000000001E-3</v>
      </c>
      <c r="Q34" s="15" t="s">
        <v>20</v>
      </c>
      <c r="R34" s="8" t="str">
        <f t="shared" si="0"/>
        <v>jit-sel-blocking-RULE-bytecode</v>
      </c>
      <c r="V34" s="11" t="s">
        <v>116</v>
      </c>
      <c r="W34" s="14">
        <f>AB8</f>
        <v>6.7121802363329435</v>
      </c>
      <c r="X34" s="37">
        <f>AL22</f>
        <v>7.1514250138350857</v>
      </c>
      <c r="Y34" s="37">
        <f>AV22</f>
        <v>8.1089497215467876</v>
      </c>
      <c r="Z34" s="37">
        <f>BF22</f>
        <v>13.457563134600365</v>
      </c>
      <c r="AA34" s="37">
        <f>AN22</f>
        <v>1.0654399557277257</v>
      </c>
      <c r="AB34" s="37">
        <f>AX22</f>
        <v>1.2080947525296102</v>
      </c>
      <c r="AC34" s="37">
        <f>BH22</f>
        <v>2.0049466284821662</v>
      </c>
      <c r="AD34" s="38">
        <f>BP22</f>
        <v>8.268495561065345</v>
      </c>
      <c r="AE34" s="38">
        <f>BZ22</f>
        <v>7.7149999999999999</v>
      </c>
      <c r="AF34" s="38">
        <f>CJ22</f>
        <v>7.1376001104667219</v>
      </c>
      <c r="AG34" s="38">
        <f>BR22</f>
        <v>1.2318643525553867</v>
      </c>
      <c r="AH34" s="38">
        <f>CB22</f>
        <v>1.1494029850746268</v>
      </c>
      <c r="AI34" s="38">
        <f>CL22</f>
        <v>1.063380281690141</v>
      </c>
      <c r="AJ34" s="38">
        <f>CT22</f>
        <v>7.7057990459153247</v>
      </c>
      <c r="AK34" s="38">
        <f>CV22</f>
        <v>1.1480322003577816</v>
      </c>
      <c r="AL34" s="38">
        <f>CX22</f>
        <v>7.7057990459153247</v>
      </c>
      <c r="AQ34" s="11" t="s">
        <v>116</v>
      </c>
      <c r="AR34">
        <f>IF(AA8, AB8, _xlfn.CONCAT("INVALID(", AB8, ")"))</f>
        <v>6.7121802363329435</v>
      </c>
      <c r="AS34">
        <f>IF(AK22, AL22, _xlfn.CONCAT("INVALID(", AL22, ")"))</f>
        <v>7.1514250138350857</v>
      </c>
      <c r="AT34" s="39">
        <f>IF(AU22, AV22, _xlfn.CONCAT("INVALID(", AV22, ")"))</f>
        <v>8.1089497215467876</v>
      </c>
      <c r="AU34" s="39">
        <f>IF(BE22, BF22, _xlfn.CONCAT("INVALID(", BF22, ")"))</f>
        <v>13.457563134600365</v>
      </c>
      <c r="AV34" s="39">
        <f>IF(AM22, AN22, _xlfn.CONCAT("INVALID(", AN22, ")"))</f>
        <v>1.0654399557277257</v>
      </c>
      <c r="AW34" s="39">
        <f>IF(AW22, AX22, _xlfn.CONCAT("INVALID(", AX22, ")"))</f>
        <v>1.2080947525296102</v>
      </c>
      <c r="AX34" s="39">
        <f>IF(BG22, BH22, _xlfn.CONCAT("INVALID(", BH22, ")"))</f>
        <v>2.0049466284821662</v>
      </c>
      <c r="AY34" s="39">
        <f>IF(BO22, BP22, _xlfn.CONCAT("INVALID(", BP22, ")"))</f>
        <v>8.268495561065345</v>
      </c>
      <c r="AZ34" s="39">
        <f>IF(BY22, BZ22, _xlfn.CONCAT("INVALID(", BZ22, ")"))</f>
        <v>7.7149999999999999</v>
      </c>
      <c r="BA34" s="39">
        <f>IF(CI22, CJ22, _xlfn.CONCAT("INVALID(", CJ22, ")"))</f>
        <v>7.1376001104667219</v>
      </c>
      <c r="BB34" s="39">
        <f>IF(BQ22, BR22, _xlfn.CONCAT("INVALID(", BR22, ")"))</f>
        <v>1.2318643525553867</v>
      </c>
      <c r="BC34" s="39">
        <f>IF(CA22, CB22, _xlfn.CONCAT("INVALID(", CB22, ")"))</f>
        <v>1.1494029850746268</v>
      </c>
      <c r="BD34" s="39">
        <f>IF(CK22, CL22, _xlfn.CONCAT("INVALID(", CL22, ")"))</f>
        <v>1.063380281690141</v>
      </c>
      <c r="BE34" s="39">
        <f>IF(CS22, CT22, _xlfn.CONCAT("INVALID(", CT22, ")"))</f>
        <v>7.7057990459153247</v>
      </c>
      <c r="BF34" s="39">
        <f>IF(CU22, CV22, _xlfn.CONCAT("INVALID(", CV22, ")"))</f>
        <v>1.1480322003577816</v>
      </c>
      <c r="BG34" s="39">
        <f>IF(CW22, CX22, _xlfn.CONCAT("INVALID(", CX22, ")"))</f>
        <v>7.7057990459153247</v>
      </c>
    </row>
    <row r="35" spans="1:59" x14ac:dyDescent="0.2">
      <c r="A35" s="15" t="s">
        <v>14</v>
      </c>
      <c r="B35" s="15" t="s">
        <v>65</v>
      </c>
      <c r="C35" s="15" t="s">
        <v>27</v>
      </c>
      <c r="D35" s="15" t="s">
        <v>17</v>
      </c>
      <c r="E35" s="15" t="s">
        <v>28</v>
      </c>
      <c r="F35" s="15"/>
      <c r="G35" s="15">
        <v>0</v>
      </c>
      <c r="H35" s="15" t="s">
        <v>39</v>
      </c>
      <c r="I35" s="15" t="s">
        <v>74</v>
      </c>
      <c r="J35" s="15" t="s">
        <v>31</v>
      </c>
      <c r="K35" s="15"/>
      <c r="L35" s="15" t="s">
        <v>19</v>
      </c>
      <c r="M35" s="15">
        <v>1</v>
      </c>
      <c r="N35" s="15">
        <v>10</v>
      </c>
      <c r="O35" s="15">
        <v>0.37165599999999999</v>
      </c>
      <c r="P35" s="15">
        <v>3.0000000000000001E-3</v>
      </c>
      <c r="Q35" s="15" t="s">
        <v>20</v>
      </c>
      <c r="R35" s="8" t="str">
        <f t="shared" si="0"/>
        <v>jit-sel-blocking-RULE-lambda</v>
      </c>
      <c r="V35" s="11" t="s">
        <v>77</v>
      </c>
      <c r="W35" s="14">
        <f>AB4</f>
        <v>25.719920061129724</v>
      </c>
      <c r="X35" s="37">
        <f>AL14</f>
        <v>18.327329080357167</v>
      </c>
      <c r="Y35" s="37">
        <f>AV14</f>
        <v>17.594853107486617</v>
      </c>
      <c r="Z35" s="37">
        <f>BF14</f>
        <v>116.04787004806894</v>
      </c>
      <c r="AA35" s="37">
        <f>AN14</f>
        <v>0.71257332980809251</v>
      </c>
      <c r="AB35" s="37">
        <f>AX14</f>
        <v>0.6840943932044935</v>
      </c>
      <c r="AC35" s="37">
        <f>BH14</f>
        <v>4.5119840875186474</v>
      </c>
      <c r="AD35" s="38">
        <f>BP14</f>
        <v>18.531511548499463</v>
      </c>
      <c r="AE35" s="38">
        <f>BZ14</f>
        <v>19.630140135817907</v>
      </c>
      <c r="AF35" s="38">
        <f>CJ14</f>
        <v>17.70605268948006</v>
      </c>
      <c r="AG35" s="38">
        <f>BR14</f>
        <v>0.72051201965071277</v>
      </c>
      <c r="AH35" s="38">
        <f>CB14</f>
        <v>0.76322710526168214</v>
      </c>
      <c r="AI35" s="38">
        <f>CL14</f>
        <v>0.68841787406015509</v>
      </c>
      <c r="AJ35" s="38">
        <f>CT14</f>
        <v>18.185843903173939</v>
      </c>
      <c r="AK35" s="38">
        <f>CV14</f>
        <v>0.70707233381561074</v>
      </c>
      <c r="AL35" s="38">
        <f>CX14</f>
        <v>18.185843903173939</v>
      </c>
      <c r="AQ35" s="11" t="s">
        <v>77</v>
      </c>
      <c r="AR35">
        <f>IF(AA4, AB4, _xlfn.CONCAT("INVALID(", AB4, ")"))</f>
        <v>25.719920061129724</v>
      </c>
      <c r="AS35">
        <f>IF(AK14, AL14, _xlfn.CONCAT("INVALID(", AL14, ")"))</f>
        <v>18.327329080357167</v>
      </c>
      <c r="AT35" s="39">
        <f>IF(AU14, AV14, _xlfn.CONCAT("INVALID(", AV14, ")"))</f>
        <v>17.594853107486617</v>
      </c>
      <c r="AU35" s="39">
        <f>IF(BE14, BF14, _xlfn.CONCAT("INVALID(", BF14, ")"))</f>
        <v>116.04787004806894</v>
      </c>
      <c r="AV35" s="39">
        <f>IF(AM14, AN14, _xlfn.CONCAT("INVALID(", AN14, ")"))</f>
        <v>0.71257332980809251</v>
      </c>
      <c r="AW35" s="39">
        <f>IF(AW14, AX14, _xlfn.CONCAT("INVALID(", AX14, ")"))</f>
        <v>0.6840943932044935</v>
      </c>
      <c r="AX35" s="39">
        <f>IF(BG14, BH14, _xlfn.CONCAT("INVALID(", BH14, ")"))</f>
        <v>4.5119840875186474</v>
      </c>
      <c r="AY35" s="39">
        <f>IF(BO14, BP14, _xlfn.CONCAT("INVALID(", BP14, ")"))</f>
        <v>18.531511548499463</v>
      </c>
      <c r="AZ35" s="39">
        <f>IF(BY14, BZ14, _xlfn.CONCAT("INVALID(", BZ14, ")"))</f>
        <v>19.630140135817907</v>
      </c>
      <c r="BA35" s="39">
        <f>IF(CI14, CJ14, _xlfn.CONCAT("INVALID(", CJ14, ")"))</f>
        <v>17.70605268948006</v>
      </c>
      <c r="BB35" s="39">
        <f>IF(BQ14, BR14, _xlfn.CONCAT("INVALID(", BR14, ")"))</f>
        <v>0.72051201965071277</v>
      </c>
      <c r="BC35" s="39">
        <f>IF(CA14, CB14, _xlfn.CONCAT("INVALID(", CB14, ")"))</f>
        <v>0.76322710526168214</v>
      </c>
      <c r="BD35" s="39">
        <f>IF(CK14, CL14, _xlfn.CONCAT("INVALID(", CL14, ")"))</f>
        <v>0.68841787406015509</v>
      </c>
      <c r="BE35" s="39">
        <f>IF(CS14, CT14, _xlfn.CONCAT("INVALID(", CT14, ")"))</f>
        <v>18.185843903173939</v>
      </c>
      <c r="BF35" s="39">
        <f>IF(CU14, CV14, _xlfn.CONCAT("INVALID(", CV14, ")"))</f>
        <v>0.70707233381561074</v>
      </c>
      <c r="BG35" s="39">
        <f>IF(CW14, CX14, _xlfn.CONCAT("INVALID(", CX14, ")"))</f>
        <v>18.185843903173939</v>
      </c>
    </row>
    <row r="36" spans="1:59" x14ac:dyDescent="0.2">
      <c r="A36" s="15" t="s">
        <v>14</v>
      </c>
      <c r="B36" s="15" t="s">
        <v>65</v>
      </c>
      <c r="C36" s="15" t="s">
        <v>27</v>
      </c>
      <c r="D36" s="15" t="s">
        <v>17</v>
      </c>
      <c r="E36" s="15" t="s">
        <v>28</v>
      </c>
      <c r="F36" s="15"/>
      <c r="G36" s="15">
        <v>0</v>
      </c>
      <c r="H36" s="15" t="s">
        <v>39</v>
      </c>
      <c r="I36" s="15" t="s">
        <v>74</v>
      </c>
      <c r="J36" s="15" t="s">
        <v>33</v>
      </c>
      <c r="K36" s="15"/>
      <c r="L36" s="15" t="s">
        <v>19</v>
      </c>
      <c r="M36" s="15">
        <v>1</v>
      </c>
      <c r="N36" s="15">
        <v>10</v>
      </c>
      <c r="O36" s="15">
        <v>0.38200699999999999</v>
      </c>
      <c r="P36" s="15">
        <v>4.0000000000000001E-3</v>
      </c>
      <c r="Q36" s="15" t="s">
        <v>20</v>
      </c>
      <c r="R36" s="8" t="str">
        <f t="shared" si="0"/>
        <v>jit-sel-blocking-RULE-quotes</v>
      </c>
      <c r="V36" s="11" t="s">
        <v>112</v>
      </c>
      <c r="W36" s="14">
        <f>AB9</f>
        <v>590.33130327862693</v>
      </c>
      <c r="X36" s="37">
        <f>AL24</f>
        <v>191.83216310286159</v>
      </c>
      <c r="Y36" s="37">
        <f>AV24</f>
        <v>205.26274124991062</v>
      </c>
      <c r="Z36" s="37">
        <f>BF24</f>
        <v>260.52587374328101</v>
      </c>
      <c r="AA36" s="37">
        <f>AN24</f>
        <v>0.32495678619353147</v>
      </c>
      <c r="AB36" s="37">
        <f>AX24</f>
        <v>0.34770770262377543</v>
      </c>
      <c r="AC36" s="37">
        <f>BH24</f>
        <v>0.44132146185769344</v>
      </c>
      <c r="AD36" s="38">
        <f>BP24</f>
        <v>347.44887936210472</v>
      </c>
      <c r="AE36" s="38">
        <f>BZ24</f>
        <v>195.39591040896318</v>
      </c>
      <c r="AF36" s="38">
        <f>CJ24</f>
        <v>199.04313066715417</v>
      </c>
      <c r="AG36" s="38">
        <f>BR24</f>
        <v>0.58856590770710726</v>
      </c>
      <c r="AH36" s="38">
        <f>CB24</f>
        <v>0.33099364598109315</v>
      </c>
      <c r="AI36" s="38">
        <f>CL24</f>
        <v>0.33717190594788599</v>
      </c>
      <c r="AJ36" s="38">
        <f>CT24</f>
        <v>393.98720908832837</v>
      </c>
      <c r="AK36" s="38">
        <f>CV24</f>
        <v>0.66740016478911446</v>
      </c>
      <c r="AL36" s="38">
        <f>CX24</f>
        <v>393.98720908832837</v>
      </c>
      <c r="AQ36" s="11" t="s">
        <v>112</v>
      </c>
      <c r="AR36">
        <f>IF(AA9, AB9, _xlfn.CONCAT("INVALID(", AB9, ")"))</f>
        <v>590.33130327862693</v>
      </c>
      <c r="AS36">
        <f>IF(AK24, AL24, _xlfn.CONCAT("INVALID(", AL24, ")"))</f>
        <v>191.83216310286159</v>
      </c>
      <c r="AT36" s="39">
        <f>IF(AU24, AV24, _xlfn.CONCAT("INVALID(", AV24, ")"))</f>
        <v>205.26274124991062</v>
      </c>
      <c r="AU36" s="39">
        <f>IF(BE24, BF24, _xlfn.CONCAT("INVALID(", BF24, ")"))</f>
        <v>260.52587374328101</v>
      </c>
      <c r="AV36" s="39">
        <f>IF(AM24, AN24, _xlfn.CONCAT("INVALID(", AN24, ")"))</f>
        <v>0.32495678619353147</v>
      </c>
      <c r="AW36" s="39">
        <f>IF(AW24, AX24, _xlfn.CONCAT("INVALID(", AX24, ")"))</f>
        <v>0.34770770262377543</v>
      </c>
      <c r="AX36" s="39">
        <f>IF(BG24, BH24, _xlfn.CONCAT("INVALID(", BH24, ")"))</f>
        <v>0.44132146185769344</v>
      </c>
      <c r="AY36" s="39">
        <f>IF(BO24, BP24, _xlfn.CONCAT("INVALID(", BP24, ")"))</f>
        <v>347.44887936210472</v>
      </c>
      <c r="AZ36" s="39">
        <f>IF(BY24, BZ24, _xlfn.CONCAT("INVALID(", BZ24, ")"))</f>
        <v>195.39591040896318</v>
      </c>
      <c r="BA36" s="39">
        <f>IF(CI24, CJ24, _xlfn.CONCAT("INVALID(", CJ24, ")"))</f>
        <v>199.04313066715417</v>
      </c>
      <c r="BB36" s="39">
        <f>IF(BQ24, BR24, _xlfn.CONCAT("INVALID(", BR24, ")"))</f>
        <v>0.58856590770710726</v>
      </c>
      <c r="BC36" s="39">
        <f>IF(CA24, CB24, _xlfn.CONCAT("INVALID(", CB24, ")"))</f>
        <v>0.33099364598109315</v>
      </c>
      <c r="BD36" s="39">
        <f>IF(CK24, CL24, _xlfn.CONCAT("INVALID(", CL24, ")"))</f>
        <v>0.33717190594788599</v>
      </c>
      <c r="BE36" s="39">
        <f>IF(CS24, CT24, _xlfn.CONCAT("INVALID(", CT24, ")"))</f>
        <v>393.98720908832837</v>
      </c>
      <c r="BF36" s="39">
        <f>IF(CU24, CV24, _xlfn.CONCAT("INVALID(", CV24, ")"))</f>
        <v>0.66740016478911446</v>
      </c>
      <c r="BG36" s="39">
        <f>IF(CW24, CX24, _xlfn.CONCAT("INVALID(", CX24, ")"))</f>
        <v>393.98720908832837</v>
      </c>
    </row>
    <row r="37" spans="1:59" x14ac:dyDescent="0.2">
      <c r="A37" s="15" t="s">
        <v>32</v>
      </c>
      <c r="B37" s="15" t="s">
        <v>15</v>
      </c>
      <c r="C37" s="15" t="s">
        <v>16</v>
      </c>
      <c r="D37" s="15" t="s">
        <v>17</v>
      </c>
      <c r="E37" s="15" t="s">
        <v>28</v>
      </c>
      <c r="F37" s="15"/>
      <c r="G37" s="15">
        <v>0</v>
      </c>
      <c r="H37" s="15"/>
      <c r="I37" s="15"/>
      <c r="J37" s="15"/>
      <c r="K37" s="15"/>
      <c r="L37" s="15" t="s">
        <v>19</v>
      </c>
      <c r="M37" s="15">
        <v>1</v>
      </c>
      <c r="N37" s="15">
        <v>10</v>
      </c>
      <c r="O37" s="15">
        <v>1.0123999999999999E-2</v>
      </c>
      <c r="P37" s="15">
        <v>8.0000000000000007E-5</v>
      </c>
      <c r="Q37" s="15" t="s">
        <v>20</v>
      </c>
      <c r="R37" s="8" t="str">
        <f t="shared" si="0"/>
        <v>interpreted-sel---</v>
      </c>
      <c r="V37" s="11" t="s">
        <v>113</v>
      </c>
      <c r="W37" s="14">
        <f>AB10</f>
        <v>2262.7547762234044</v>
      </c>
      <c r="X37" s="37">
        <f>AL26</f>
        <v>1538.0201152525224</v>
      </c>
      <c r="Y37" s="37">
        <f>AV26</f>
        <v>1452.4060968621932</v>
      </c>
      <c r="Z37" s="37">
        <f>BF26</f>
        <v>2423.6582025515527</v>
      </c>
      <c r="AA37" s="37">
        <f>AN26</f>
        <v>0.67971135512064507</v>
      </c>
      <c r="AB37" s="37">
        <f>AX26</f>
        <v>0.64187516567141933</v>
      </c>
      <c r="AC37" s="37">
        <f>BH26</f>
        <v>1.0711095289771966</v>
      </c>
      <c r="AD37" s="38">
        <f>BP26</f>
        <v>1674.4167167030851</v>
      </c>
      <c r="AE37" s="38">
        <f>BZ26</f>
        <v>1608.0971496812724</v>
      </c>
      <c r="AF37" s="38">
        <f>CJ26</f>
        <v>1700.1021232439466</v>
      </c>
      <c r="AG37" s="38">
        <f>BR26</f>
        <v>0.73999035790247203</v>
      </c>
      <c r="AH37" s="38">
        <f>CB26</f>
        <v>0.71068114255192405</v>
      </c>
      <c r="AI37" s="38">
        <f>CL26</f>
        <v>0.75134174551670174</v>
      </c>
      <c r="AJ37" s="38">
        <f>CT26</f>
        <v>2087.1491759469914</v>
      </c>
      <c r="AK37" s="38">
        <f>CV26</f>
        <v>0.92239300426115856</v>
      </c>
      <c r="AL37" s="38">
        <f>CX26</f>
        <v>2087.1491759469914</v>
      </c>
      <c r="AQ37" s="11" t="s">
        <v>113</v>
      </c>
      <c r="AR37">
        <f>IF(AA10, AB10, _xlfn.CONCAT("INVALID(", AB10, ")"))</f>
        <v>2262.7547762234044</v>
      </c>
      <c r="AS37">
        <f>IF(AK26, AL26, _xlfn.CONCAT("INVALID(", AL26, ")"))</f>
        <v>1538.0201152525224</v>
      </c>
      <c r="AT37" s="39">
        <f>IF(AU26, AV26, _xlfn.CONCAT("INVALID(", AV26, ")"))</f>
        <v>1452.4060968621932</v>
      </c>
      <c r="AU37" s="39">
        <f>IF(BE26, BF26, _xlfn.CONCAT("INVALID(", BF26, ")"))</f>
        <v>2423.6582025515527</v>
      </c>
      <c r="AV37" s="39">
        <f>IF(AM26, AN26, _xlfn.CONCAT("INVALID(", AN26, ")"))</f>
        <v>0.67971135512064507</v>
      </c>
      <c r="AW37" s="39">
        <f>IF(AW26, AX26, _xlfn.CONCAT("INVALID(", AX26, ")"))</f>
        <v>0.64187516567141933</v>
      </c>
      <c r="AX37" s="39" t="str">
        <f>IF(BG26, BH26, _xlfn.CONCAT("INVALID(", BH26, ")"))</f>
        <v>INVALID(1.0711095289772)</v>
      </c>
      <c r="AY37" s="39">
        <f>IF(BO26, BP26, _xlfn.CONCAT("INVALID(", BP26, ")"))</f>
        <v>1674.4167167030851</v>
      </c>
      <c r="AZ37" s="39">
        <f>IF(BY26, BZ26, _xlfn.CONCAT("INVALID(", BZ26, ")"))</f>
        <v>1608.0971496812724</v>
      </c>
      <c r="BA37" s="39">
        <f>IF(CI26, CJ26, _xlfn.CONCAT("INVALID(", CJ26, ")"))</f>
        <v>1700.1021232439466</v>
      </c>
      <c r="BB37" s="39">
        <f>IF(BQ26, BR26, _xlfn.CONCAT("INVALID(", BR26, ")"))</f>
        <v>0.73999035790247203</v>
      </c>
      <c r="BC37" s="39">
        <f>IF(CA26, CB26, _xlfn.CONCAT("INVALID(", CB26, ")"))</f>
        <v>0.71068114255192405</v>
      </c>
      <c r="BD37" s="39">
        <f>IF(CK26, CL26, _xlfn.CONCAT("INVALID(", CL26, ")"))</f>
        <v>0.75134174551670174</v>
      </c>
      <c r="BE37" s="39">
        <f>IF(CS26, CT26, _xlfn.CONCAT("INVALID(", CT26, ")"))</f>
        <v>2087.1491759469914</v>
      </c>
      <c r="BF37" s="39">
        <f>IF(CU26, CV26, _xlfn.CONCAT("INVALID(", CV26, ")"))</f>
        <v>0.92239300426115856</v>
      </c>
      <c r="BG37" s="39">
        <f>IF(CW26, CX26, _xlfn.CONCAT("INVALID(", CX26, ")"))</f>
        <v>2087.1491759469914</v>
      </c>
    </row>
    <row r="38" spans="1:59" x14ac:dyDescent="0.2">
      <c r="A38" s="15" t="s">
        <v>32</v>
      </c>
      <c r="B38" s="15" t="s">
        <v>15</v>
      </c>
      <c r="C38" s="15" t="s">
        <v>16</v>
      </c>
      <c r="D38" s="15" t="s">
        <v>17</v>
      </c>
      <c r="E38" s="15" t="s">
        <v>18</v>
      </c>
      <c r="F38" s="15"/>
      <c r="G38" s="15">
        <v>0</v>
      </c>
      <c r="H38" s="15"/>
      <c r="I38" s="15"/>
      <c r="J38" s="15"/>
      <c r="K38" s="15"/>
      <c r="L38" s="15" t="s">
        <v>19</v>
      </c>
      <c r="M38" s="15">
        <v>1</v>
      </c>
      <c r="N38" s="15">
        <v>10</v>
      </c>
      <c r="O38" s="15">
        <v>8.064E-3</v>
      </c>
      <c r="P38" s="15">
        <v>1E-4</v>
      </c>
      <c r="Q38" s="15" t="s">
        <v>20</v>
      </c>
      <c r="R38" s="8" t="str">
        <f t="shared" si="0"/>
        <v>interpreted-unordered---</v>
      </c>
    </row>
    <row r="39" spans="1:59" ht="85" x14ac:dyDescent="0.2">
      <c r="A39" s="15" t="s">
        <v>32</v>
      </c>
      <c r="B39" s="15" t="s">
        <v>15</v>
      </c>
      <c r="C39" s="15" t="s">
        <v>27</v>
      </c>
      <c r="D39" s="15" t="s">
        <v>17</v>
      </c>
      <c r="E39" s="15" t="s">
        <v>28</v>
      </c>
      <c r="F39" s="15"/>
      <c r="G39" s="15">
        <v>0</v>
      </c>
      <c r="H39" s="15" t="s">
        <v>29</v>
      </c>
      <c r="I39" s="15" t="s">
        <v>35</v>
      </c>
      <c r="J39" s="15" t="s">
        <v>30</v>
      </c>
      <c r="K39" s="15"/>
      <c r="L39" s="15" t="s">
        <v>19</v>
      </c>
      <c r="M39" s="15">
        <v>1</v>
      </c>
      <c r="N39" s="15">
        <v>10</v>
      </c>
      <c r="O39" s="15">
        <v>5.4255999999999999E-2</v>
      </c>
      <c r="P39" s="15">
        <v>8.0000000000000002E-3</v>
      </c>
      <c r="Q39" s="15" t="s">
        <v>20</v>
      </c>
      <c r="R39" s="8" t="str">
        <f t="shared" si="0"/>
        <v>jit-sel-async-ALL-bytecode</v>
      </c>
      <c r="V39" t="s">
        <v>0</v>
      </c>
      <c r="W39" s="22" t="s">
        <v>124</v>
      </c>
      <c r="X39" s="3" t="s">
        <v>125</v>
      </c>
      <c r="Y39" s="3" t="s">
        <v>125</v>
      </c>
      <c r="Z39" s="3" t="s">
        <v>125</v>
      </c>
      <c r="AA39" s="3"/>
      <c r="AH39">
        <f>AVERAGE(AG32:AI37)</f>
        <v>0.79062120233020394</v>
      </c>
      <c r="AQ39" s="8" t="s">
        <v>0</v>
      </c>
      <c r="AR39" s="22" t="s">
        <v>115</v>
      </c>
      <c r="AS39" s="13" t="s">
        <v>85</v>
      </c>
      <c r="AT39" s="13" t="s">
        <v>85</v>
      </c>
      <c r="AU39" s="13" t="s">
        <v>85</v>
      </c>
    </row>
    <row r="40" spans="1:59" x14ac:dyDescent="0.2">
      <c r="A40" s="15" t="s">
        <v>32</v>
      </c>
      <c r="B40" s="15" t="s">
        <v>15</v>
      </c>
      <c r="C40" s="15" t="s">
        <v>27</v>
      </c>
      <c r="D40" s="15" t="s">
        <v>17</v>
      </c>
      <c r="E40" s="15" t="s">
        <v>28</v>
      </c>
      <c r="F40" s="15"/>
      <c r="G40" s="15">
        <v>0</v>
      </c>
      <c r="H40" s="15" t="s">
        <v>29</v>
      </c>
      <c r="I40" s="15" t="s">
        <v>35</v>
      </c>
      <c r="J40" s="15" t="s">
        <v>31</v>
      </c>
      <c r="K40" s="15"/>
      <c r="L40" s="15" t="s">
        <v>19</v>
      </c>
      <c r="M40" s="15">
        <v>1</v>
      </c>
      <c r="N40" s="15">
        <v>10</v>
      </c>
      <c r="O40" s="15">
        <v>1.1128000000000001E-2</v>
      </c>
      <c r="P40" s="15">
        <v>1E-4</v>
      </c>
      <c r="Q40" s="15" t="s">
        <v>20</v>
      </c>
      <c r="R40" s="8" t="str">
        <f t="shared" si="0"/>
        <v>jit-sel-async-ALL-lambda</v>
      </c>
      <c r="V40" s="4" t="s">
        <v>111</v>
      </c>
      <c r="W40" s="14">
        <f>W31</f>
        <v>4.7511160714285712</v>
      </c>
      <c r="X40" s="8">
        <f>AJ31</f>
        <v>4.6143562567746601</v>
      </c>
      <c r="Y40" s="8">
        <f>AK31</f>
        <v>0.97121522341322419</v>
      </c>
      <c r="Z40" s="8">
        <f>AL31</f>
        <v>4.6143562567746601</v>
      </c>
      <c r="AB40" s="8"/>
      <c r="AC40" s="14"/>
      <c r="AD40" s="15"/>
      <c r="AE40" s="15"/>
      <c r="AF40" s="15"/>
      <c r="AH40">
        <f>AVERAGE(AA32:AC37)</f>
        <v>1.2821482805140905</v>
      </c>
      <c r="AQ40" s="11" t="s">
        <v>111</v>
      </c>
      <c r="AR40" s="8"/>
      <c r="AS40" s="8"/>
      <c r="AT40" s="8"/>
      <c r="AU40" s="8"/>
    </row>
    <row r="41" spans="1:59" x14ac:dyDescent="0.2">
      <c r="A41" s="15" t="s">
        <v>32</v>
      </c>
      <c r="B41" s="15" t="s">
        <v>15</v>
      </c>
      <c r="C41" s="15" t="s">
        <v>27</v>
      </c>
      <c r="D41" s="15" t="s">
        <v>17</v>
      </c>
      <c r="E41" s="15" t="s">
        <v>28</v>
      </c>
      <c r="F41" s="15"/>
      <c r="G41" s="15">
        <v>0</v>
      </c>
      <c r="H41" s="15" t="s">
        <v>29</v>
      </c>
      <c r="I41" s="15" t="s">
        <v>35</v>
      </c>
      <c r="J41" s="15" t="s">
        <v>33</v>
      </c>
      <c r="K41" s="15"/>
      <c r="L41" s="15" t="s">
        <v>19</v>
      </c>
      <c r="M41" s="15">
        <v>1</v>
      </c>
      <c r="N41" s="15">
        <v>10</v>
      </c>
      <c r="O41" s="15">
        <v>1.2248E-2</v>
      </c>
      <c r="P41" s="15">
        <v>1E-3</v>
      </c>
      <c r="Q41" s="15" t="s">
        <v>20</v>
      </c>
      <c r="R41" s="8" t="str">
        <f t="shared" si="0"/>
        <v>jit-sel-async-ALL-quotes</v>
      </c>
      <c r="V41" s="4" t="s">
        <v>78</v>
      </c>
      <c r="W41" s="14">
        <f t="shared" ref="W41:W46" si="47">W32</f>
        <v>4.6614858407524773</v>
      </c>
      <c r="X41" s="8">
        <f t="shared" ref="X41:Z46" si="48">AJ32</f>
        <v>5.0523360409965647</v>
      </c>
      <c r="Y41" s="8">
        <f t="shared" si="48"/>
        <v>1.0838466990132474</v>
      </c>
      <c r="Z41" s="8">
        <f t="shared" si="48"/>
        <v>5.0523360409965647</v>
      </c>
      <c r="AB41" s="8"/>
      <c r="AC41" s="14"/>
      <c r="AD41" s="15"/>
      <c r="AE41" s="15"/>
      <c r="AF41" s="15"/>
      <c r="AQ41" s="11" t="s">
        <v>78</v>
      </c>
      <c r="AR41" s="8" t="s">
        <v>121</v>
      </c>
      <c r="AS41" s="8"/>
      <c r="AT41" s="8"/>
      <c r="AU41" s="8"/>
    </row>
    <row r="42" spans="1:59" x14ac:dyDescent="0.2">
      <c r="A42" s="15" t="s">
        <v>32</v>
      </c>
      <c r="B42" s="15" t="s">
        <v>15</v>
      </c>
      <c r="C42" s="15" t="s">
        <v>27</v>
      </c>
      <c r="D42" s="15" t="s">
        <v>17</v>
      </c>
      <c r="E42" s="15" t="s">
        <v>28</v>
      </c>
      <c r="F42" s="15"/>
      <c r="G42" s="15">
        <v>0</v>
      </c>
      <c r="H42" s="15" t="s">
        <v>29</v>
      </c>
      <c r="I42" s="15" t="s">
        <v>74</v>
      </c>
      <c r="J42" s="15" t="s">
        <v>30</v>
      </c>
      <c r="K42" s="15"/>
      <c r="L42" s="15" t="s">
        <v>19</v>
      </c>
      <c r="M42" s="15">
        <v>1</v>
      </c>
      <c r="N42" s="15">
        <v>10</v>
      </c>
      <c r="O42" s="15">
        <v>1.2978E-2</v>
      </c>
      <c r="P42" s="15">
        <v>2.0000000000000001E-4</v>
      </c>
      <c r="Q42" s="15" t="s">
        <v>20</v>
      </c>
      <c r="R42" s="8" t="str">
        <f t="shared" si="0"/>
        <v>jit-sel-async-RULE-bytecode</v>
      </c>
      <c r="V42" s="4" t="s">
        <v>79</v>
      </c>
      <c r="W42" s="14">
        <f t="shared" si="47"/>
        <v>3.2896928300926693</v>
      </c>
      <c r="X42" s="8">
        <f t="shared" si="48"/>
        <v>1.6871951097103164</v>
      </c>
      <c r="Y42" s="8">
        <f t="shared" si="48"/>
        <v>0.51287314556441088</v>
      </c>
      <c r="Z42" s="8">
        <f t="shared" si="48"/>
        <v>1.6871951097103164</v>
      </c>
      <c r="AB42" s="8"/>
      <c r="AC42" s="14"/>
      <c r="AF42" s="15"/>
      <c r="AQ42" s="11" t="s">
        <v>79</v>
      </c>
      <c r="AR42" s="8"/>
      <c r="AS42" s="8"/>
      <c r="AT42" s="8"/>
      <c r="AU42" s="8"/>
    </row>
    <row r="43" spans="1:59" x14ac:dyDescent="0.2">
      <c r="A43" s="15" t="s">
        <v>32</v>
      </c>
      <c r="B43" s="15" t="s">
        <v>15</v>
      </c>
      <c r="C43" s="15" t="s">
        <v>27</v>
      </c>
      <c r="D43" s="15" t="s">
        <v>17</v>
      </c>
      <c r="E43" s="15" t="s">
        <v>28</v>
      </c>
      <c r="F43" s="15"/>
      <c r="G43" s="15">
        <v>0</v>
      </c>
      <c r="H43" s="15" t="s">
        <v>29</v>
      </c>
      <c r="I43" s="15" t="s">
        <v>74</v>
      </c>
      <c r="J43" s="15" t="s">
        <v>31</v>
      </c>
      <c r="K43" s="15"/>
      <c r="L43" s="15" t="s">
        <v>19</v>
      </c>
      <c r="M43" s="15">
        <v>1</v>
      </c>
      <c r="N43" s="15">
        <v>10</v>
      </c>
      <c r="O43" s="15">
        <v>1.0154E-2</v>
      </c>
      <c r="P43" s="15">
        <v>2.0000000000000001E-4</v>
      </c>
      <c r="Q43" s="15" t="s">
        <v>20</v>
      </c>
      <c r="R43" s="8" t="str">
        <f t="shared" si="0"/>
        <v>jit-sel-async-RULE-lambda</v>
      </c>
      <c r="V43" s="4" t="s">
        <v>116</v>
      </c>
      <c r="W43" s="14">
        <f t="shared" si="47"/>
        <v>6.7121802363329435</v>
      </c>
      <c r="X43" s="8">
        <f t="shared" si="48"/>
        <v>7.7057990459153247</v>
      </c>
      <c r="Y43" s="8">
        <f t="shared" si="48"/>
        <v>1.1480322003577816</v>
      </c>
      <c r="Z43" s="8">
        <f t="shared" si="48"/>
        <v>7.7057990459153247</v>
      </c>
      <c r="AB43" s="8"/>
      <c r="AC43" s="14"/>
      <c r="AD43" s="15"/>
      <c r="AE43" s="15"/>
      <c r="AF43" s="15"/>
      <c r="AQ43" s="11" t="s">
        <v>116</v>
      </c>
      <c r="AR43" s="8"/>
      <c r="AS43" s="8"/>
      <c r="AT43" s="8"/>
      <c r="AU43" s="8"/>
    </row>
    <row r="44" spans="1:59" x14ac:dyDescent="0.2">
      <c r="A44" s="15" t="s">
        <v>32</v>
      </c>
      <c r="B44" s="15" t="s">
        <v>15</v>
      </c>
      <c r="C44" s="15" t="s">
        <v>27</v>
      </c>
      <c r="D44" s="15" t="s">
        <v>17</v>
      </c>
      <c r="E44" s="15" t="s">
        <v>28</v>
      </c>
      <c r="F44" s="15"/>
      <c r="G44" s="15">
        <v>0</v>
      </c>
      <c r="H44" s="15" t="s">
        <v>29</v>
      </c>
      <c r="I44" s="15" t="s">
        <v>74</v>
      </c>
      <c r="J44" s="15" t="s">
        <v>33</v>
      </c>
      <c r="K44" s="15"/>
      <c r="L44" s="15" t="s">
        <v>19</v>
      </c>
      <c r="M44" s="15">
        <v>1</v>
      </c>
      <c r="N44" s="15">
        <v>10</v>
      </c>
      <c r="O44" s="15">
        <v>1.2895999999999999E-2</v>
      </c>
      <c r="P44" s="15">
        <v>2.0000000000000001E-4</v>
      </c>
      <c r="Q44" s="15" t="s">
        <v>20</v>
      </c>
      <c r="R44" s="8" t="str">
        <f t="shared" si="0"/>
        <v>jit-sel-async-RULE-quotes</v>
      </c>
      <c r="V44" s="4" t="s">
        <v>77</v>
      </c>
      <c r="W44" s="14">
        <f t="shared" si="47"/>
        <v>25.719920061129724</v>
      </c>
      <c r="X44" s="8">
        <f t="shared" si="48"/>
        <v>18.185843903173939</v>
      </c>
      <c r="Y44" s="8">
        <f t="shared" si="48"/>
        <v>0.70707233381561074</v>
      </c>
      <c r="Z44" s="8">
        <f t="shared" si="48"/>
        <v>18.185843903173939</v>
      </c>
      <c r="AB44" s="8"/>
      <c r="AC44" s="14"/>
      <c r="AD44" s="15"/>
      <c r="AE44" s="15"/>
      <c r="AF44" s="15"/>
      <c r="AO44" t="s">
        <v>76</v>
      </c>
      <c r="AQ44" s="11" t="s">
        <v>77</v>
      </c>
      <c r="AR44" s="8"/>
      <c r="AS44" s="8"/>
      <c r="AT44" s="8"/>
      <c r="AU44" s="8"/>
    </row>
    <row r="45" spans="1:59" x14ac:dyDescent="0.2">
      <c r="A45" s="15" t="s">
        <v>32</v>
      </c>
      <c r="B45" s="15" t="s">
        <v>15</v>
      </c>
      <c r="C45" s="15" t="s">
        <v>27</v>
      </c>
      <c r="D45" s="15" t="s">
        <v>17</v>
      </c>
      <c r="E45" s="15" t="s">
        <v>28</v>
      </c>
      <c r="F45" s="15"/>
      <c r="G45" s="15">
        <v>0</v>
      </c>
      <c r="H45" s="15" t="s">
        <v>39</v>
      </c>
      <c r="I45" s="15" t="s">
        <v>35</v>
      </c>
      <c r="J45" s="15" t="s">
        <v>30</v>
      </c>
      <c r="K45" s="15"/>
      <c r="L45" s="15" t="s">
        <v>19</v>
      </c>
      <c r="M45" s="15">
        <v>1</v>
      </c>
      <c r="N45" s="15">
        <v>10</v>
      </c>
      <c r="O45" s="15">
        <v>4.1188000000000002E-2</v>
      </c>
      <c r="P45" s="15">
        <v>3.0000000000000001E-3</v>
      </c>
      <c r="Q45" s="15" t="s">
        <v>20</v>
      </c>
      <c r="R45" s="8" t="str">
        <f t="shared" si="0"/>
        <v>jit-sel-blocking-ALL-bytecode</v>
      </c>
      <c r="V45" s="4" t="s">
        <v>112</v>
      </c>
      <c r="W45" s="14">
        <f t="shared" si="47"/>
        <v>590.33130327862693</v>
      </c>
      <c r="X45" s="8">
        <f t="shared" si="48"/>
        <v>393.98720908832837</v>
      </c>
      <c r="Y45" s="8">
        <f t="shared" si="48"/>
        <v>0.66740016478911446</v>
      </c>
      <c r="Z45" s="8">
        <f t="shared" si="48"/>
        <v>393.98720908832837</v>
      </c>
      <c r="AB45" s="8"/>
      <c r="AC45" s="14"/>
      <c r="AD45" s="15"/>
      <c r="AE45" s="15"/>
      <c r="AF45" s="15"/>
      <c r="AQ45" s="11" t="s">
        <v>112</v>
      </c>
      <c r="AR45" s="8"/>
      <c r="AS45" s="8"/>
      <c r="AT45" s="8"/>
      <c r="AU45" s="8"/>
    </row>
    <row r="46" spans="1:59" x14ac:dyDescent="0.2">
      <c r="A46" s="15" t="s">
        <v>32</v>
      </c>
      <c r="B46" s="15" t="s">
        <v>15</v>
      </c>
      <c r="C46" s="15" t="s">
        <v>27</v>
      </c>
      <c r="D46" s="15" t="s">
        <v>17</v>
      </c>
      <c r="E46" s="15" t="s">
        <v>28</v>
      </c>
      <c r="F46" s="15"/>
      <c r="G46" s="15">
        <v>0</v>
      </c>
      <c r="H46" s="15" t="s">
        <v>39</v>
      </c>
      <c r="I46" s="15" t="s">
        <v>35</v>
      </c>
      <c r="J46" s="15" t="s">
        <v>31</v>
      </c>
      <c r="K46" s="15"/>
      <c r="L46" s="15" t="s">
        <v>19</v>
      </c>
      <c r="M46" s="15">
        <v>1</v>
      </c>
      <c r="N46" s="15">
        <v>10</v>
      </c>
      <c r="O46" s="15">
        <v>9.4280000000000006E-3</v>
      </c>
      <c r="P46" s="15">
        <v>5.9999999999999995E-4</v>
      </c>
      <c r="Q46" s="15" t="s">
        <v>20</v>
      </c>
      <c r="R46" s="8" t="str">
        <f t="shared" si="0"/>
        <v>jit-sel-blocking-ALL-lambda</v>
      </c>
      <c r="V46" s="4" t="s">
        <v>113</v>
      </c>
      <c r="W46" s="14">
        <f t="shared" si="47"/>
        <v>2262.7547762234044</v>
      </c>
      <c r="X46" s="8">
        <f t="shared" si="48"/>
        <v>2087.1491759469914</v>
      </c>
      <c r="Y46" s="8">
        <f t="shared" si="48"/>
        <v>0.92239300426115856</v>
      </c>
      <c r="Z46" s="8">
        <f t="shared" si="48"/>
        <v>2087.1491759469914</v>
      </c>
      <c r="AB46" s="8"/>
      <c r="AC46" s="14"/>
      <c r="AD46" s="15"/>
      <c r="AE46" s="15"/>
      <c r="AF46" s="15"/>
      <c r="AQ46" s="11" t="s">
        <v>113</v>
      </c>
      <c r="AR46" s="8"/>
      <c r="AS46" s="8"/>
      <c r="AT46" s="8"/>
      <c r="AU46" s="8"/>
    </row>
    <row r="47" spans="1:59" x14ac:dyDescent="0.2">
      <c r="A47" s="15" t="s">
        <v>32</v>
      </c>
      <c r="B47" s="15" t="s">
        <v>15</v>
      </c>
      <c r="C47" s="15" t="s">
        <v>27</v>
      </c>
      <c r="D47" s="15" t="s">
        <v>17</v>
      </c>
      <c r="E47" s="15" t="s">
        <v>28</v>
      </c>
      <c r="F47" s="15"/>
      <c r="G47" s="15">
        <v>0</v>
      </c>
      <c r="H47" s="15" t="s">
        <v>39</v>
      </c>
      <c r="I47" s="15" t="s">
        <v>35</v>
      </c>
      <c r="J47" s="15" t="s">
        <v>33</v>
      </c>
      <c r="K47" s="15"/>
      <c r="L47" s="15" t="s">
        <v>19</v>
      </c>
      <c r="M47" s="15">
        <v>1</v>
      </c>
      <c r="N47" s="15">
        <v>10</v>
      </c>
      <c r="O47" s="15">
        <v>0.33646399999999999</v>
      </c>
      <c r="P47" s="15">
        <v>1.7000000000000001E-2</v>
      </c>
      <c r="Q47" s="15" t="s">
        <v>20</v>
      </c>
      <c r="R47" s="8" t="str">
        <f t="shared" si="0"/>
        <v>jit-sel-blocking-ALL-quotes</v>
      </c>
      <c r="AC47">
        <f>X25/AA25</f>
        <v>1.8520472910839072</v>
      </c>
      <c r="AQ47" s="8"/>
      <c r="AR47" s="8"/>
      <c r="AS47" s="8"/>
      <c r="AT47" s="8"/>
      <c r="AU47" s="8"/>
    </row>
    <row r="48" spans="1:59" x14ac:dyDescent="0.2">
      <c r="A48" s="15" t="s">
        <v>32</v>
      </c>
      <c r="B48" s="15" t="s">
        <v>15</v>
      </c>
      <c r="C48" s="15" t="s">
        <v>27</v>
      </c>
      <c r="D48" s="15" t="s">
        <v>17</v>
      </c>
      <c r="E48" s="15" t="s">
        <v>28</v>
      </c>
      <c r="F48" s="15"/>
      <c r="G48" s="15">
        <v>0</v>
      </c>
      <c r="H48" s="15" t="s">
        <v>39</v>
      </c>
      <c r="I48" s="15" t="s">
        <v>75</v>
      </c>
      <c r="J48" s="15" t="s">
        <v>30</v>
      </c>
      <c r="K48" s="15"/>
      <c r="L48" s="15" t="s">
        <v>19</v>
      </c>
      <c r="M48" s="15">
        <v>1</v>
      </c>
      <c r="N48" s="15">
        <v>10</v>
      </c>
      <c r="O48" s="15">
        <v>1.8814999999999998E-2</v>
      </c>
      <c r="P48" s="15">
        <v>2.0000000000000001E-4</v>
      </c>
      <c r="Q48" s="15" t="s">
        <v>20</v>
      </c>
      <c r="R48" s="8" t="str">
        <f t="shared" si="0"/>
        <v>jit-sel-blocking-DELTA-bytecode</v>
      </c>
    </row>
    <row r="49" spans="1:18" x14ac:dyDescent="0.2">
      <c r="A49" s="15" t="s">
        <v>32</v>
      </c>
      <c r="B49" s="15" t="s">
        <v>15</v>
      </c>
      <c r="C49" s="15" t="s">
        <v>27</v>
      </c>
      <c r="D49" s="15" t="s">
        <v>17</v>
      </c>
      <c r="E49" s="15" t="s">
        <v>28</v>
      </c>
      <c r="F49" s="15"/>
      <c r="G49" s="15">
        <v>0</v>
      </c>
      <c r="H49" s="15" t="s">
        <v>39</v>
      </c>
      <c r="I49" s="15" t="s">
        <v>75</v>
      </c>
      <c r="J49" s="15" t="s">
        <v>31</v>
      </c>
      <c r="K49" s="15"/>
      <c r="L49" s="15" t="s">
        <v>19</v>
      </c>
      <c r="M49" s="15">
        <v>1</v>
      </c>
      <c r="N49" s="15">
        <v>10</v>
      </c>
      <c r="O49" s="15">
        <v>9.3790000000000002E-3</v>
      </c>
      <c r="P49" s="15">
        <v>2.0000000000000001E-4</v>
      </c>
      <c r="Q49" s="15" t="s">
        <v>20</v>
      </c>
      <c r="R49" s="8" t="str">
        <f t="shared" si="0"/>
        <v>jit-sel-blocking-DELTA-lambda</v>
      </c>
    </row>
    <row r="50" spans="1:18" x14ac:dyDescent="0.2">
      <c r="A50" s="15" t="s">
        <v>32</v>
      </c>
      <c r="B50" s="15" t="s">
        <v>15</v>
      </c>
      <c r="C50" s="15" t="s">
        <v>27</v>
      </c>
      <c r="D50" s="15" t="s">
        <v>17</v>
      </c>
      <c r="E50" s="15" t="s">
        <v>28</v>
      </c>
      <c r="F50" s="15"/>
      <c r="G50" s="15">
        <v>0</v>
      </c>
      <c r="H50" s="15" t="s">
        <v>39</v>
      </c>
      <c r="I50" s="15" t="s">
        <v>75</v>
      </c>
      <c r="J50" s="15" t="s">
        <v>33</v>
      </c>
      <c r="K50" s="15"/>
      <c r="L50" s="15" t="s">
        <v>19</v>
      </c>
      <c r="M50" s="15">
        <v>1</v>
      </c>
      <c r="N50" s="15">
        <v>10</v>
      </c>
      <c r="O50" s="15">
        <v>1.8697999999999999E-2</v>
      </c>
      <c r="P50" s="15">
        <v>2.9999999999999997E-4</v>
      </c>
      <c r="Q50" s="15" t="s">
        <v>20</v>
      </c>
      <c r="R50" s="8" t="str">
        <f t="shared" si="0"/>
        <v>jit-sel-blocking-DELTA-quotes</v>
      </c>
    </row>
    <row r="51" spans="1:18" x14ac:dyDescent="0.2">
      <c r="A51" s="15" t="s">
        <v>32</v>
      </c>
      <c r="B51" s="15" t="s">
        <v>15</v>
      </c>
      <c r="C51" s="15" t="s">
        <v>27</v>
      </c>
      <c r="D51" s="15" t="s">
        <v>17</v>
      </c>
      <c r="E51" s="15" t="s">
        <v>28</v>
      </c>
      <c r="F51" s="15"/>
      <c r="G51" s="15">
        <v>0</v>
      </c>
      <c r="H51" s="15" t="s">
        <v>39</v>
      </c>
      <c r="I51" s="15" t="s">
        <v>74</v>
      </c>
      <c r="J51" s="15" t="s">
        <v>30</v>
      </c>
      <c r="K51" s="15"/>
      <c r="L51" s="15" t="s">
        <v>19</v>
      </c>
      <c r="M51" s="15">
        <v>1</v>
      </c>
      <c r="N51" s="15">
        <v>10</v>
      </c>
      <c r="O51" s="15">
        <v>1.2220999999999999E-2</v>
      </c>
      <c r="P51" s="15">
        <v>1E-4</v>
      </c>
      <c r="Q51" s="15" t="s">
        <v>20</v>
      </c>
      <c r="R51" s="8" t="str">
        <f t="shared" si="0"/>
        <v>jit-sel-blocking-RULE-bytecode</v>
      </c>
    </row>
    <row r="52" spans="1:18" x14ac:dyDescent="0.2">
      <c r="A52" s="15" t="s">
        <v>32</v>
      </c>
      <c r="B52" s="15" t="s">
        <v>15</v>
      </c>
      <c r="C52" s="15" t="s">
        <v>27</v>
      </c>
      <c r="D52" s="15" t="s">
        <v>17</v>
      </c>
      <c r="E52" s="15" t="s">
        <v>28</v>
      </c>
      <c r="F52" s="15"/>
      <c r="G52" s="15">
        <v>0</v>
      </c>
      <c r="H52" s="15" t="s">
        <v>39</v>
      </c>
      <c r="I52" s="15" t="s">
        <v>74</v>
      </c>
      <c r="J52" s="15" t="s">
        <v>31</v>
      </c>
      <c r="K52" s="15"/>
      <c r="L52" s="15" t="s">
        <v>19</v>
      </c>
      <c r="M52" s="15">
        <v>1</v>
      </c>
      <c r="N52" s="15">
        <v>10</v>
      </c>
      <c r="O52" s="15">
        <v>9.3620000000000005E-3</v>
      </c>
      <c r="P52" s="15">
        <v>2.0000000000000001E-4</v>
      </c>
      <c r="Q52" s="15" t="s">
        <v>20</v>
      </c>
      <c r="R52" s="8" t="str">
        <f t="shared" si="0"/>
        <v>jit-sel-blocking-RULE-lambda</v>
      </c>
    </row>
    <row r="53" spans="1:18" x14ac:dyDescent="0.2">
      <c r="A53" s="15" t="s">
        <v>32</v>
      </c>
      <c r="B53" s="15" t="s">
        <v>15</v>
      </c>
      <c r="C53" s="15" t="s">
        <v>27</v>
      </c>
      <c r="D53" s="15" t="s">
        <v>17</v>
      </c>
      <c r="E53" s="15" t="s">
        <v>28</v>
      </c>
      <c r="F53" s="15"/>
      <c r="G53" s="15">
        <v>0</v>
      </c>
      <c r="H53" s="15" t="s">
        <v>39</v>
      </c>
      <c r="I53" s="15" t="s">
        <v>74</v>
      </c>
      <c r="J53" s="15" t="s">
        <v>33</v>
      </c>
      <c r="K53" s="15"/>
      <c r="L53" s="15" t="s">
        <v>19</v>
      </c>
      <c r="M53" s="15">
        <v>1</v>
      </c>
      <c r="N53" s="15">
        <v>10</v>
      </c>
      <c r="O53" s="15">
        <v>1.3105E-2</v>
      </c>
      <c r="P53" s="15">
        <v>2.0000000000000001E-4</v>
      </c>
      <c r="Q53" s="15" t="s">
        <v>20</v>
      </c>
      <c r="R53" s="8" t="str">
        <f t="shared" si="0"/>
        <v>jit-sel-blocking-RULE-quotes</v>
      </c>
    </row>
    <row r="54" spans="1:18" x14ac:dyDescent="0.2">
      <c r="A54" s="15" t="s">
        <v>32</v>
      </c>
      <c r="B54" s="15" t="s">
        <v>65</v>
      </c>
      <c r="C54" s="15" t="s">
        <v>16</v>
      </c>
      <c r="D54" s="15" t="s">
        <v>17</v>
      </c>
      <c r="E54" s="15" t="s">
        <v>28</v>
      </c>
      <c r="F54" s="15"/>
      <c r="G54" s="15">
        <v>0</v>
      </c>
      <c r="H54" s="15"/>
      <c r="I54" s="15"/>
      <c r="J54" s="15"/>
      <c r="K54" s="15"/>
      <c r="L54" s="15" t="s">
        <v>19</v>
      </c>
      <c r="M54" s="15">
        <v>1</v>
      </c>
      <c r="N54" s="15">
        <v>10</v>
      </c>
      <c r="O54" s="15">
        <v>8.3029999999999996E-3</v>
      </c>
      <c r="P54" s="15">
        <v>9.0000000000000006E-5</v>
      </c>
      <c r="Q54" s="15" t="s">
        <v>20</v>
      </c>
      <c r="R54" s="8" t="str">
        <f t="shared" si="0"/>
        <v>interpreted-sel---</v>
      </c>
    </row>
    <row r="55" spans="1:18" x14ac:dyDescent="0.2">
      <c r="A55" s="15" t="s">
        <v>32</v>
      </c>
      <c r="B55" s="15" t="s">
        <v>65</v>
      </c>
      <c r="C55" s="15" t="s">
        <v>16</v>
      </c>
      <c r="D55" s="15" t="s">
        <v>17</v>
      </c>
      <c r="E55" s="15" t="s">
        <v>18</v>
      </c>
      <c r="F55" s="15"/>
      <c r="G55" s="15">
        <v>0</v>
      </c>
      <c r="H55" s="15"/>
      <c r="I55" s="15"/>
      <c r="J55" s="15"/>
      <c r="K55" s="15"/>
      <c r="L55" s="15" t="s">
        <v>19</v>
      </c>
      <c r="M55" s="15">
        <v>1</v>
      </c>
      <c r="N55" s="15">
        <v>10</v>
      </c>
      <c r="O55" s="15">
        <v>3.8313E-2</v>
      </c>
      <c r="P55" s="15">
        <v>1E-3</v>
      </c>
      <c r="Q55" s="15" t="s">
        <v>20</v>
      </c>
      <c r="R55" s="8" t="str">
        <f t="shared" si="0"/>
        <v>interpreted-unordered---</v>
      </c>
    </row>
    <row r="56" spans="1:18" x14ac:dyDescent="0.2">
      <c r="A56" s="15" t="s">
        <v>32</v>
      </c>
      <c r="B56" s="15" t="s">
        <v>65</v>
      </c>
      <c r="C56" s="15" t="s">
        <v>27</v>
      </c>
      <c r="D56" s="15" t="s">
        <v>17</v>
      </c>
      <c r="E56" s="15" t="s">
        <v>28</v>
      </c>
      <c r="F56" s="15"/>
      <c r="G56" s="15">
        <v>0</v>
      </c>
      <c r="H56" s="15" t="s">
        <v>29</v>
      </c>
      <c r="I56" s="15" t="s">
        <v>35</v>
      </c>
      <c r="J56" s="15" t="s">
        <v>30</v>
      </c>
      <c r="K56" s="15"/>
      <c r="L56" s="15" t="s">
        <v>19</v>
      </c>
      <c r="M56" s="15">
        <v>1</v>
      </c>
      <c r="N56" s="15">
        <v>10</v>
      </c>
      <c r="O56" s="15">
        <v>3.1911000000000002E-2</v>
      </c>
      <c r="P56" s="15">
        <v>1.2999999999999999E-2</v>
      </c>
      <c r="Q56" s="15" t="s">
        <v>20</v>
      </c>
      <c r="R56" s="8" t="str">
        <f t="shared" si="0"/>
        <v>jit-sel-async-ALL-bytecode</v>
      </c>
    </row>
    <row r="57" spans="1:18" x14ac:dyDescent="0.2">
      <c r="A57" s="15" t="s">
        <v>32</v>
      </c>
      <c r="B57" s="15" t="s">
        <v>65</v>
      </c>
      <c r="C57" s="15" t="s">
        <v>27</v>
      </c>
      <c r="D57" s="15" t="s">
        <v>17</v>
      </c>
      <c r="E57" s="15" t="s">
        <v>28</v>
      </c>
      <c r="F57" s="15"/>
      <c r="G57" s="15">
        <v>0</v>
      </c>
      <c r="H57" s="15" t="s">
        <v>29</v>
      </c>
      <c r="I57" s="15" t="s">
        <v>35</v>
      </c>
      <c r="J57" s="15" t="s">
        <v>31</v>
      </c>
      <c r="K57" s="15"/>
      <c r="L57" s="15" t="s">
        <v>19</v>
      </c>
      <c r="M57" s="15">
        <v>1</v>
      </c>
      <c r="N57" s="15">
        <v>10</v>
      </c>
      <c r="O57" s="15">
        <v>9.6640000000000007E-3</v>
      </c>
      <c r="P57" s="15">
        <v>8.0000000000000007E-5</v>
      </c>
      <c r="Q57" s="15" t="s">
        <v>20</v>
      </c>
      <c r="R57" s="8" t="str">
        <f t="shared" si="0"/>
        <v>jit-sel-async-ALL-lambda</v>
      </c>
    </row>
    <row r="58" spans="1:18" x14ac:dyDescent="0.2">
      <c r="A58" s="15" t="s">
        <v>32</v>
      </c>
      <c r="B58" s="15" t="s">
        <v>65</v>
      </c>
      <c r="C58" s="15" t="s">
        <v>27</v>
      </c>
      <c r="D58" s="15" t="s">
        <v>17</v>
      </c>
      <c r="E58" s="15" t="s">
        <v>28</v>
      </c>
      <c r="F58" s="15"/>
      <c r="G58" s="15">
        <v>0</v>
      </c>
      <c r="H58" s="15" t="s">
        <v>29</v>
      </c>
      <c r="I58" s="15" t="s">
        <v>35</v>
      </c>
      <c r="J58" s="15" t="s">
        <v>33</v>
      </c>
      <c r="K58" s="15"/>
      <c r="L58" s="15" t="s">
        <v>19</v>
      </c>
      <c r="M58" s="15">
        <v>1</v>
      </c>
      <c r="N58" s="15">
        <v>10</v>
      </c>
      <c r="O58" s="15">
        <v>9.9670000000000002E-3</v>
      </c>
      <c r="P58" s="15">
        <v>1E-3</v>
      </c>
      <c r="Q58" s="15" t="s">
        <v>20</v>
      </c>
      <c r="R58" s="8" t="str">
        <f t="shared" si="0"/>
        <v>jit-sel-async-ALL-quotes</v>
      </c>
    </row>
    <row r="59" spans="1:18" x14ac:dyDescent="0.2">
      <c r="A59" s="15" t="s">
        <v>32</v>
      </c>
      <c r="B59" s="15" t="s">
        <v>65</v>
      </c>
      <c r="C59" s="15" t="s">
        <v>27</v>
      </c>
      <c r="D59" s="15" t="s">
        <v>17</v>
      </c>
      <c r="E59" s="15" t="s">
        <v>28</v>
      </c>
      <c r="F59" s="15"/>
      <c r="G59" s="15">
        <v>0</v>
      </c>
      <c r="H59" s="15" t="s">
        <v>29</v>
      </c>
      <c r="I59" s="15" t="s">
        <v>74</v>
      </c>
      <c r="J59" s="15" t="s">
        <v>30</v>
      </c>
      <c r="K59" s="15"/>
      <c r="L59" s="15" t="s">
        <v>19</v>
      </c>
      <c r="M59" s="15">
        <v>1</v>
      </c>
      <c r="N59" s="15">
        <v>10</v>
      </c>
      <c r="O59" s="15">
        <v>1.0508E-2</v>
      </c>
      <c r="P59" s="15">
        <v>2.0000000000000001E-4</v>
      </c>
      <c r="Q59" s="15" t="s">
        <v>20</v>
      </c>
      <c r="R59" s="8" t="str">
        <f t="shared" si="0"/>
        <v>jit-sel-async-RULE-bytecode</v>
      </c>
    </row>
    <row r="60" spans="1:18" x14ac:dyDescent="0.2">
      <c r="A60" s="15" t="s">
        <v>32</v>
      </c>
      <c r="B60" s="15" t="s">
        <v>65</v>
      </c>
      <c r="C60" s="15" t="s">
        <v>27</v>
      </c>
      <c r="D60" s="15" t="s">
        <v>17</v>
      </c>
      <c r="E60" s="15" t="s">
        <v>28</v>
      </c>
      <c r="F60" s="15"/>
      <c r="G60" s="15">
        <v>0</v>
      </c>
      <c r="H60" s="15" t="s">
        <v>29</v>
      </c>
      <c r="I60" s="15" t="s">
        <v>74</v>
      </c>
      <c r="J60" s="15" t="s">
        <v>31</v>
      </c>
      <c r="K60" s="15"/>
      <c r="L60" s="15" t="s">
        <v>19</v>
      </c>
      <c r="M60" s="15">
        <v>1</v>
      </c>
      <c r="N60" s="15">
        <v>10</v>
      </c>
      <c r="O60" s="15">
        <v>9.1719999999999996E-3</v>
      </c>
      <c r="P60" s="15">
        <v>4.0000000000000002E-4</v>
      </c>
      <c r="Q60" s="15" t="s">
        <v>20</v>
      </c>
      <c r="R60" s="8" t="str">
        <f t="shared" si="0"/>
        <v>jit-sel-async-RULE-lambda</v>
      </c>
    </row>
    <row r="61" spans="1:18" x14ac:dyDescent="0.2">
      <c r="A61" s="15" t="s">
        <v>32</v>
      </c>
      <c r="B61" s="15" t="s">
        <v>65</v>
      </c>
      <c r="C61" s="15" t="s">
        <v>27</v>
      </c>
      <c r="D61" s="15" t="s">
        <v>17</v>
      </c>
      <c r="E61" s="15" t="s">
        <v>28</v>
      </c>
      <c r="F61" s="15"/>
      <c r="G61" s="15">
        <v>0</v>
      </c>
      <c r="H61" s="15" t="s">
        <v>29</v>
      </c>
      <c r="I61" s="15" t="s">
        <v>74</v>
      </c>
      <c r="J61" s="15" t="s">
        <v>33</v>
      </c>
      <c r="K61" s="15"/>
      <c r="L61" s="15" t="s">
        <v>19</v>
      </c>
      <c r="M61" s="15">
        <v>1</v>
      </c>
      <c r="N61" s="15">
        <v>10</v>
      </c>
      <c r="O61" s="15">
        <v>1.056E-2</v>
      </c>
      <c r="P61" s="15">
        <v>1E-4</v>
      </c>
      <c r="Q61" s="15" t="s">
        <v>20</v>
      </c>
      <c r="R61" s="8" t="str">
        <f t="shared" si="0"/>
        <v>jit-sel-async-RULE-quotes</v>
      </c>
    </row>
    <row r="62" spans="1:18" x14ac:dyDescent="0.2">
      <c r="A62" s="15" t="s">
        <v>32</v>
      </c>
      <c r="B62" s="15" t="s">
        <v>65</v>
      </c>
      <c r="C62" s="15" t="s">
        <v>27</v>
      </c>
      <c r="D62" s="15" t="s">
        <v>17</v>
      </c>
      <c r="E62" s="15" t="s">
        <v>28</v>
      </c>
      <c r="F62" s="15"/>
      <c r="G62" s="15">
        <v>0</v>
      </c>
      <c r="H62" s="15" t="s">
        <v>39</v>
      </c>
      <c r="I62" s="15" t="s">
        <v>35</v>
      </c>
      <c r="J62" s="15" t="s">
        <v>30</v>
      </c>
      <c r="K62" s="15"/>
      <c r="L62" s="15" t="s">
        <v>19</v>
      </c>
      <c r="M62" s="15">
        <v>1</v>
      </c>
      <c r="N62" s="15">
        <v>10</v>
      </c>
      <c r="O62" s="15">
        <v>4.0640000000000003E-2</v>
      </c>
      <c r="P62" s="15">
        <v>3.0000000000000001E-3</v>
      </c>
      <c r="Q62" s="15" t="s">
        <v>20</v>
      </c>
      <c r="R62" s="8" t="str">
        <f t="shared" si="0"/>
        <v>jit-sel-blocking-ALL-bytecode</v>
      </c>
    </row>
    <row r="63" spans="1:18" x14ac:dyDescent="0.2">
      <c r="A63" s="15" t="s">
        <v>32</v>
      </c>
      <c r="B63" s="15" t="s">
        <v>65</v>
      </c>
      <c r="C63" s="15" t="s">
        <v>27</v>
      </c>
      <c r="D63" s="15" t="s">
        <v>17</v>
      </c>
      <c r="E63" s="15" t="s">
        <v>28</v>
      </c>
      <c r="F63" s="15"/>
      <c r="G63" s="15">
        <v>0</v>
      </c>
      <c r="H63" s="15" t="s">
        <v>39</v>
      </c>
      <c r="I63" s="15" t="s">
        <v>35</v>
      </c>
      <c r="J63" s="15" t="s">
        <v>31</v>
      </c>
      <c r="K63" s="15"/>
      <c r="L63" s="15" t="s">
        <v>19</v>
      </c>
      <c r="M63" s="15">
        <v>1</v>
      </c>
      <c r="N63" s="15">
        <v>10</v>
      </c>
      <c r="O63" s="15">
        <v>9.1090000000000008E-3</v>
      </c>
      <c r="P63" s="15">
        <v>2.9999999999999997E-4</v>
      </c>
      <c r="Q63" s="15" t="s">
        <v>20</v>
      </c>
      <c r="R63" s="8" t="str">
        <f t="shared" si="0"/>
        <v>jit-sel-blocking-ALL-lambda</v>
      </c>
    </row>
    <row r="64" spans="1:18" x14ac:dyDescent="0.2">
      <c r="A64" s="15" t="s">
        <v>32</v>
      </c>
      <c r="B64" s="15" t="s">
        <v>65</v>
      </c>
      <c r="C64" s="15" t="s">
        <v>27</v>
      </c>
      <c r="D64" s="15" t="s">
        <v>17</v>
      </c>
      <c r="E64" s="15" t="s">
        <v>28</v>
      </c>
      <c r="F64" s="15"/>
      <c r="G64" s="15">
        <v>0</v>
      </c>
      <c r="H64" s="15" t="s">
        <v>39</v>
      </c>
      <c r="I64" s="15" t="s">
        <v>35</v>
      </c>
      <c r="J64" s="15" t="s">
        <v>33</v>
      </c>
      <c r="K64" s="15"/>
      <c r="L64" s="15" t="s">
        <v>19</v>
      </c>
      <c r="M64" s="15">
        <v>1</v>
      </c>
      <c r="N64" s="15">
        <v>10</v>
      </c>
      <c r="O64" s="15">
        <v>0.33853800000000001</v>
      </c>
      <c r="P64" s="15">
        <v>3.6999999999999998E-2</v>
      </c>
      <c r="Q64" s="15" t="s">
        <v>20</v>
      </c>
      <c r="R64" s="8" t="str">
        <f t="shared" si="0"/>
        <v>jit-sel-blocking-ALL-quotes</v>
      </c>
    </row>
    <row r="65" spans="1:18" x14ac:dyDescent="0.2">
      <c r="A65" s="15" t="s">
        <v>32</v>
      </c>
      <c r="B65" s="15" t="s">
        <v>65</v>
      </c>
      <c r="C65" s="15" t="s">
        <v>27</v>
      </c>
      <c r="D65" s="15" t="s">
        <v>17</v>
      </c>
      <c r="E65" s="15" t="s">
        <v>28</v>
      </c>
      <c r="F65" s="15"/>
      <c r="G65" s="15">
        <v>0</v>
      </c>
      <c r="H65" s="15" t="s">
        <v>39</v>
      </c>
      <c r="I65" s="15" t="s">
        <v>75</v>
      </c>
      <c r="J65" s="15" t="s">
        <v>30</v>
      </c>
      <c r="K65" s="15"/>
      <c r="L65" s="15" t="s">
        <v>19</v>
      </c>
      <c r="M65" s="15">
        <v>1</v>
      </c>
      <c r="N65" s="15">
        <v>10</v>
      </c>
      <c r="O65" s="15">
        <v>1.6678999999999999E-2</v>
      </c>
      <c r="P65" s="15">
        <v>2.9999999999999997E-4</v>
      </c>
      <c r="Q65" s="15" t="s">
        <v>20</v>
      </c>
      <c r="R65" s="8" t="str">
        <f t="shared" si="0"/>
        <v>jit-sel-blocking-DELTA-bytecode</v>
      </c>
    </row>
    <row r="66" spans="1:18" x14ac:dyDescent="0.2">
      <c r="A66" s="15" t="s">
        <v>32</v>
      </c>
      <c r="B66" s="15" t="s">
        <v>65</v>
      </c>
      <c r="C66" s="15" t="s">
        <v>27</v>
      </c>
      <c r="D66" s="15" t="s">
        <v>17</v>
      </c>
      <c r="E66" s="15" t="s">
        <v>28</v>
      </c>
      <c r="F66" s="15"/>
      <c r="G66" s="15">
        <v>0</v>
      </c>
      <c r="H66" s="15" t="s">
        <v>39</v>
      </c>
      <c r="I66" s="15" t="s">
        <v>75</v>
      </c>
      <c r="J66" s="15" t="s">
        <v>31</v>
      </c>
      <c r="K66" s="15"/>
      <c r="L66" s="15" t="s">
        <v>19</v>
      </c>
      <c r="M66" s="15">
        <v>1</v>
      </c>
      <c r="N66" s="15">
        <v>10</v>
      </c>
      <c r="O66" s="15">
        <v>9.1299999999999992E-3</v>
      </c>
      <c r="P66" s="15">
        <v>1E-4</v>
      </c>
      <c r="Q66" s="15" t="s">
        <v>20</v>
      </c>
      <c r="R66" s="8" t="str">
        <f t="shared" si="0"/>
        <v>jit-sel-blocking-DELTA-lambda</v>
      </c>
    </row>
    <row r="67" spans="1:18" x14ac:dyDescent="0.2">
      <c r="A67" s="15" t="s">
        <v>32</v>
      </c>
      <c r="B67" s="15" t="s">
        <v>65</v>
      </c>
      <c r="C67" s="15" t="s">
        <v>27</v>
      </c>
      <c r="D67" s="15" t="s">
        <v>17</v>
      </c>
      <c r="E67" s="15" t="s">
        <v>28</v>
      </c>
      <c r="F67" s="15"/>
      <c r="G67" s="15">
        <v>0</v>
      </c>
      <c r="H67" s="15" t="s">
        <v>39</v>
      </c>
      <c r="I67" s="15" t="s">
        <v>75</v>
      </c>
      <c r="J67" s="15" t="s">
        <v>33</v>
      </c>
      <c r="K67" s="15"/>
      <c r="L67" s="15" t="s">
        <v>19</v>
      </c>
      <c r="M67" s="15">
        <v>1</v>
      </c>
      <c r="N67" s="15">
        <v>10</v>
      </c>
      <c r="O67" s="15">
        <v>1.5776999999999999E-2</v>
      </c>
      <c r="P67" s="15">
        <v>1E-4</v>
      </c>
      <c r="Q67" s="15" t="s">
        <v>20</v>
      </c>
      <c r="R67" s="8" t="str">
        <f t="shared" si="0"/>
        <v>jit-sel-blocking-DELTA-quotes</v>
      </c>
    </row>
    <row r="68" spans="1:18" x14ac:dyDescent="0.2">
      <c r="A68" s="15" t="s">
        <v>32</v>
      </c>
      <c r="B68" s="15" t="s">
        <v>65</v>
      </c>
      <c r="C68" s="15" t="s">
        <v>27</v>
      </c>
      <c r="D68" s="15" t="s">
        <v>17</v>
      </c>
      <c r="E68" s="15" t="s">
        <v>28</v>
      </c>
      <c r="F68" s="15"/>
      <c r="G68" s="15">
        <v>0</v>
      </c>
      <c r="H68" s="15" t="s">
        <v>39</v>
      </c>
      <c r="I68" s="15" t="s">
        <v>74</v>
      </c>
      <c r="J68" s="15" t="s">
        <v>30</v>
      </c>
      <c r="K68" s="15"/>
      <c r="L68" s="15" t="s">
        <v>19</v>
      </c>
      <c r="M68" s="15">
        <v>1</v>
      </c>
      <c r="N68" s="15">
        <v>10</v>
      </c>
      <c r="O68" s="15">
        <v>1.0900999999999999E-2</v>
      </c>
      <c r="P68" s="15">
        <v>1E-4</v>
      </c>
      <c r="Q68" s="15" t="s">
        <v>20</v>
      </c>
      <c r="R68" s="8" t="str">
        <f t="shared" ref="R68:R131" si="49">_xlfn.CONCAT(C68, "-", E68, "-", H68, "-", I68, "-", J68)</f>
        <v>jit-sel-blocking-RULE-bytecode</v>
      </c>
    </row>
    <row r="69" spans="1:18" x14ac:dyDescent="0.2">
      <c r="A69" s="15" t="s">
        <v>32</v>
      </c>
      <c r="B69" s="15" t="s">
        <v>65</v>
      </c>
      <c r="C69" s="15" t="s">
        <v>27</v>
      </c>
      <c r="D69" s="15" t="s">
        <v>17</v>
      </c>
      <c r="E69" s="15" t="s">
        <v>28</v>
      </c>
      <c r="F69" s="15"/>
      <c r="G69" s="15">
        <v>0</v>
      </c>
      <c r="H69" s="15" t="s">
        <v>39</v>
      </c>
      <c r="I69" s="15" t="s">
        <v>74</v>
      </c>
      <c r="J69" s="15" t="s">
        <v>31</v>
      </c>
      <c r="K69" s="15"/>
      <c r="L69" s="15" t="s">
        <v>19</v>
      </c>
      <c r="M69" s="15">
        <v>1</v>
      </c>
      <c r="N69" s="15">
        <v>10</v>
      </c>
      <c r="O69" s="15">
        <v>9.5359999999999993E-3</v>
      </c>
      <c r="P69" s="15">
        <v>2.9999999999999997E-4</v>
      </c>
      <c r="Q69" s="15" t="s">
        <v>20</v>
      </c>
      <c r="R69" s="8" t="str">
        <f t="shared" si="49"/>
        <v>jit-sel-blocking-RULE-lambda</v>
      </c>
    </row>
    <row r="70" spans="1:18" x14ac:dyDescent="0.2">
      <c r="A70" s="15" t="s">
        <v>32</v>
      </c>
      <c r="B70" s="15" t="s">
        <v>65</v>
      </c>
      <c r="C70" s="15" t="s">
        <v>27</v>
      </c>
      <c r="D70" s="15" t="s">
        <v>17</v>
      </c>
      <c r="E70" s="15" t="s">
        <v>28</v>
      </c>
      <c r="F70" s="15"/>
      <c r="G70" s="15">
        <v>0</v>
      </c>
      <c r="H70" s="15" t="s">
        <v>39</v>
      </c>
      <c r="I70" s="15" t="s">
        <v>74</v>
      </c>
      <c r="J70" s="15" t="s">
        <v>33</v>
      </c>
      <c r="K70" s="15"/>
      <c r="L70" s="15" t="s">
        <v>19</v>
      </c>
      <c r="M70" s="15">
        <v>1</v>
      </c>
      <c r="N70" s="15">
        <v>10</v>
      </c>
      <c r="O70" s="15">
        <v>1.0316000000000001E-2</v>
      </c>
      <c r="P70" s="15">
        <v>1E-4</v>
      </c>
      <c r="Q70" s="15" t="s">
        <v>20</v>
      </c>
      <c r="R70" s="8" t="str">
        <f t="shared" si="49"/>
        <v>jit-sel-blocking-RULE-quotes</v>
      </c>
    </row>
    <row r="71" spans="1:18" x14ac:dyDescent="0.2">
      <c r="A71" s="15" t="s">
        <v>34</v>
      </c>
      <c r="B71" s="15" t="s">
        <v>15</v>
      </c>
      <c r="C71" s="15" t="s">
        <v>16</v>
      </c>
      <c r="D71" s="15" t="s">
        <v>17</v>
      </c>
      <c r="E71" s="15" t="s">
        <v>28</v>
      </c>
      <c r="F71" s="15"/>
      <c r="G71" s="15">
        <v>0</v>
      </c>
      <c r="H71" s="15"/>
      <c r="I71" s="15"/>
      <c r="J71" s="15"/>
      <c r="K71" s="15"/>
      <c r="L71" s="15" t="s">
        <v>19</v>
      </c>
      <c r="M71" s="15">
        <v>1</v>
      </c>
      <c r="N71" s="15">
        <v>10</v>
      </c>
      <c r="O71" s="15">
        <v>1.6376999999999999E-2</v>
      </c>
      <c r="P71" s="15">
        <v>2.0000000000000001E-4</v>
      </c>
      <c r="Q71" s="15" t="s">
        <v>20</v>
      </c>
      <c r="R71" s="8" t="str">
        <f t="shared" si="49"/>
        <v>interpreted-sel---</v>
      </c>
    </row>
    <row r="72" spans="1:18" x14ac:dyDescent="0.2">
      <c r="A72" s="15" t="s">
        <v>34</v>
      </c>
      <c r="B72" s="15" t="s">
        <v>15</v>
      </c>
      <c r="C72" s="15" t="s">
        <v>16</v>
      </c>
      <c r="D72" s="15" t="s">
        <v>17</v>
      </c>
      <c r="E72" s="15" t="s">
        <v>18</v>
      </c>
      <c r="F72" s="15"/>
      <c r="G72" s="15">
        <v>0</v>
      </c>
      <c r="H72" s="15"/>
      <c r="I72" s="15"/>
      <c r="J72" s="15"/>
      <c r="K72" s="15"/>
      <c r="L72" s="15" t="s">
        <v>19</v>
      </c>
      <c r="M72" s="15">
        <v>1</v>
      </c>
      <c r="N72" s="15">
        <v>10</v>
      </c>
      <c r="O72" s="15">
        <v>1.9880999999999999E-2</v>
      </c>
      <c r="P72" s="15">
        <v>2.9999999999999997E-4</v>
      </c>
      <c r="Q72" s="15" t="s">
        <v>20</v>
      </c>
      <c r="R72" s="8" t="str">
        <f t="shared" si="49"/>
        <v>interpreted-unordered---</v>
      </c>
    </row>
    <row r="73" spans="1:18" x14ac:dyDescent="0.2">
      <c r="A73" s="15" t="s">
        <v>34</v>
      </c>
      <c r="B73" s="15" t="s">
        <v>15</v>
      </c>
      <c r="C73" s="15" t="s">
        <v>27</v>
      </c>
      <c r="D73" s="15" t="s">
        <v>17</v>
      </c>
      <c r="E73" s="15" t="s">
        <v>28</v>
      </c>
      <c r="F73" s="15"/>
      <c r="G73" s="15">
        <v>0</v>
      </c>
      <c r="H73" s="15" t="s">
        <v>29</v>
      </c>
      <c r="I73" s="15" t="s">
        <v>35</v>
      </c>
      <c r="J73" s="15" t="s">
        <v>30</v>
      </c>
      <c r="K73" s="15"/>
      <c r="L73" s="15" t="s">
        <v>19</v>
      </c>
      <c r="M73" s="15">
        <v>1</v>
      </c>
      <c r="N73" s="15">
        <v>10</v>
      </c>
      <c r="O73" s="15">
        <v>1.8027999999999999E-2</v>
      </c>
      <c r="P73" s="15">
        <v>2.9999999999999997E-4</v>
      </c>
      <c r="Q73" s="15" t="s">
        <v>20</v>
      </c>
      <c r="R73" s="8" t="str">
        <f t="shared" si="49"/>
        <v>jit-sel-async-ALL-bytecode</v>
      </c>
    </row>
    <row r="74" spans="1:18" x14ac:dyDescent="0.2">
      <c r="A74" s="15" t="s">
        <v>34</v>
      </c>
      <c r="B74" s="15" t="s">
        <v>15</v>
      </c>
      <c r="C74" s="15" t="s">
        <v>27</v>
      </c>
      <c r="D74" s="15" t="s">
        <v>17</v>
      </c>
      <c r="E74" s="15" t="s">
        <v>28</v>
      </c>
      <c r="F74" s="15"/>
      <c r="G74" s="15">
        <v>0</v>
      </c>
      <c r="H74" s="15" t="s">
        <v>29</v>
      </c>
      <c r="I74" s="15" t="s">
        <v>35</v>
      </c>
      <c r="J74" s="15" t="s">
        <v>31</v>
      </c>
      <c r="K74" s="15"/>
      <c r="L74" s="15" t="s">
        <v>19</v>
      </c>
      <c r="M74" s="15">
        <v>1</v>
      </c>
      <c r="N74" s="15">
        <v>10</v>
      </c>
      <c r="O74" s="15">
        <v>1.6271000000000001E-2</v>
      </c>
      <c r="P74" s="15">
        <v>2.0000000000000001E-4</v>
      </c>
      <c r="Q74" s="15" t="s">
        <v>20</v>
      </c>
      <c r="R74" s="8" t="str">
        <f t="shared" si="49"/>
        <v>jit-sel-async-ALL-lambda</v>
      </c>
    </row>
    <row r="75" spans="1:18" x14ac:dyDescent="0.2">
      <c r="A75" s="15" t="s">
        <v>34</v>
      </c>
      <c r="B75" s="15" t="s">
        <v>15</v>
      </c>
      <c r="C75" s="15" t="s">
        <v>27</v>
      </c>
      <c r="D75" s="15" t="s">
        <v>17</v>
      </c>
      <c r="E75" s="15" t="s">
        <v>28</v>
      </c>
      <c r="F75" s="15"/>
      <c r="G75" s="15">
        <v>0</v>
      </c>
      <c r="H75" s="15" t="s">
        <v>29</v>
      </c>
      <c r="I75" s="15" t="s">
        <v>35</v>
      </c>
      <c r="J75" s="15" t="s">
        <v>33</v>
      </c>
      <c r="K75" s="15"/>
      <c r="L75" s="15" t="s">
        <v>19</v>
      </c>
      <c r="M75" s="15">
        <v>1</v>
      </c>
      <c r="N75" s="15">
        <v>10</v>
      </c>
      <c r="O75" s="15">
        <v>1.8856999999999999E-2</v>
      </c>
      <c r="P75" s="15">
        <v>5.0000000000000001E-4</v>
      </c>
      <c r="Q75" s="15" t="s">
        <v>20</v>
      </c>
      <c r="R75" s="8" t="str">
        <f t="shared" si="49"/>
        <v>jit-sel-async-ALL-quotes</v>
      </c>
    </row>
    <row r="76" spans="1:18" x14ac:dyDescent="0.2">
      <c r="A76" s="15" t="s">
        <v>34</v>
      </c>
      <c r="B76" s="15" t="s">
        <v>15</v>
      </c>
      <c r="C76" s="15" t="s">
        <v>27</v>
      </c>
      <c r="D76" s="15" t="s">
        <v>17</v>
      </c>
      <c r="E76" s="15" t="s">
        <v>28</v>
      </c>
      <c r="F76" s="15"/>
      <c r="G76" s="15">
        <v>0</v>
      </c>
      <c r="H76" s="15" t="s">
        <v>29</v>
      </c>
      <c r="I76" s="15" t="s">
        <v>74</v>
      </c>
      <c r="J76" s="15" t="s">
        <v>30</v>
      </c>
      <c r="K76" s="15"/>
      <c r="L76" s="15" t="s">
        <v>19</v>
      </c>
      <c r="M76" s="15">
        <v>1</v>
      </c>
      <c r="N76" s="15">
        <v>10</v>
      </c>
      <c r="O76" s="15">
        <v>2.0861000000000001E-2</v>
      </c>
      <c r="P76" s="15">
        <v>4.0000000000000002E-4</v>
      </c>
      <c r="Q76" s="15" t="s">
        <v>20</v>
      </c>
      <c r="R76" s="8" t="str">
        <f t="shared" si="49"/>
        <v>jit-sel-async-RULE-bytecode</v>
      </c>
    </row>
    <row r="77" spans="1:18" x14ac:dyDescent="0.2">
      <c r="A77" s="15" t="s">
        <v>34</v>
      </c>
      <c r="B77" s="15" t="s">
        <v>15</v>
      </c>
      <c r="C77" s="15" t="s">
        <v>27</v>
      </c>
      <c r="D77" s="15" t="s">
        <v>17</v>
      </c>
      <c r="E77" s="15" t="s">
        <v>28</v>
      </c>
      <c r="F77" s="15"/>
      <c r="G77" s="15">
        <v>0</v>
      </c>
      <c r="H77" s="15" t="s">
        <v>29</v>
      </c>
      <c r="I77" s="15" t="s">
        <v>74</v>
      </c>
      <c r="J77" s="15" t="s">
        <v>31</v>
      </c>
      <c r="K77" s="15"/>
      <c r="L77" s="15" t="s">
        <v>19</v>
      </c>
      <c r="M77" s="15">
        <v>1</v>
      </c>
      <c r="N77" s="15">
        <v>10</v>
      </c>
      <c r="O77" s="15">
        <v>2.0184000000000001E-2</v>
      </c>
      <c r="P77" s="15">
        <v>5.0000000000000001E-4</v>
      </c>
      <c r="Q77" s="15" t="s">
        <v>20</v>
      </c>
      <c r="R77" s="8" t="str">
        <f t="shared" si="49"/>
        <v>jit-sel-async-RULE-lambda</v>
      </c>
    </row>
    <row r="78" spans="1:18" x14ac:dyDescent="0.2">
      <c r="A78" s="15" t="s">
        <v>34</v>
      </c>
      <c r="B78" s="15" t="s">
        <v>15</v>
      </c>
      <c r="C78" s="15" t="s">
        <v>27</v>
      </c>
      <c r="D78" s="15" t="s">
        <v>17</v>
      </c>
      <c r="E78" s="15" t="s">
        <v>28</v>
      </c>
      <c r="F78" s="15"/>
      <c r="G78" s="15">
        <v>0</v>
      </c>
      <c r="H78" s="15" t="s">
        <v>29</v>
      </c>
      <c r="I78" s="15" t="s">
        <v>74</v>
      </c>
      <c r="J78" s="15" t="s">
        <v>33</v>
      </c>
      <c r="K78" s="15"/>
      <c r="L78" s="15" t="s">
        <v>19</v>
      </c>
      <c r="M78" s="15">
        <v>1</v>
      </c>
      <c r="N78" s="15">
        <v>10</v>
      </c>
      <c r="O78" s="15">
        <v>2.0438000000000001E-2</v>
      </c>
      <c r="P78" s="15">
        <v>6.9999999999999999E-4</v>
      </c>
      <c r="Q78" s="15" t="s">
        <v>20</v>
      </c>
      <c r="R78" s="8" t="str">
        <f t="shared" si="49"/>
        <v>jit-sel-async-RULE-quotes</v>
      </c>
    </row>
    <row r="79" spans="1:18" x14ac:dyDescent="0.2">
      <c r="A79" s="15" t="s">
        <v>34</v>
      </c>
      <c r="B79" s="15" t="s">
        <v>15</v>
      </c>
      <c r="C79" s="15" t="s">
        <v>27</v>
      </c>
      <c r="D79" s="15" t="s">
        <v>17</v>
      </c>
      <c r="E79" s="15" t="s">
        <v>28</v>
      </c>
      <c r="F79" s="15"/>
      <c r="G79" s="15">
        <v>0</v>
      </c>
      <c r="H79" s="15" t="s">
        <v>39</v>
      </c>
      <c r="I79" s="15" t="s">
        <v>35</v>
      </c>
      <c r="J79" s="15" t="s">
        <v>30</v>
      </c>
      <c r="K79" s="15"/>
      <c r="L79" s="15" t="s">
        <v>19</v>
      </c>
      <c r="M79" s="15">
        <v>1</v>
      </c>
      <c r="N79" s="15">
        <v>10</v>
      </c>
      <c r="O79" s="15">
        <v>1.695E-2</v>
      </c>
      <c r="P79" s="15">
        <v>2.0000000000000001E-4</v>
      </c>
      <c r="Q79" s="15" t="s">
        <v>20</v>
      </c>
      <c r="R79" s="8" t="str">
        <f t="shared" si="49"/>
        <v>jit-sel-blocking-ALL-bytecode</v>
      </c>
    </row>
    <row r="80" spans="1:18" x14ac:dyDescent="0.2">
      <c r="A80" s="15" t="s">
        <v>34</v>
      </c>
      <c r="B80" s="15" t="s">
        <v>15</v>
      </c>
      <c r="C80" s="15" t="s">
        <v>27</v>
      </c>
      <c r="D80" s="15" t="s">
        <v>17</v>
      </c>
      <c r="E80" s="15" t="s">
        <v>28</v>
      </c>
      <c r="F80" s="15"/>
      <c r="G80" s="15">
        <v>0</v>
      </c>
      <c r="H80" s="15" t="s">
        <v>39</v>
      </c>
      <c r="I80" s="15" t="s">
        <v>35</v>
      </c>
      <c r="J80" s="15" t="s">
        <v>31</v>
      </c>
      <c r="K80" s="15"/>
      <c r="L80" s="15" t="s">
        <v>19</v>
      </c>
      <c r="M80" s="15">
        <v>1</v>
      </c>
      <c r="N80" s="15">
        <v>10</v>
      </c>
      <c r="O80" s="15">
        <v>1.6409E-2</v>
      </c>
      <c r="P80" s="15">
        <v>5.0000000000000001E-4</v>
      </c>
      <c r="Q80" s="15" t="s">
        <v>20</v>
      </c>
      <c r="R80" s="8" t="str">
        <f t="shared" si="49"/>
        <v>jit-sel-blocking-ALL-lambda</v>
      </c>
    </row>
    <row r="81" spans="1:18" x14ac:dyDescent="0.2">
      <c r="A81" s="15" t="s">
        <v>34</v>
      </c>
      <c r="B81" s="15" t="s">
        <v>15</v>
      </c>
      <c r="C81" s="15" t="s">
        <v>27</v>
      </c>
      <c r="D81" s="15" t="s">
        <v>17</v>
      </c>
      <c r="E81" s="15" t="s">
        <v>28</v>
      </c>
      <c r="F81" s="15"/>
      <c r="G81" s="15">
        <v>0</v>
      </c>
      <c r="H81" s="15" t="s">
        <v>39</v>
      </c>
      <c r="I81" s="15" t="s">
        <v>35</v>
      </c>
      <c r="J81" s="15" t="s">
        <v>33</v>
      </c>
      <c r="K81" s="15"/>
      <c r="L81" s="15" t="s">
        <v>19</v>
      </c>
      <c r="M81" s="15">
        <v>1</v>
      </c>
      <c r="N81" s="15">
        <v>10</v>
      </c>
      <c r="O81" s="15">
        <v>1.5946999999999999E-2</v>
      </c>
      <c r="P81" s="15">
        <v>2.0000000000000001E-4</v>
      </c>
      <c r="Q81" s="15" t="s">
        <v>20</v>
      </c>
      <c r="R81" s="8" t="str">
        <f t="shared" si="49"/>
        <v>jit-sel-blocking-ALL-quotes</v>
      </c>
    </row>
    <row r="82" spans="1:18" x14ac:dyDescent="0.2">
      <c r="A82" s="15" t="s">
        <v>34</v>
      </c>
      <c r="B82" s="15" t="s">
        <v>15</v>
      </c>
      <c r="C82" s="15" t="s">
        <v>27</v>
      </c>
      <c r="D82" s="15" t="s">
        <v>17</v>
      </c>
      <c r="E82" s="15" t="s">
        <v>28</v>
      </c>
      <c r="F82" s="15"/>
      <c r="G82" s="15">
        <v>0</v>
      </c>
      <c r="H82" s="15" t="s">
        <v>39</v>
      </c>
      <c r="I82" s="15" t="s">
        <v>75</v>
      </c>
      <c r="J82" s="15" t="s">
        <v>30</v>
      </c>
      <c r="K82" s="15"/>
      <c r="L82" s="15" t="s">
        <v>19</v>
      </c>
      <c r="M82" s="15">
        <v>1</v>
      </c>
      <c r="N82" s="15">
        <v>10</v>
      </c>
      <c r="O82" s="15">
        <v>2.3050999999999999E-2</v>
      </c>
      <c r="P82" s="15">
        <v>4.0000000000000002E-4</v>
      </c>
      <c r="Q82" s="15" t="s">
        <v>20</v>
      </c>
      <c r="R82" s="8" t="str">
        <f t="shared" si="49"/>
        <v>jit-sel-blocking-DELTA-bytecode</v>
      </c>
    </row>
    <row r="83" spans="1:18" x14ac:dyDescent="0.2">
      <c r="A83" s="15" t="s">
        <v>34</v>
      </c>
      <c r="B83" s="15" t="s">
        <v>15</v>
      </c>
      <c r="C83" s="15" t="s">
        <v>27</v>
      </c>
      <c r="D83" s="15" t="s">
        <v>17</v>
      </c>
      <c r="E83" s="15" t="s">
        <v>28</v>
      </c>
      <c r="F83" s="15"/>
      <c r="G83" s="15">
        <v>0</v>
      </c>
      <c r="H83" s="15" t="s">
        <v>39</v>
      </c>
      <c r="I83" s="15" t="s">
        <v>75</v>
      </c>
      <c r="J83" s="15" t="s">
        <v>31</v>
      </c>
      <c r="K83" s="15"/>
      <c r="L83" s="15" t="s">
        <v>19</v>
      </c>
      <c r="M83" s="15">
        <v>1</v>
      </c>
      <c r="N83" s="15">
        <v>10</v>
      </c>
      <c r="O83" s="15">
        <v>7.8820000000000001E-3</v>
      </c>
      <c r="P83" s="15">
        <v>1E-4</v>
      </c>
      <c r="Q83" s="15" t="s">
        <v>20</v>
      </c>
      <c r="R83" s="8" t="str">
        <f t="shared" si="49"/>
        <v>jit-sel-blocking-DELTA-lambda</v>
      </c>
    </row>
    <row r="84" spans="1:18" x14ac:dyDescent="0.2">
      <c r="A84" s="15" t="s">
        <v>34</v>
      </c>
      <c r="B84" s="15" t="s">
        <v>15</v>
      </c>
      <c r="C84" s="15" t="s">
        <v>27</v>
      </c>
      <c r="D84" s="15" t="s">
        <v>17</v>
      </c>
      <c r="E84" s="15" t="s">
        <v>28</v>
      </c>
      <c r="F84" s="15"/>
      <c r="G84" s="15">
        <v>0</v>
      </c>
      <c r="H84" s="15" t="s">
        <v>39</v>
      </c>
      <c r="I84" s="15" t="s">
        <v>75</v>
      </c>
      <c r="J84" s="15" t="s">
        <v>33</v>
      </c>
      <c r="K84" s="15"/>
      <c r="L84" s="15" t="s">
        <v>19</v>
      </c>
      <c r="M84" s="15">
        <v>1</v>
      </c>
      <c r="N84" s="15">
        <v>10</v>
      </c>
      <c r="O84" s="15">
        <v>2.1330999999999999E-2</v>
      </c>
      <c r="P84" s="15">
        <v>2.0000000000000001E-4</v>
      </c>
      <c r="Q84" s="15" t="s">
        <v>20</v>
      </c>
      <c r="R84" s="8" t="str">
        <f t="shared" si="49"/>
        <v>jit-sel-blocking-DELTA-quotes</v>
      </c>
    </row>
    <row r="85" spans="1:18" x14ac:dyDescent="0.2">
      <c r="A85" s="15" t="s">
        <v>34</v>
      </c>
      <c r="B85" s="15" t="s">
        <v>15</v>
      </c>
      <c r="C85" s="15" t="s">
        <v>27</v>
      </c>
      <c r="D85" s="15" t="s">
        <v>17</v>
      </c>
      <c r="E85" s="15" t="s">
        <v>28</v>
      </c>
      <c r="F85" s="15"/>
      <c r="G85" s="15">
        <v>0</v>
      </c>
      <c r="H85" s="15" t="s">
        <v>39</v>
      </c>
      <c r="I85" s="15" t="s">
        <v>74</v>
      </c>
      <c r="J85" s="15" t="s">
        <v>30</v>
      </c>
      <c r="K85" s="15"/>
      <c r="L85" s="15" t="s">
        <v>19</v>
      </c>
      <c r="M85" s="15">
        <v>1</v>
      </c>
      <c r="N85" s="15">
        <v>10</v>
      </c>
      <c r="O85" s="15">
        <v>2.0126999999999999E-2</v>
      </c>
      <c r="P85" s="15">
        <v>5.0000000000000001E-4</v>
      </c>
      <c r="Q85" s="15" t="s">
        <v>20</v>
      </c>
      <c r="R85" s="8" t="str">
        <f t="shared" si="49"/>
        <v>jit-sel-blocking-RULE-bytecode</v>
      </c>
    </row>
    <row r="86" spans="1:18" x14ac:dyDescent="0.2">
      <c r="A86" s="15" t="s">
        <v>34</v>
      </c>
      <c r="B86" s="15" t="s">
        <v>15</v>
      </c>
      <c r="C86" s="15" t="s">
        <v>27</v>
      </c>
      <c r="D86" s="15" t="s">
        <v>17</v>
      </c>
      <c r="E86" s="15" t="s">
        <v>28</v>
      </c>
      <c r="F86" s="15"/>
      <c r="G86" s="15">
        <v>0</v>
      </c>
      <c r="H86" s="15" t="s">
        <v>39</v>
      </c>
      <c r="I86" s="15" t="s">
        <v>74</v>
      </c>
      <c r="J86" s="15" t="s">
        <v>31</v>
      </c>
      <c r="K86" s="15"/>
      <c r="L86" s="15" t="s">
        <v>19</v>
      </c>
      <c r="M86" s="15">
        <v>1</v>
      </c>
      <c r="N86" s="15">
        <v>10</v>
      </c>
      <c r="O86" s="15">
        <v>2.2232999999999999E-2</v>
      </c>
      <c r="P86" s="15">
        <v>4.0000000000000002E-4</v>
      </c>
      <c r="Q86" s="15" t="s">
        <v>20</v>
      </c>
      <c r="R86" s="8" t="str">
        <f t="shared" si="49"/>
        <v>jit-sel-blocking-RULE-lambda</v>
      </c>
    </row>
    <row r="87" spans="1:18" x14ac:dyDescent="0.2">
      <c r="A87" s="15" t="s">
        <v>34</v>
      </c>
      <c r="B87" s="15" t="s">
        <v>15</v>
      </c>
      <c r="C87" s="15" t="s">
        <v>27</v>
      </c>
      <c r="D87" s="15" t="s">
        <v>17</v>
      </c>
      <c r="E87" s="15" t="s">
        <v>28</v>
      </c>
      <c r="F87" s="15"/>
      <c r="G87" s="15">
        <v>0</v>
      </c>
      <c r="H87" s="15" t="s">
        <v>39</v>
      </c>
      <c r="I87" s="15" t="s">
        <v>74</v>
      </c>
      <c r="J87" s="15" t="s">
        <v>33</v>
      </c>
      <c r="K87" s="15"/>
      <c r="L87" s="15" t="s">
        <v>19</v>
      </c>
      <c r="M87" s="15">
        <v>1</v>
      </c>
      <c r="N87" s="15">
        <v>10</v>
      </c>
      <c r="O87" s="15">
        <v>1.985E-2</v>
      </c>
      <c r="P87" s="15">
        <v>2.0000000000000001E-4</v>
      </c>
      <c r="Q87" s="15" t="s">
        <v>20</v>
      </c>
      <c r="R87" s="8" t="str">
        <f t="shared" si="49"/>
        <v>jit-sel-blocking-RULE-quotes</v>
      </c>
    </row>
    <row r="88" spans="1:18" x14ac:dyDescent="0.2">
      <c r="A88" s="15" t="s">
        <v>34</v>
      </c>
      <c r="B88" s="15" t="s">
        <v>65</v>
      </c>
      <c r="C88" s="15" t="s">
        <v>16</v>
      </c>
      <c r="D88" s="15" t="s">
        <v>17</v>
      </c>
      <c r="E88" s="15" t="s">
        <v>28</v>
      </c>
      <c r="F88" s="15"/>
      <c r="G88" s="15">
        <v>0</v>
      </c>
      <c r="H88" s="15"/>
      <c r="I88" s="15"/>
      <c r="J88" s="15"/>
      <c r="K88" s="15"/>
      <c r="L88" s="15" t="s">
        <v>19</v>
      </c>
      <c r="M88" s="15">
        <v>1</v>
      </c>
      <c r="N88" s="15">
        <v>10</v>
      </c>
      <c r="O88" s="15">
        <v>1.8343000000000002E-2</v>
      </c>
      <c r="P88" s="15">
        <v>2.9999999999999997E-4</v>
      </c>
      <c r="Q88" s="15" t="s">
        <v>20</v>
      </c>
      <c r="R88" s="8" t="str">
        <f t="shared" si="49"/>
        <v>interpreted-sel---</v>
      </c>
    </row>
    <row r="89" spans="1:18" x14ac:dyDescent="0.2">
      <c r="A89" s="15" t="s">
        <v>34</v>
      </c>
      <c r="B89" s="15" t="s">
        <v>65</v>
      </c>
      <c r="C89" s="15" t="s">
        <v>16</v>
      </c>
      <c r="D89" s="15" t="s">
        <v>17</v>
      </c>
      <c r="E89" s="15" t="s">
        <v>18</v>
      </c>
      <c r="F89" s="15"/>
      <c r="G89" s="15">
        <v>0</v>
      </c>
      <c r="H89" s="15"/>
      <c r="I89" s="15"/>
      <c r="J89" s="15"/>
      <c r="K89" s="15"/>
      <c r="L89" s="15" t="s">
        <v>19</v>
      </c>
      <c r="M89" s="15">
        <v>1</v>
      </c>
      <c r="N89" s="15">
        <v>10</v>
      </c>
      <c r="O89" s="15">
        <v>9.2674999999999993E-2</v>
      </c>
      <c r="P89" s="15">
        <v>3.0000000000000001E-3</v>
      </c>
      <c r="Q89" s="15" t="s">
        <v>20</v>
      </c>
      <c r="R89" s="8" t="str">
        <f t="shared" si="49"/>
        <v>interpreted-unordered---</v>
      </c>
    </row>
    <row r="90" spans="1:18" x14ac:dyDescent="0.2">
      <c r="A90" s="15" t="s">
        <v>34</v>
      </c>
      <c r="B90" s="15" t="s">
        <v>65</v>
      </c>
      <c r="C90" s="15" t="s">
        <v>27</v>
      </c>
      <c r="D90" s="15" t="s">
        <v>17</v>
      </c>
      <c r="E90" s="15" t="s">
        <v>28</v>
      </c>
      <c r="F90" s="15"/>
      <c r="G90" s="15">
        <v>0</v>
      </c>
      <c r="H90" s="15" t="s">
        <v>29</v>
      </c>
      <c r="I90" s="15" t="s">
        <v>35</v>
      </c>
      <c r="J90" s="15" t="s">
        <v>30</v>
      </c>
      <c r="K90" s="15"/>
      <c r="L90" s="15" t="s">
        <v>19</v>
      </c>
      <c r="M90" s="15">
        <v>1</v>
      </c>
      <c r="N90" s="15">
        <v>10</v>
      </c>
      <c r="O90" s="15">
        <v>1.7805999999999999E-2</v>
      </c>
      <c r="P90" s="15">
        <v>2.0000000000000001E-4</v>
      </c>
      <c r="Q90" s="15" t="s">
        <v>20</v>
      </c>
      <c r="R90" s="8" t="str">
        <f t="shared" si="49"/>
        <v>jit-sel-async-ALL-bytecode</v>
      </c>
    </row>
    <row r="91" spans="1:18" x14ac:dyDescent="0.2">
      <c r="A91" s="15" t="s">
        <v>34</v>
      </c>
      <c r="B91" s="15" t="s">
        <v>65</v>
      </c>
      <c r="C91" s="15" t="s">
        <v>27</v>
      </c>
      <c r="D91" s="15" t="s">
        <v>17</v>
      </c>
      <c r="E91" s="15" t="s">
        <v>28</v>
      </c>
      <c r="F91" s="15"/>
      <c r="G91" s="15">
        <v>0</v>
      </c>
      <c r="H91" s="15" t="s">
        <v>29</v>
      </c>
      <c r="I91" s="15" t="s">
        <v>35</v>
      </c>
      <c r="J91" s="15" t="s">
        <v>31</v>
      </c>
      <c r="K91" s="15"/>
      <c r="L91" s="15" t="s">
        <v>19</v>
      </c>
      <c r="M91" s="15">
        <v>1</v>
      </c>
      <c r="N91" s="15">
        <v>10</v>
      </c>
      <c r="O91" s="15">
        <v>2.3691E-2</v>
      </c>
      <c r="P91" s="15">
        <v>4.0000000000000002E-4</v>
      </c>
      <c r="Q91" s="15" t="s">
        <v>20</v>
      </c>
      <c r="R91" s="8" t="str">
        <f t="shared" si="49"/>
        <v>jit-sel-async-ALL-lambda</v>
      </c>
    </row>
    <row r="92" spans="1:18" x14ac:dyDescent="0.2">
      <c r="A92" s="15" t="s">
        <v>34</v>
      </c>
      <c r="B92" s="15" t="s">
        <v>65</v>
      </c>
      <c r="C92" s="15" t="s">
        <v>27</v>
      </c>
      <c r="D92" s="15" t="s">
        <v>17</v>
      </c>
      <c r="E92" s="15" t="s">
        <v>28</v>
      </c>
      <c r="F92" s="15"/>
      <c r="G92" s="15">
        <v>0</v>
      </c>
      <c r="H92" s="15" t="s">
        <v>29</v>
      </c>
      <c r="I92" s="15" t="s">
        <v>35</v>
      </c>
      <c r="J92" s="15" t="s">
        <v>33</v>
      </c>
      <c r="K92" s="15"/>
      <c r="L92" s="15" t="s">
        <v>19</v>
      </c>
      <c r="M92" s="15">
        <v>1</v>
      </c>
      <c r="N92" s="15">
        <v>10</v>
      </c>
      <c r="O92" s="15">
        <v>1.8787999999999999E-2</v>
      </c>
      <c r="P92" s="15">
        <v>2.0000000000000001E-4</v>
      </c>
      <c r="Q92" s="15" t="s">
        <v>20</v>
      </c>
      <c r="R92" s="8" t="str">
        <f t="shared" si="49"/>
        <v>jit-sel-async-ALL-quotes</v>
      </c>
    </row>
    <row r="93" spans="1:18" x14ac:dyDescent="0.2">
      <c r="A93" s="15" t="s">
        <v>34</v>
      </c>
      <c r="B93" s="15" t="s">
        <v>65</v>
      </c>
      <c r="C93" s="15" t="s">
        <v>27</v>
      </c>
      <c r="D93" s="15" t="s">
        <v>17</v>
      </c>
      <c r="E93" s="15" t="s">
        <v>28</v>
      </c>
      <c r="F93" s="15"/>
      <c r="G93" s="15">
        <v>0</v>
      </c>
      <c r="H93" s="15" t="s">
        <v>29</v>
      </c>
      <c r="I93" s="15" t="s">
        <v>74</v>
      </c>
      <c r="J93" s="15" t="s">
        <v>30</v>
      </c>
      <c r="K93" s="15"/>
      <c r="L93" s="15" t="s">
        <v>19</v>
      </c>
      <c r="M93" s="15">
        <v>1</v>
      </c>
      <c r="N93" s="15">
        <v>10</v>
      </c>
      <c r="O93" s="15">
        <v>2.0205000000000001E-2</v>
      </c>
      <c r="P93" s="15">
        <v>2.0000000000000001E-4</v>
      </c>
      <c r="Q93" s="15" t="s">
        <v>20</v>
      </c>
      <c r="R93" s="8" t="str">
        <f t="shared" si="49"/>
        <v>jit-sel-async-RULE-bytecode</v>
      </c>
    </row>
    <row r="94" spans="1:18" x14ac:dyDescent="0.2">
      <c r="A94" s="15" t="s">
        <v>34</v>
      </c>
      <c r="B94" s="15" t="s">
        <v>65</v>
      </c>
      <c r="C94" s="15" t="s">
        <v>27</v>
      </c>
      <c r="D94" s="15" t="s">
        <v>17</v>
      </c>
      <c r="E94" s="15" t="s">
        <v>28</v>
      </c>
      <c r="F94" s="15"/>
      <c r="G94" s="15">
        <v>0</v>
      </c>
      <c r="H94" s="15" t="s">
        <v>29</v>
      </c>
      <c r="I94" s="15" t="s">
        <v>74</v>
      </c>
      <c r="J94" s="15" t="s">
        <v>31</v>
      </c>
      <c r="K94" s="15"/>
      <c r="L94" s="15" t="s">
        <v>19</v>
      </c>
      <c r="M94" s="15">
        <v>1</v>
      </c>
      <c r="N94" s="15">
        <v>10</v>
      </c>
      <c r="O94" s="15">
        <v>2.5770999999999999E-2</v>
      </c>
      <c r="P94" s="15">
        <v>6.9999999999999999E-4</v>
      </c>
      <c r="Q94" s="15" t="s">
        <v>20</v>
      </c>
      <c r="R94" s="8" t="str">
        <f t="shared" si="49"/>
        <v>jit-sel-async-RULE-lambda</v>
      </c>
    </row>
    <row r="95" spans="1:18" x14ac:dyDescent="0.2">
      <c r="A95" s="15" t="s">
        <v>34</v>
      </c>
      <c r="B95" s="15" t="s">
        <v>65</v>
      </c>
      <c r="C95" s="15" t="s">
        <v>27</v>
      </c>
      <c r="D95" s="15" t="s">
        <v>17</v>
      </c>
      <c r="E95" s="15" t="s">
        <v>28</v>
      </c>
      <c r="F95" s="15"/>
      <c r="G95" s="15">
        <v>0</v>
      </c>
      <c r="H95" s="15" t="s">
        <v>29</v>
      </c>
      <c r="I95" s="15" t="s">
        <v>74</v>
      </c>
      <c r="J95" s="15" t="s">
        <v>33</v>
      </c>
      <c r="K95" s="15"/>
      <c r="L95" s="15" t="s">
        <v>19</v>
      </c>
      <c r="M95" s="15">
        <v>1</v>
      </c>
      <c r="N95" s="15">
        <v>10</v>
      </c>
      <c r="O95" s="15">
        <v>2.4278999999999998E-2</v>
      </c>
      <c r="P95" s="15">
        <v>5.0000000000000001E-4</v>
      </c>
      <c r="Q95" s="15" t="s">
        <v>20</v>
      </c>
      <c r="R95" s="8" t="str">
        <f t="shared" si="49"/>
        <v>jit-sel-async-RULE-quotes</v>
      </c>
    </row>
    <row r="96" spans="1:18" x14ac:dyDescent="0.2">
      <c r="A96" s="15" t="s">
        <v>34</v>
      </c>
      <c r="B96" s="15" t="s">
        <v>65</v>
      </c>
      <c r="C96" s="15" t="s">
        <v>27</v>
      </c>
      <c r="D96" s="15" t="s">
        <v>17</v>
      </c>
      <c r="E96" s="15" t="s">
        <v>28</v>
      </c>
      <c r="F96" s="15"/>
      <c r="G96" s="15">
        <v>0</v>
      </c>
      <c r="H96" s="15" t="s">
        <v>39</v>
      </c>
      <c r="I96" s="15" t="s">
        <v>35</v>
      </c>
      <c r="J96" s="15" t="s">
        <v>30</v>
      </c>
      <c r="K96" s="15"/>
      <c r="L96" s="15" t="s">
        <v>19</v>
      </c>
      <c r="M96" s="15">
        <v>1</v>
      </c>
      <c r="N96" s="15">
        <v>10</v>
      </c>
      <c r="O96" s="15">
        <v>1.9821999999999999E-2</v>
      </c>
      <c r="P96" s="15">
        <v>4.0000000000000002E-4</v>
      </c>
      <c r="Q96" s="15" t="s">
        <v>20</v>
      </c>
      <c r="R96" s="8" t="str">
        <f t="shared" si="49"/>
        <v>jit-sel-blocking-ALL-bytecode</v>
      </c>
    </row>
    <row r="97" spans="1:18" x14ac:dyDescent="0.2">
      <c r="A97" s="15" t="s">
        <v>34</v>
      </c>
      <c r="B97" s="15" t="s">
        <v>65</v>
      </c>
      <c r="C97" s="15" t="s">
        <v>27</v>
      </c>
      <c r="D97" s="15" t="s">
        <v>17</v>
      </c>
      <c r="E97" s="15" t="s">
        <v>28</v>
      </c>
      <c r="F97" s="15"/>
      <c r="G97" s="15">
        <v>0</v>
      </c>
      <c r="H97" s="15" t="s">
        <v>39</v>
      </c>
      <c r="I97" s="15" t="s">
        <v>35</v>
      </c>
      <c r="J97" s="15" t="s">
        <v>31</v>
      </c>
      <c r="K97" s="15"/>
      <c r="L97" s="15" t="s">
        <v>19</v>
      </c>
      <c r="M97" s="15">
        <v>1</v>
      </c>
      <c r="N97" s="15">
        <v>10</v>
      </c>
      <c r="O97" s="15">
        <v>2.0594000000000001E-2</v>
      </c>
      <c r="P97" s="15">
        <v>2.9999999999999997E-4</v>
      </c>
      <c r="Q97" s="15" t="s">
        <v>20</v>
      </c>
      <c r="R97" s="8" t="str">
        <f t="shared" si="49"/>
        <v>jit-sel-blocking-ALL-lambda</v>
      </c>
    </row>
    <row r="98" spans="1:18" x14ac:dyDescent="0.2">
      <c r="A98" s="15" t="s">
        <v>34</v>
      </c>
      <c r="B98" s="15" t="s">
        <v>65</v>
      </c>
      <c r="C98" s="15" t="s">
        <v>27</v>
      </c>
      <c r="D98" s="15" t="s">
        <v>17</v>
      </c>
      <c r="E98" s="15" t="s">
        <v>28</v>
      </c>
      <c r="F98" s="15"/>
      <c r="G98" s="15">
        <v>0</v>
      </c>
      <c r="H98" s="15" t="s">
        <v>39</v>
      </c>
      <c r="I98" s="15" t="s">
        <v>35</v>
      </c>
      <c r="J98" s="15" t="s">
        <v>33</v>
      </c>
      <c r="K98" s="15"/>
      <c r="L98" s="15" t="s">
        <v>19</v>
      </c>
      <c r="M98" s="15">
        <v>1</v>
      </c>
      <c r="N98" s="15">
        <v>10</v>
      </c>
      <c r="O98" s="15">
        <v>2.1867000000000001E-2</v>
      </c>
      <c r="P98" s="15">
        <v>1E-3</v>
      </c>
      <c r="Q98" s="15" t="s">
        <v>20</v>
      </c>
      <c r="R98" s="8" t="str">
        <f t="shared" si="49"/>
        <v>jit-sel-blocking-ALL-quotes</v>
      </c>
    </row>
    <row r="99" spans="1:18" x14ac:dyDescent="0.2">
      <c r="A99" s="15" t="s">
        <v>34</v>
      </c>
      <c r="B99" s="15" t="s">
        <v>65</v>
      </c>
      <c r="C99" s="15" t="s">
        <v>27</v>
      </c>
      <c r="D99" s="15" t="s">
        <v>17</v>
      </c>
      <c r="E99" s="15" t="s">
        <v>28</v>
      </c>
      <c r="F99" s="15"/>
      <c r="G99" s="15">
        <v>0</v>
      </c>
      <c r="H99" s="15" t="s">
        <v>39</v>
      </c>
      <c r="I99" s="15" t="s">
        <v>75</v>
      </c>
      <c r="J99" s="15" t="s">
        <v>30</v>
      </c>
      <c r="K99" s="15"/>
      <c r="L99" s="15" t="s">
        <v>19</v>
      </c>
      <c r="M99" s="15">
        <v>1</v>
      </c>
      <c r="N99" s="15">
        <v>10</v>
      </c>
      <c r="O99" s="15">
        <v>2.4347000000000001E-2</v>
      </c>
      <c r="P99" s="15">
        <v>2.9999999999999997E-4</v>
      </c>
      <c r="Q99" s="15" t="s">
        <v>20</v>
      </c>
      <c r="R99" s="8" t="str">
        <f t="shared" si="49"/>
        <v>jit-sel-blocking-DELTA-bytecode</v>
      </c>
    </row>
    <row r="100" spans="1:18" x14ac:dyDescent="0.2">
      <c r="A100" s="15" t="s">
        <v>34</v>
      </c>
      <c r="B100" s="15" t="s">
        <v>65</v>
      </c>
      <c r="C100" s="15" t="s">
        <v>27</v>
      </c>
      <c r="D100" s="15" t="s">
        <v>17</v>
      </c>
      <c r="E100" s="15" t="s">
        <v>28</v>
      </c>
      <c r="F100" s="15"/>
      <c r="G100" s="15">
        <v>0</v>
      </c>
      <c r="H100" s="15" t="s">
        <v>39</v>
      </c>
      <c r="I100" s="15" t="s">
        <v>75</v>
      </c>
      <c r="J100" s="15" t="s">
        <v>31</v>
      </c>
      <c r="K100" s="15"/>
      <c r="L100" s="15" t="s">
        <v>19</v>
      </c>
      <c r="M100" s="15">
        <v>1</v>
      </c>
      <c r="N100" s="15">
        <v>10</v>
      </c>
      <c r="O100" s="15">
        <v>7.9150000000000002E-3</v>
      </c>
      <c r="P100" s="15">
        <v>2.9999999999999997E-4</v>
      </c>
      <c r="Q100" s="15" t="s">
        <v>20</v>
      </c>
      <c r="R100" s="8" t="str">
        <f t="shared" si="49"/>
        <v>jit-sel-blocking-DELTA-lambda</v>
      </c>
    </row>
    <row r="101" spans="1:18" x14ac:dyDescent="0.2">
      <c r="A101" s="15" t="s">
        <v>34</v>
      </c>
      <c r="B101" s="15" t="s">
        <v>65</v>
      </c>
      <c r="C101" s="15" t="s">
        <v>27</v>
      </c>
      <c r="D101" s="15" t="s">
        <v>17</v>
      </c>
      <c r="E101" s="15" t="s">
        <v>28</v>
      </c>
      <c r="F101" s="15"/>
      <c r="G101" s="15">
        <v>0</v>
      </c>
      <c r="H101" s="15" t="s">
        <v>39</v>
      </c>
      <c r="I101" s="15" t="s">
        <v>75</v>
      </c>
      <c r="J101" s="15" t="s">
        <v>33</v>
      </c>
      <c r="K101" s="15"/>
      <c r="L101" s="15" t="s">
        <v>19</v>
      </c>
      <c r="M101" s="15">
        <v>1</v>
      </c>
      <c r="N101" s="15">
        <v>10</v>
      </c>
      <c r="O101" s="15">
        <v>2.4968000000000001E-2</v>
      </c>
      <c r="P101" s="15">
        <v>1E-3</v>
      </c>
      <c r="Q101" s="15" t="s">
        <v>20</v>
      </c>
      <c r="R101" s="8" t="str">
        <f t="shared" si="49"/>
        <v>jit-sel-blocking-DELTA-quotes</v>
      </c>
    </row>
    <row r="102" spans="1:18" x14ac:dyDescent="0.2">
      <c r="A102" s="15" t="s">
        <v>34</v>
      </c>
      <c r="B102" s="15" t="s">
        <v>65</v>
      </c>
      <c r="C102" s="15" t="s">
        <v>27</v>
      </c>
      <c r="D102" s="15" t="s">
        <v>17</v>
      </c>
      <c r="E102" s="15" t="s">
        <v>28</v>
      </c>
      <c r="F102" s="15"/>
      <c r="G102" s="15">
        <v>0</v>
      </c>
      <c r="H102" s="15" t="s">
        <v>39</v>
      </c>
      <c r="I102" s="15" t="s">
        <v>74</v>
      </c>
      <c r="J102" s="15" t="s">
        <v>30</v>
      </c>
      <c r="K102" s="15"/>
      <c r="L102" s="15" t="s">
        <v>19</v>
      </c>
      <c r="M102" s="15">
        <v>1</v>
      </c>
      <c r="N102" s="15">
        <v>10</v>
      </c>
      <c r="O102" s="15">
        <v>2.3265999999999998E-2</v>
      </c>
      <c r="P102" s="15">
        <v>8.9999999999999998E-4</v>
      </c>
      <c r="Q102" s="15" t="s">
        <v>20</v>
      </c>
      <c r="R102" s="8" t="str">
        <f t="shared" si="49"/>
        <v>jit-sel-blocking-RULE-bytecode</v>
      </c>
    </row>
    <row r="103" spans="1:18" x14ac:dyDescent="0.2">
      <c r="A103" s="15" t="s">
        <v>34</v>
      </c>
      <c r="B103" s="15" t="s">
        <v>65</v>
      </c>
      <c r="C103" s="15" t="s">
        <v>27</v>
      </c>
      <c r="D103" s="15" t="s">
        <v>17</v>
      </c>
      <c r="E103" s="15" t="s">
        <v>28</v>
      </c>
      <c r="F103" s="15"/>
      <c r="G103" s="15">
        <v>0</v>
      </c>
      <c r="H103" s="15" t="s">
        <v>39</v>
      </c>
      <c r="I103" s="15" t="s">
        <v>74</v>
      </c>
      <c r="J103" s="15" t="s">
        <v>31</v>
      </c>
      <c r="K103" s="15"/>
      <c r="L103" s="15" t="s">
        <v>19</v>
      </c>
      <c r="M103" s="15">
        <v>1</v>
      </c>
      <c r="N103" s="15">
        <v>10</v>
      </c>
      <c r="O103" s="15">
        <v>2.3157000000000001E-2</v>
      </c>
      <c r="P103" s="15">
        <v>2E-3</v>
      </c>
      <c r="Q103" s="15" t="s">
        <v>20</v>
      </c>
      <c r="R103" s="8" t="str">
        <f t="shared" si="49"/>
        <v>jit-sel-blocking-RULE-lambda</v>
      </c>
    </row>
    <row r="104" spans="1:18" x14ac:dyDescent="0.2">
      <c r="A104" s="15" t="s">
        <v>34</v>
      </c>
      <c r="B104" s="15" t="s">
        <v>65</v>
      </c>
      <c r="C104" s="15" t="s">
        <v>27</v>
      </c>
      <c r="D104" s="15" t="s">
        <v>17</v>
      </c>
      <c r="E104" s="15" t="s">
        <v>28</v>
      </c>
      <c r="F104" s="15"/>
      <c r="G104" s="15">
        <v>0</v>
      </c>
      <c r="H104" s="15" t="s">
        <v>39</v>
      </c>
      <c r="I104" s="15" t="s">
        <v>74</v>
      </c>
      <c r="J104" s="15" t="s">
        <v>33</v>
      </c>
      <c r="K104" s="15"/>
      <c r="L104" s="15" t="s">
        <v>19</v>
      </c>
      <c r="M104" s="15">
        <v>1</v>
      </c>
      <c r="N104" s="15">
        <v>10</v>
      </c>
      <c r="O104" s="15">
        <v>1.9948E-2</v>
      </c>
      <c r="P104" s="15">
        <v>2.0000000000000001E-4</v>
      </c>
      <c r="Q104" s="15" t="s">
        <v>20</v>
      </c>
      <c r="R104" s="8" t="str">
        <f t="shared" si="49"/>
        <v>jit-sel-blocking-RULE-quotes</v>
      </c>
    </row>
    <row r="105" spans="1:18" x14ac:dyDescent="0.2">
      <c r="A105" s="15" t="s">
        <v>36</v>
      </c>
      <c r="B105" s="15" t="s">
        <v>15</v>
      </c>
      <c r="C105" s="15" t="s">
        <v>16</v>
      </c>
      <c r="D105" s="15" t="s">
        <v>17</v>
      </c>
      <c r="E105" s="15" t="s">
        <v>28</v>
      </c>
      <c r="F105" s="15"/>
      <c r="G105" s="15">
        <v>0</v>
      </c>
      <c r="H105" s="15"/>
      <c r="I105" s="15"/>
      <c r="J105" s="15"/>
      <c r="K105" s="15"/>
      <c r="L105" s="15" t="s">
        <v>19</v>
      </c>
      <c r="M105" s="15">
        <v>1</v>
      </c>
      <c r="N105" s="15">
        <v>10</v>
      </c>
      <c r="O105" s="15">
        <v>0.18182400000000001</v>
      </c>
      <c r="P105" s="15">
        <v>2E-3</v>
      </c>
      <c r="Q105" s="15" t="s">
        <v>20</v>
      </c>
      <c r="R105" s="8" t="str">
        <f t="shared" si="49"/>
        <v>interpreted-sel---</v>
      </c>
    </row>
    <row r="106" spans="1:18" x14ac:dyDescent="0.2">
      <c r="A106" s="15" t="s">
        <v>36</v>
      </c>
      <c r="B106" s="15" t="s">
        <v>15</v>
      </c>
      <c r="C106" s="15" t="s">
        <v>16</v>
      </c>
      <c r="D106" s="15" t="s">
        <v>17</v>
      </c>
      <c r="E106" s="15" t="s">
        <v>18</v>
      </c>
      <c r="F106" s="15"/>
      <c r="G106" s="15">
        <v>0</v>
      </c>
      <c r="H106" s="15"/>
      <c r="I106" s="15"/>
      <c r="J106" s="15"/>
      <c r="K106" s="15"/>
      <c r="L106" s="15" t="s">
        <v>19</v>
      </c>
      <c r="M106" s="15">
        <v>1</v>
      </c>
      <c r="N106" s="15">
        <v>10</v>
      </c>
      <c r="O106" s="15">
        <v>0.102191</v>
      </c>
      <c r="P106" s="15">
        <v>1E-3</v>
      </c>
      <c r="Q106" s="15" t="s">
        <v>20</v>
      </c>
      <c r="R106" s="8" t="str">
        <f t="shared" si="49"/>
        <v>interpreted-unordered---</v>
      </c>
    </row>
    <row r="107" spans="1:18" x14ac:dyDescent="0.2">
      <c r="A107" s="15" t="s">
        <v>36</v>
      </c>
      <c r="B107" s="15" t="s">
        <v>15</v>
      </c>
      <c r="C107" s="15" t="s">
        <v>27</v>
      </c>
      <c r="D107" s="15" t="s">
        <v>17</v>
      </c>
      <c r="E107" s="15" t="s">
        <v>28</v>
      </c>
      <c r="F107" s="15"/>
      <c r="G107" s="15">
        <v>0</v>
      </c>
      <c r="H107" s="15" t="s">
        <v>29</v>
      </c>
      <c r="I107" s="15" t="s">
        <v>35</v>
      </c>
      <c r="J107" s="15" t="s">
        <v>30</v>
      </c>
      <c r="K107" s="15"/>
      <c r="L107" s="15" t="s">
        <v>19</v>
      </c>
      <c r="M107" s="15">
        <v>1</v>
      </c>
      <c r="N107" s="15">
        <v>10</v>
      </c>
      <c r="O107" s="15">
        <v>0.18076700000000001</v>
      </c>
      <c r="P107" s="15">
        <v>5.0000000000000001E-3</v>
      </c>
      <c r="Q107" s="15" t="s">
        <v>20</v>
      </c>
      <c r="R107" s="8" t="str">
        <f t="shared" si="49"/>
        <v>jit-sel-async-ALL-bytecode</v>
      </c>
    </row>
    <row r="108" spans="1:18" x14ac:dyDescent="0.2">
      <c r="A108" s="15" t="s">
        <v>36</v>
      </c>
      <c r="B108" s="15" t="s">
        <v>15</v>
      </c>
      <c r="C108" s="15" t="s">
        <v>27</v>
      </c>
      <c r="D108" s="15" t="s">
        <v>17</v>
      </c>
      <c r="E108" s="15" t="s">
        <v>28</v>
      </c>
      <c r="F108" s="15"/>
      <c r="G108" s="15">
        <v>0</v>
      </c>
      <c r="H108" s="15" t="s">
        <v>29</v>
      </c>
      <c r="I108" s="15" t="s">
        <v>35</v>
      </c>
      <c r="J108" s="15" t="s">
        <v>31</v>
      </c>
      <c r="K108" s="15"/>
      <c r="L108" s="15" t="s">
        <v>19</v>
      </c>
      <c r="M108" s="15">
        <v>1</v>
      </c>
      <c r="N108" s="15">
        <v>10</v>
      </c>
      <c r="O108" s="15">
        <v>0.20937</v>
      </c>
      <c r="P108" s="15">
        <v>8.9999999999999993E-3</v>
      </c>
      <c r="Q108" s="15" t="s">
        <v>20</v>
      </c>
      <c r="R108" s="8" t="str">
        <f t="shared" si="49"/>
        <v>jit-sel-async-ALL-lambda</v>
      </c>
    </row>
    <row r="109" spans="1:18" x14ac:dyDescent="0.2">
      <c r="A109" s="15" t="s">
        <v>36</v>
      </c>
      <c r="B109" s="15" t="s">
        <v>15</v>
      </c>
      <c r="C109" s="15" t="s">
        <v>27</v>
      </c>
      <c r="D109" s="15" t="s">
        <v>17</v>
      </c>
      <c r="E109" s="15" t="s">
        <v>28</v>
      </c>
      <c r="F109" s="15"/>
      <c r="G109" s="15">
        <v>0</v>
      </c>
      <c r="H109" s="15" t="s">
        <v>29</v>
      </c>
      <c r="I109" s="15" t="s">
        <v>35</v>
      </c>
      <c r="J109" s="15" t="s">
        <v>33</v>
      </c>
      <c r="K109" s="15"/>
      <c r="L109" s="15" t="s">
        <v>19</v>
      </c>
      <c r="M109" s="15">
        <v>1</v>
      </c>
      <c r="N109" s="15">
        <v>10</v>
      </c>
      <c r="O109" s="15">
        <v>0.19408800000000001</v>
      </c>
      <c r="P109" s="15">
        <v>2E-3</v>
      </c>
      <c r="Q109" s="15" t="s">
        <v>20</v>
      </c>
      <c r="R109" s="8" t="str">
        <f t="shared" si="49"/>
        <v>jit-sel-async-ALL-quotes</v>
      </c>
    </row>
    <row r="110" spans="1:18" x14ac:dyDescent="0.2">
      <c r="A110" s="15" t="s">
        <v>36</v>
      </c>
      <c r="B110" s="15" t="s">
        <v>15</v>
      </c>
      <c r="C110" s="15" t="s">
        <v>27</v>
      </c>
      <c r="D110" s="15" t="s">
        <v>17</v>
      </c>
      <c r="E110" s="15" t="s">
        <v>28</v>
      </c>
      <c r="F110" s="15"/>
      <c r="G110" s="15">
        <v>0</v>
      </c>
      <c r="H110" s="15" t="s">
        <v>29</v>
      </c>
      <c r="I110" s="15" t="s">
        <v>74</v>
      </c>
      <c r="J110" s="15" t="s">
        <v>30</v>
      </c>
      <c r="K110" s="15"/>
      <c r="L110" s="15" t="s">
        <v>19</v>
      </c>
      <c r="M110" s="15">
        <v>1</v>
      </c>
      <c r="N110" s="15">
        <v>10</v>
      </c>
      <c r="O110" s="15">
        <v>0.17266699999999999</v>
      </c>
      <c r="P110" s="15">
        <v>2E-3</v>
      </c>
      <c r="Q110" s="15" t="s">
        <v>20</v>
      </c>
      <c r="R110" s="8" t="str">
        <f t="shared" si="49"/>
        <v>jit-sel-async-RULE-bytecode</v>
      </c>
    </row>
    <row r="111" spans="1:18" x14ac:dyDescent="0.2">
      <c r="A111" s="15" t="s">
        <v>36</v>
      </c>
      <c r="B111" s="15" t="s">
        <v>15</v>
      </c>
      <c r="C111" s="15" t="s">
        <v>27</v>
      </c>
      <c r="D111" s="15" t="s">
        <v>17</v>
      </c>
      <c r="E111" s="15" t="s">
        <v>28</v>
      </c>
      <c r="F111" s="15"/>
      <c r="G111" s="15">
        <v>0</v>
      </c>
      <c r="H111" s="15" t="s">
        <v>29</v>
      </c>
      <c r="I111" s="15" t="s">
        <v>74</v>
      </c>
      <c r="J111" s="15" t="s">
        <v>31</v>
      </c>
      <c r="K111" s="15"/>
      <c r="L111" s="15" t="s">
        <v>19</v>
      </c>
      <c r="M111" s="15">
        <v>1</v>
      </c>
      <c r="N111" s="15">
        <v>10</v>
      </c>
      <c r="O111" s="15">
        <v>0.14425099999999999</v>
      </c>
      <c r="P111" s="15">
        <v>1.6E-2</v>
      </c>
      <c r="Q111" s="15" t="s">
        <v>20</v>
      </c>
      <c r="R111" s="8" t="str">
        <f t="shared" si="49"/>
        <v>jit-sel-async-RULE-lambda</v>
      </c>
    </row>
    <row r="112" spans="1:18" x14ac:dyDescent="0.2">
      <c r="A112" s="15" t="s">
        <v>36</v>
      </c>
      <c r="B112" s="15" t="s">
        <v>15</v>
      </c>
      <c r="C112" s="15" t="s">
        <v>27</v>
      </c>
      <c r="D112" s="15" t="s">
        <v>17</v>
      </c>
      <c r="E112" s="15" t="s">
        <v>28</v>
      </c>
      <c r="F112" s="15"/>
      <c r="G112" s="15">
        <v>0</v>
      </c>
      <c r="H112" s="15" t="s">
        <v>29</v>
      </c>
      <c r="I112" s="15" t="s">
        <v>74</v>
      </c>
      <c r="J112" s="15" t="s">
        <v>33</v>
      </c>
      <c r="K112" s="15"/>
      <c r="L112" s="15" t="s">
        <v>19</v>
      </c>
      <c r="M112" s="15">
        <v>1</v>
      </c>
      <c r="N112" s="15">
        <v>10</v>
      </c>
      <c r="O112" s="15">
        <v>0.181726</v>
      </c>
      <c r="P112" s="15">
        <v>2E-3</v>
      </c>
      <c r="Q112" s="15" t="s">
        <v>20</v>
      </c>
      <c r="R112" s="8" t="str">
        <f t="shared" si="49"/>
        <v>jit-sel-async-RULE-quotes</v>
      </c>
    </row>
    <row r="113" spans="1:18" x14ac:dyDescent="0.2">
      <c r="A113" s="15" t="s">
        <v>36</v>
      </c>
      <c r="B113" s="15" t="s">
        <v>15</v>
      </c>
      <c r="C113" s="15" t="s">
        <v>27</v>
      </c>
      <c r="D113" s="15" t="s">
        <v>17</v>
      </c>
      <c r="E113" s="15" t="s">
        <v>28</v>
      </c>
      <c r="F113" s="15"/>
      <c r="G113" s="15">
        <v>0</v>
      </c>
      <c r="H113" s="15" t="s">
        <v>39</v>
      </c>
      <c r="I113" s="15" t="s">
        <v>35</v>
      </c>
      <c r="J113" s="15" t="s">
        <v>30</v>
      </c>
      <c r="K113" s="15"/>
      <c r="L113" s="15" t="s">
        <v>19</v>
      </c>
      <c r="M113" s="15">
        <v>1</v>
      </c>
      <c r="N113" s="15">
        <v>10</v>
      </c>
      <c r="O113" s="15">
        <v>0.18412700000000001</v>
      </c>
      <c r="P113" s="15">
        <v>4.0000000000000001E-3</v>
      </c>
      <c r="Q113" s="15" t="s">
        <v>20</v>
      </c>
      <c r="R113" s="8" t="str">
        <f t="shared" si="49"/>
        <v>jit-sel-blocking-ALL-bytecode</v>
      </c>
    </row>
    <row r="114" spans="1:18" x14ac:dyDescent="0.2">
      <c r="A114" s="15" t="s">
        <v>36</v>
      </c>
      <c r="B114" s="15" t="s">
        <v>15</v>
      </c>
      <c r="C114" s="15" t="s">
        <v>27</v>
      </c>
      <c r="D114" s="15" t="s">
        <v>17</v>
      </c>
      <c r="E114" s="15" t="s">
        <v>28</v>
      </c>
      <c r="F114" s="15"/>
      <c r="G114" s="15">
        <v>0</v>
      </c>
      <c r="H114" s="15" t="s">
        <v>39</v>
      </c>
      <c r="I114" s="15" t="s">
        <v>35</v>
      </c>
      <c r="J114" s="15" t="s">
        <v>31</v>
      </c>
      <c r="K114" s="15"/>
      <c r="L114" s="15" t="s">
        <v>19</v>
      </c>
      <c r="M114" s="15">
        <v>1</v>
      </c>
      <c r="N114" s="15">
        <v>10</v>
      </c>
      <c r="O114" s="15">
        <v>0.180397</v>
      </c>
      <c r="P114" s="15">
        <v>1E-3</v>
      </c>
      <c r="Q114" s="15" t="s">
        <v>20</v>
      </c>
      <c r="R114" s="8" t="str">
        <f t="shared" si="49"/>
        <v>jit-sel-blocking-ALL-lambda</v>
      </c>
    </row>
    <row r="115" spans="1:18" x14ac:dyDescent="0.2">
      <c r="A115" s="15" t="s">
        <v>36</v>
      </c>
      <c r="B115" s="15" t="s">
        <v>15</v>
      </c>
      <c r="C115" s="15" t="s">
        <v>27</v>
      </c>
      <c r="D115" s="15" t="s">
        <v>17</v>
      </c>
      <c r="E115" s="15" t="s">
        <v>28</v>
      </c>
      <c r="F115" s="15"/>
      <c r="G115" s="15">
        <v>0</v>
      </c>
      <c r="H115" s="15" t="s">
        <v>39</v>
      </c>
      <c r="I115" s="15" t="s">
        <v>35</v>
      </c>
      <c r="J115" s="15" t="s">
        <v>33</v>
      </c>
      <c r="K115" s="15"/>
      <c r="L115" s="15" t="s">
        <v>19</v>
      </c>
      <c r="M115" s="15">
        <v>1</v>
      </c>
      <c r="N115" s="15">
        <v>10</v>
      </c>
      <c r="O115" s="15">
        <v>0.19998099999999999</v>
      </c>
      <c r="P115" s="15">
        <v>2E-3</v>
      </c>
      <c r="Q115" s="15" t="s">
        <v>20</v>
      </c>
      <c r="R115" s="8" t="str">
        <f t="shared" si="49"/>
        <v>jit-sel-blocking-ALL-quotes</v>
      </c>
    </row>
    <row r="116" spans="1:18" x14ac:dyDescent="0.2">
      <c r="A116" s="15" t="s">
        <v>36</v>
      </c>
      <c r="B116" s="15" t="s">
        <v>15</v>
      </c>
      <c r="C116" s="15" t="s">
        <v>27</v>
      </c>
      <c r="D116" s="15" t="s">
        <v>17</v>
      </c>
      <c r="E116" s="15" t="s">
        <v>28</v>
      </c>
      <c r="F116" s="15"/>
      <c r="G116" s="15">
        <v>0</v>
      </c>
      <c r="H116" s="15" t="s">
        <v>39</v>
      </c>
      <c r="I116" s="15" t="s">
        <v>75</v>
      </c>
      <c r="J116" s="15" t="s">
        <v>30</v>
      </c>
      <c r="K116" s="15"/>
      <c r="L116" s="15" t="s">
        <v>19</v>
      </c>
      <c r="M116" s="15">
        <v>1</v>
      </c>
      <c r="N116" s="15">
        <v>10</v>
      </c>
      <c r="O116" s="15">
        <v>0.19980800000000001</v>
      </c>
      <c r="P116" s="15">
        <v>4.0000000000000001E-3</v>
      </c>
      <c r="Q116" s="15" t="s">
        <v>20</v>
      </c>
      <c r="R116" s="8" t="str">
        <f t="shared" si="49"/>
        <v>jit-sel-blocking-DELTA-bytecode</v>
      </c>
    </row>
    <row r="117" spans="1:18" x14ac:dyDescent="0.2">
      <c r="A117" s="15" t="s">
        <v>36</v>
      </c>
      <c r="B117" s="15" t="s">
        <v>15</v>
      </c>
      <c r="C117" s="15" t="s">
        <v>27</v>
      </c>
      <c r="D117" s="15" t="s">
        <v>17</v>
      </c>
      <c r="E117" s="15" t="s">
        <v>28</v>
      </c>
      <c r="F117" s="15"/>
      <c r="G117" s="15">
        <v>0</v>
      </c>
      <c r="H117" s="15" t="s">
        <v>39</v>
      </c>
      <c r="I117" s="15" t="s">
        <v>75</v>
      </c>
      <c r="J117" s="15" t="s">
        <v>31</v>
      </c>
      <c r="K117" s="15"/>
      <c r="L117" s="15" t="s">
        <v>19</v>
      </c>
      <c r="M117" s="15">
        <v>1</v>
      </c>
      <c r="N117" s="15">
        <v>10</v>
      </c>
      <c r="O117" s="15">
        <v>2.7271E-2</v>
      </c>
      <c r="P117" s="15">
        <v>5.0000000000000001E-4</v>
      </c>
      <c r="Q117" s="15" t="s">
        <v>20</v>
      </c>
      <c r="R117" s="8" t="str">
        <f t="shared" si="49"/>
        <v>jit-sel-blocking-DELTA-lambda</v>
      </c>
    </row>
    <row r="118" spans="1:18" x14ac:dyDescent="0.2">
      <c r="A118" s="15" t="s">
        <v>36</v>
      </c>
      <c r="B118" s="15" t="s">
        <v>15</v>
      </c>
      <c r="C118" s="15" t="s">
        <v>27</v>
      </c>
      <c r="D118" s="15" t="s">
        <v>17</v>
      </c>
      <c r="E118" s="15" t="s">
        <v>28</v>
      </c>
      <c r="F118" s="15"/>
      <c r="G118" s="15">
        <v>0</v>
      </c>
      <c r="H118" s="15" t="s">
        <v>39</v>
      </c>
      <c r="I118" s="15" t="s">
        <v>75</v>
      </c>
      <c r="J118" s="15" t="s">
        <v>33</v>
      </c>
      <c r="K118" s="15"/>
      <c r="L118" s="15" t="s">
        <v>19</v>
      </c>
      <c r="M118" s="15">
        <v>1</v>
      </c>
      <c r="N118" s="15">
        <v>10</v>
      </c>
      <c r="O118" s="15">
        <v>0.213284</v>
      </c>
      <c r="P118" s="15">
        <v>1E-3</v>
      </c>
      <c r="Q118" s="15" t="s">
        <v>20</v>
      </c>
      <c r="R118" s="8" t="str">
        <f t="shared" si="49"/>
        <v>jit-sel-blocking-DELTA-quotes</v>
      </c>
    </row>
    <row r="119" spans="1:18" x14ac:dyDescent="0.2">
      <c r="A119" s="15" t="s">
        <v>36</v>
      </c>
      <c r="B119" s="15" t="s">
        <v>15</v>
      </c>
      <c r="C119" s="15" t="s">
        <v>27</v>
      </c>
      <c r="D119" s="15" t="s">
        <v>17</v>
      </c>
      <c r="E119" s="15" t="s">
        <v>28</v>
      </c>
      <c r="F119" s="15"/>
      <c r="G119" s="15">
        <v>0</v>
      </c>
      <c r="H119" s="15" t="s">
        <v>39</v>
      </c>
      <c r="I119" s="15" t="s">
        <v>74</v>
      </c>
      <c r="J119" s="15" t="s">
        <v>30</v>
      </c>
      <c r="K119" s="15"/>
      <c r="L119" s="15" t="s">
        <v>19</v>
      </c>
      <c r="M119" s="15">
        <v>1</v>
      </c>
      <c r="N119" s="15">
        <v>10</v>
      </c>
      <c r="O119" s="15">
        <v>0.16686599999999999</v>
      </c>
      <c r="P119" s="15">
        <v>5.0000000000000001E-3</v>
      </c>
      <c r="Q119" s="15" t="s">
        <v>20</v>
      </c>
      <c r="R119" s="8" t="str">
        <f t="shared" si="49"/>
        <v>jit-sel-blocking-RULE-bytecode</v>
      </c>
    </row>
    <row r="120" spans="1:18" x14ac:dyDescent="0.2">
      <c r="A120" s="15" t="s">
        <v>36</v>
      </c>
      <c r="B120" s="15" t="s">
        <v>15</v>
      </c>
      <c r="C120" s="15" t="s">
        <v>27</v>
      </c>
      <c r="D120" s="15" t="s">
        <v>17</v>
      </c>
      <c r="E120" s="15" t="s">
        <v>28</v>
      </c>
      <c r="F120" s="15"/>
      <c r="G120" s="15">
        <v>0</v>
      </c>
      <c r="H120" s="15" t="s">
        <v>39</v>
      </c>
      <c r="I120" s="15" t="s">
        <v>74</v>
      </c>
      <c r="J120" s="15" t="s">
        <v>31</v>
      </c>
      <c r="K120" s="15"/>
      <c r="L120" s="15" t="s">
        <v>19</v>
      </c>
      <c r="M120" s="15">
        <v>1</v>
      </c>
      <c r="N120" s="15">
        <v>10</v>
      </c>
      <c r="O120" s="15">
        <v>0.19028800000000001</v>
      </c>
      <c r="P120" s="15">
        <v>5.0000000000000001E-3</v>
      </c>
      <c r="Q120" s="15" t="s">
        <v>20</v>
      </c>
      <c r="R120" s="8" t="str">
        <f t="shared" si="49"/>
        <v>jit-sel-blocking-RULE-lambda</v>
      </c>
    </row>
    <row r="121" spans="1:18" x14ac:dyDescent="0.2">
      <c r="A121" s="15" t="s">
        <v>36</v>
      </c>
      <c r="B121" s="15" t="s">
        <v>15</v>
      </c>
      <c r="C121" s="15" t="s">
        <v>27</v>
      </c>
      <c r="D121" s="15" t="s">
        <v>17</v>
      </c>
      <c r="E121" s="15" t="s">
        <v>28</v>
      </c>
      <c r="F121" s="15"/>
      <c r="G121" s="15">
        <v>0</v>
      </c>
      <c r="H121" s="15" t="s">
        <v>39</v>
      </c>
      <c r="I121" s="15" t="s">
        <v>74</v>
      </c>
      <c r="J121" s="15" t="s">
        <v>33</v>
      </c>
      <c r="K121" s="15"/>
      <c r="L121" s="15" t="s">
        <v>19</v>
      </c>
      <c r="M121" s="15">
        <v>1</v>
      </c>
      <c r="N121" s="15">
        <v>10</v>
      </c>
      <c r="O121" s="15">
        <v>0.175093</v>
      </c>
      <c r="P121" s="15">
        <v>3.0000000000000001E-3</v>
      </c>
      <c r="Q121" s="15" t="s">
        <v>20</v>
      </c>
      <c r="R121" s="8" t="str">
        <f t="shared" si="49"/>
        <v>jit-sel-blocking-RULE-quotes</v>
      </c>
    </row>
    <row r="122" spans="1:18" x14ac:dyDescent="0.2">
      <c r="A122" s="15" t="s">
        <v>36</v>
      </c>
      <c r="B122" s="15" t="s">
        <v>65</v>
      </c>
      <c r="C122" s="15" t="s">
        <v>16</v>
      </c>
      <c r="D122" s="15" t="s">
        <v>17</v>
      </c>
      <c r="E122" s="15" t="s">
        <v>28</v>
      </c>
      <c r="F122" s="15"/>
      <c r="G122" s="15">
        <v>0</v>
      </c>
      <c r="H122" s="15"/>
      <c r="I122" s="15"/>
      <c r="J122" s="15"/>
      <c r="K122" s="15"/>
      <c r="L122" s="15" t="s">
        <v>19</v>
      </c>
      <c r="M122" s="15">
        <v>1</v>
      </c>
      <c r="N122" s="15">
        <v>10</v>
      </c>
      <c r="O122" s="15">
        <v>0.19925200000000001</v>
      </c>
      <c r="P122" s="15">
        <v>6.0000000000000001E-3</v>
      </c>
      <c r="Q122" s="15" t="s">
        <v>20</v>
      </c>
      <c r="R122" s="8" t="str">
        <f t="shared" si="49"/>
        <v>interpreted-sel---</v>
      </c>
    </row>
    <row r="123" spans="1:18" x14ac:dyDescent="0.2">
      <c r="A123" s="15" t="s">
        <v>36</v>
      </c>
      <c r="B123" s="15" t="s">
        <v>65</v>
      </c>
      <c r="C123" s="15" t="s">
        <v>16</v>
      </c>
      <c r="D123" s="15" t="s">
        <v>17</v>
      </c>
      <c r="E123" s="15" t="s">
        <v>18</v>
      </c>
      <c r="F123" s="15"/>
      <c r="G123" s="15">
        <v>0</v>
      </c>
      <c r="H123" s="15"/>
      <c r="I123" s="15"/>
      <c r="J123" s="15"/>
      <c r="K123" s="15"/>
      <c r="L123" s="15" t="s">
        <v>19</v>
      </c>
      <c r="M123" s="15">
        <v>1</v>
      </c>
      <c r="N123" s="15">
        <v>10</v>
      </c>
      <c r="O123" s="15">
        <v>0.336177</v>
      </c>
      <c r="P123" s="15">
        <v>3.0000000000000001E-3</v>
      </c>
      <c r="Q123" s="15" t="s">
        <v>20</v>
      </c>
      <c r="R123" s="8" t="str">
        <f t="shared" si="49"/>
        <v>interpreted-unordered---</v>
      </c>
    </row>
    <row r="124" spans="1:18" x14ac:dyDescent="0.2">
      <c r="A124" s="15" t="s">
        <v>36</v>
      </c>
      <c r="B124" s="15" t="s">
        <v>65</v>
      </c>
      <c r="C124" s="15" t="s">
        <v>27</v>
      </c>
      <c r="D124" s="15" t="s">
        <v>17</v>
      </c>
      <c r="E124" s="15" t="s">
        <v>28</v>
      </c>
      <c r="F124" s="15"/>
      <c r="G124" s="15">
        <v>0</v>
      </c>
      <c r="H124" s="15" t="s">
        <v>29</v>
      </c>
      <c r="I124" s="15" t="s">
        <v>35</v>
      </c>
      <c r="J124" s="15" t="s">
        <v>30</v>
      </c>
      <c r="K124" s="15"/>
      <c r="L124" s="15" t="s">
        <v>19</v>
      </c>
      <c r="M124" s="15">
        <v>1</v>
      </c>
      <c r="N124" s="15">
        <v>10</v>
      </c>
      <c r="O124" s="15">
        <v>0.20263800000000001</v>
      </c>
      <c r="P124" s="15">
        <v>2E-3</v>
      </c>
      <c r="Q124" s="15" t="s">
        <v>20</v>
      </c>
      <c r="R124" s="8" t="str">
        <f t="shared" si="49"/>
        <v>jit-sel-async-ALL-bytecode</v>
      </c>
    </row>
    <row r="125" spans="1:18" x14ac:dyDescent="0.2">
      <c r="A125" s="15" t="s">
        <v>36</v>
      </c>
      <c r="B125" s="15" t="s">
        <v>65</v>
      </c>
      <c r="C125" s="15" t="s">
        <v>27</v>
      </c>
      <c r="D125" s="15" t="s">
        <v>17</v>
      </c>
      <c r="E125" s="15" t="s">
        <v>28</v>
      </c>
      <c r="F125" s="15"/>
      <c r="G125" s="15">
        <v>0</v>
      </c>
      <c r="H125" s="15" t="s">
        <v>29</v>
      </c>
      <c r="I125" s="15" t="s">
        <v>35</v>
      </c>
      <c r="J125" s="15" t="s">
        <v>31</v>
      </c>
      <c r="K125" s="15"/>
      <c r="L125" s="15" t="s">
        <v>19</v>
      </c>
      <c r="M125" s="15">
        <v>1</v>
      </c>
      <c r="N125" s="15">
        <v>10</v>
      </c>
      <c r="O125" s="15">
        <v>0.19319700000000001</v>
      </c>
      <c r="P125" s="15">
        <v>5.0000000000000001E-3</v>
      </c>
      <c r="Q125" s="15" t="s">
        <v>20</v>
      </c>
      <c r="R125" s="8" t="str">
        <f t="shared" si="49"/>
        <v>jit-sel-async-ALL-lambda</v>
      </c>
    </row>
    <row r="126" spans="1:18" x14ac:dyDescent="0.2">
      <c r="A126" s="15" t="s">
        <v>36</v>
      </c>
      <c r="B126" s="15" t="s">
        <v>65</v>
      </c>
      <c r="C126" s="15" t="s">
        <v>27</v>
      </c>
      <c r="D126" s="15" t="s">
        <v>17</v>
      </c>
      <c r="E126" s="15" t="s">
        <v>28</v>
      </c>
      <c r="F126" s="15"/>
      <c r="G126" s="15">
        <v>0</v>
      </c>
      <c r="H126" s="15" t="s">
        <v>29</v>
      </c>
      <c r="I126" s="15" t="s">
        <v>35</v>
      </c>
      <c r="J126" s="15" t="s">
        <v>33</v>
      </c>
      <c r="K126" s="15"/>
      <c r="L126" s="15" t="s">
        <v>19</v>
      </c>
      <c r="M126" s="15">
        <v>1</v>
      </c>
      <c r="N126" s="15">
        <v>10</v>
      </c>
      <c r="O126" s="15">
        <v>0.148483</v>
      </c>
      <c r="P126" s="15">
        <v>5.0000000000000001E-3</v>
      </c>
      <c r="Q126" s="15" t="s">
        <v>20</v>
      </c>
      <c r="R126" s="8" t="str">
        <f t="shared" si="49"/>
        <v>jit-sel-async-ALL-quotes</v>
      </c>
    </row>
    <row r="127" spans="1:18" x14ac:dyDescent="0.2">
      <c r="A127" s="15" t="s">
        <v>36</v>
      </c>
      <c r="B127" s="15" t="s">
        <v>65</v>
      </c>
      <c r="C127" s="15" t="s">
        <v>27</v>
      </c>
      <c r="D127" s="15" t="s">
        <v>17</v>
      </c>
      <c r="E127" s="15" t="s">
        <v>28</v>
      </c>
      <c r="F127" s="15"/>
      <c r="G127" s="15">
        <v>0</v>
      </c>
      <c r="H127" s="15" t="s">
        <v>29</v>
      </c>
      <c r="I127" s="15" t="s">
        <v>74</v>
      </c>
      <c r="J127" s="15" t="s">
        <v>30</v>
      </c>
      <c r="K127" s="15"/>
      <c r="L127" s="15" t="s">
        <v>19</v>
      </c>
      <c r="M127" s="15">
        <v>1</v>
      </c>
      <c r="N127" s="15">
        <v>10</v>
      </c>
      <c r="O127" s="15">
        <v>0.158334</v>
      </c>
      <c r="P127" s="15">
        <v>2E-3</v>
      </c>
      <c r="Q127" s="15" t="s">
        <v>20</v>
      </c>
      <c r="R127" s="8" t="str">
        <f t="shared" si="49"/>
        <v>jit-sel-async-RULE-bytecode</v>
      </c>
    </row>
    <row r="128" spans="1:18" x14ac:dyDescent="0.2">
      <c r="A128" s="15" t="s">
        <v>36</v>
      </c>
      <c r="B128" s="15" t="s">
        <v>65</v>
      </c>
      <c r="C128" s="15" t="s">
        <v>27</v>
      </c>
      <c r="D128" s="15" t="s">
        <v>17</v>
      </c>
      <c r="E128" s="15" t="s">
        <v>28</v>
      </c>
      <c r="F128" s="15"/>
      <c r="G128" s="15">
        <v>0</v>
      </c>
      <c r="H128" s="15" t="s">
        <v>29</v>
      </c>
      <c r="I128" s="15" t="s">
        <v>74</v>
      </c>
      <c r="J128" s="15" t="s">
        <v>31</v>
      </c>
      <c r="K128" s="15"/>
      <c r="L128" s="15" t="s">
        <v>19</v>
      </c>
      <c r="M128" s="15">
        <v>1</v>
      </c>
      <c r="N128" s="15">
        <v>10</v>
      </c>
      <c r="O128" s="15">
        <v>0.12645899999999999</v>
      </c>
      <c r="P128" s="15">
        <v>0.01</v>
      </c>
      <c r="Q128" s="15" t="s">
        <v>20</v>
      </c>
      <c r="R128" s="8" t="str">
        <f t="shared" si="49"/>
        <v>jit-sel-async-RULE-lambda</v>
      </c>
    </row>
    <row r="129" spans="1:18" x14ac:dyDescent="0.2">
      <c r="A129" s="15" t="s">
        <v>36</v>
      </c>
      <c r="B129" s="15" t="s">
        <v>65</v>
      </c>
      <c r="C129" s="15" t="s">
        <v>27</v>
      </c>
      <c r="D129" s="15" t="s">
        <v>17</v>
      </c>
      <c r="E129" s="15" t="s">
        <v>28</v>
      </c>
      <c r="F129" s="15"/>
      <c r="G129" s="15">
        <v>0</v>
      </c>
      <c r="H129" s="15" t="s">
        <v>29</v>
      </c>
      <c r="I129" s="15" t="s">
        <v>74</v>
      </c>
      <c r="J129" s="15" t="s">
        <v>33</v>
      </c>
      <c r="K129" s="15"/>
      <c r="L129" s="15" t="s">
        <v>19</v>
      </c>
      <c r="M129" s="15">
        <v>1</v>
      </c>
      <c r="N129" s="15">
        <v>10</v>
      </c>
      <c r="O129" s="15">
        <v>0.19980700000000001</v>
      </c>
      <c r="P129" s="15">
        <v>3.0000000000000001E-3</v>
      </c>
      <c r="Q129" s="15" t="s">
        <v>20</v>
      </c>
      <c r="R129" s="8" t="str">
        <f t="shared" si="49"/>
        <v>jit-sel-async-RULE-quotes</v>
      </c>
    </row>
    <row r="130" spans="1:18" x14ac:dyDescent="0.2">
      <c r="A130" s="15" t="s">
        <v>36</v>
      </c>
      <c r="B130" s="15" t="s">
        <v>65</v>
      </c>
      <c r="C130" s="15" t="s">
        <v>27</v>
      </c>
      <c r="D130" s="15" t="s">
        <v>17</v>
      </c>
      <c r="E130" s="15" t="s">
        <v>28</v>
      </c>
      <c r="F130" s="15"/>
      <c r="G130" s="15">
        <v>0</v>
      </c>
      <c r="H130" s="15" t="s">
        <v>39</v>
      </c>
      <c r="I130" s="15" t="s">
        <v>35</v>
      </c>
      <c r="J130" s="15" t="s">
        <v>30</v>
      </c>
      <c r="K130" s="15"/>
      <c r="L130" s="15" t="s">
        <v>19</v>
      </c>
      <c r="M130" s="15">
        <v>1</v>
      </c>
      <c r="N130" s="15">
        <v>10</v>
      </c>
      <c r="O130" s="15">
        <v>0.16970499999999999</v>
      </c>
      <c r="P130" s="15">
        <v>1E-3</v>
      </c>
      <c r="Q130" s="15" t="s">
        <v>20</v>
      </c>
      <c r="R130" s="8" t="str">
        <f t="shared" si="49"/>
        <v>jit-sel-blocking-ALL-bytecode</v>
      </c>
    </row>
    <row r="131" spans="1:18" x14ac:dyDescent="0.2">
      <c r="A131" s="15" t="s">
        <v>36</v>
      </c>
      <c r="B131" s="15" t="s">
        <v>65</v>
      </c>
      <c r="C131" s="15" t="s">
        <v>27</v>
      </c>
      <c r="D131" s="15" t="s">
        <v>17</v>
      </c>
      <c r="E131" s="15" t="s">
        <v>28</v>
      </c>
      <c r="F131" s="15"/>
      <c r="G131" s="15">
        <v>0</v>
      </c>
      <c r="H131" s="15" t="s">
        <v>39</v>
      </c>
      <c r="I131" s="15" t="s">
        <v>35</v>
      </c>
      <c r="J131" s="15" t="s">
        <v>31</v>
      </c>
      <c r="K131" s="15"/>
      <c r="L131" s="15" t="s">
        <v>19</v>
      </c>
      <c r="M131" s="15">
        <v>1</v>
      </c>
      <c r="N131" s="15">
        <v>10</v>
      </c>
      <c r="O131" s="15">
        <v>0.15958800000000001</v>
      </c>
      <c r="P131" s="15">
        <v>6.0000000000000001E-3</v>
      </c>
      <c r="Q131" s="15" t="s">
        <v>20</v>
      </c>
      <c r="R131" s="8" t="str">
        <f t="shared" si="49"/>
        <v>jit-sel-blocking-ALL-lambda</v>
      </c>
    </row>
    <row r="132" spans="1:18" x14ac:dyDescent="0.2">
      <c r="A132" s="15" t="s">
        <v>36</v>
      </c>
      <c r="B132" s="15" t="s">
        <v>65</v>
      </c>
      <c r="C132" s="15" t="s">
        <v>27</v>
      </c>
      <c r="D132" s="15" t="s">
        <v>17</v>
      </c>
      <c r="E132" s="15" t="s">
        <v>28</v>
      </c>
      <c r="F132" s="15"/>
      <c r="G132" s="15">
        <v>0</v>
      </c>
      <c r="H132" s="15" t="s">
        <v>39</v>
      </c>
      <c r="I132" s="15" t="s">
        <v>35</v>
      </c>
      <c r="J132" s="15" t="s">
        <v>33</v>
      </c>
      <c r="K132" s="15"/>
      <c r="L132" s="15" t="s">
        <v>19</v>
      </c>
      <c r="M132" s="15">
        <v>1</v>
      </c>
      <c r="N132" s="15">
        <v>10</v>
      </c>
      <c r="O132" s="15">
        <v>0.15959999999999999</v>
      </c>
      <c r="P132" s="15">
        <v>3.0000000000000001E-3</v>
      </c>
      <c r="Q132" s="15" t="s">
        <v>20</v>
      </c>
      <c r="R132" s="8" t="str">
        <f t="shared" ref="R132:R195" si="50">_xlfn.CONCAT(C132, "-", E132, "-", H132, "-", I132, "-", J132)</f>
        <v>jit-sel-blocking-ALL-quotes</v>
      </c>
    </row>
    <row r="133" spans="1:18" x14ac:dyDescent="0.2">
      <c r="A133" s="15" t="s">
        <v>36</v>
      </c>
      <c r="B133" s="15" t="s">
        <v>65</v>
      </c>
      <c r="C133" s="15" t="s">
        <v>27</v>
      </c>
      <c r="D133" s="15" t="s">
        <v>17</v>
      </c>
      <c r="E133" s="15" t="s">
        <v>28</v>
      </c>
      <c r="F133" s="15"/>
      <c r="G133" s="15">
        <v>0</v>
      </c>
      <c r="H133" s="15" t="s">
        <v>39</v>
      </c>
      <c r="I133" s="15" t="s">
        <v>75</v>
      </c>
      <c r="J133" s="15" t="s">
        <v>30</v>
      </c>
      <c r="K133" s="15"/>
      <c r="L133" s="15" t="s">
        <v>19</v>
      </c>
      <c r="M133" s="15">
        <v>1</v>
      </c>
      <c r="N133" s="15">
        <v>10</v>
      </c>
      <c r="O133" s="15">
        <v>0.17393800000000001</v>
      </c>
      <c r="P133" s="15">
        <v>6.0000000000000001E-3</v>
      </c>
      <c r="Q133" s="15" t="s">
        <v>20</v>
      </c>
      <c r="R133" s="8" t="str">
        <f t="shared" si="50"/>
        <v>jit-sel-blocking-DELTA-bytecode</v>
      </c>
    </row>
    <row r="134" spans="1:18" x14ac:dyDescent="0.2">
      <c r="A134" s="15" t="s">
        <v>36</v>
      </c>
      <c r="B134" s="15" t="s">
        <v>65</v>
      </c>
      <c r="C134" s="15" t="s">
        <v>27</v>
      </c>
      <c r="D134" s="15" t="s">
        <v>17</v>
      </c>
      <c r="E134" s="15" t="s">
        <v>28</v>
      </c>
      <c r="F134" s="15"/>
      <c r="G134" s="15">
        <v>0</v>
      </c>
      <c r="H134" s="15" t="s">
        <v>39</v>
      </c>
      <c r="I134" s="15" t="s">
        <v>75</v>
      </c>
      <c r="J134" s="15" t="s">
        <v>31</v>
      </c>
      <c r="K134" s="15"/>
      <c r="L134" s="15" t="s">
        <v>19</v>
      </c>
      <c r="M134" s="15">
        <v>1</v>
      </c>
      <c r="N134" s="15">
        <v>10</v>
      </c>
      <c r="O134" s="15">
        <v>2.8531999999999998E-2</v>
      </c>
      <c r="P134" s="15">
        <v>2E-3</v>
      </c>
      <c r="Q134" s="15" t="s">
        <v>20</v>
      </c>
      <c r="R134" s="8" t="str">
        <f t="shared" si="50"/>
        <v>jit-sel-blocking-DELTA-lambda</v>
      </c>
    </row>
    <row r="135" spans="1:18" x14ac:dyDescent="0.2">
      <c r="A135" s="15" t="s">
        <v>36</v>
      </c>
      <c r="B135" s="15" t="s">
        <v>65</v>
      </c>
      <c r="C135" s="15" t="s">
        <v>27</v>
      </c>
      <c r="D135" s="15" t="s">
        <v>17</v>
      </c>
      <c r="E135" s="15" t="s">
        <v>28</v>
      </c>
      <c r="F135" s="15"/>
      <c r="G135" s="15">
        <v>0</v>
      </c>
      <c r="H135" s="15" t="s">
        <v>39</v>
      </c>
      <c r="I135" s="15" t="s">
        <v>75</v>
      </c>
      <c r="J135" s="15" t="s">
        <v>33</v>
      </c>
      <c r="K135" s="15"/>
      <c r="L135" s="15" t="s">
        <v>19</v>
      </c>
      <c r="M135" s="15">
        <v>1</v>
      </c>
      <c r="N135" s="15">
        <v>10</v>
      </c>
      <c r="O135" s="15">
        <v>0.17549300000000001</v>
      </c>
      <c r="P135" s="15">
        <v>3.0000000000000001E-3</v>
      </c>
      <c r="Q135" s="15" t="s">
        <v>20</v>
      </c>
      <c r="R135" s="8" t="str">
        <f t="shared" si="50"/>
        <v>jit-sel-blocking-DELTA-quotes</v>
      </c>
    </row>
    <row r="136" spans="1:18" x14ac:dyDescent="0.2">
      <c r="A136" s="15" t="s">
        <v>36</v>
      </c>
      <c r="B136" s="15" t="s">
        <v>65</v>
      </c>
      <c r="C136" s="15" t="s">
        <v>27</v>
      </c>
      <c r="D136" s="15" t="s">
        <v>17</v>
      </c>
      <c r="E136" s="15" t="s">
        <v>28</v>
      </c>
      <c r="F136" s="15"/>
      <c r="G136" s="15">
        <v>0</v>
      </c>
      <c r="H136" s="15" t="s">
        <v>39</v>
      </c>
      <c r="I136" s="15" t="s">
        <v>74</v>
      </c>
      <c r="J136" s="15" t="s">
        <v>30</v>
      </c>
      <c r="K136" s="15"/>
      <c r="L136" s="15" t="s">
        <v>19</v>
      </c>
      <c r="M136" s="15">
        <v>1</v>
      </c>
      <c r="N136" s="15">
        <v>10</v>
      </c>
      <c r="O136" s="15">
        <v>0.193356</v>
      </c>
      <c r="P136" s="15">
        <v>5.0000000000000001E-3</v>
      </c>
      <c r="Q136" s="15" t="s">
        <v>20</v>
      </c>
      <c r="R136" s="8" t="str">
        <f t="shared" si="50"/>
        <v>jit-sel-blocking-RULE-bytecode</v>
      </c>
    </row>
    <row r="137" spans="1:18" x14ac:dyDescent="0.2">
      <c r="A137" s="15" t="s">
        <v>36</v>
      </c>
      <c r="B137" s="15" t="s">
        <v>65</v>
      </c>
      <c r="C137" s="15" t="s">
        <v>27</v>
      </c>
      <c r="D137" s="15" t="s">
        <v>17</v>
      </c>
      <c r="E137" s="15" t="s">
        <v>28</v>
      </c>
      <c r="F137" s="15"/>
      <c r="G137" s="15">
        <v>0</v>
      </c>
      <c r="H137" s="15" t="s">
        <v>39</v>
      </c>
      <c r="I137" s="15" t="s">
        <v>74</v>
      </c>
      <c r="J137" s="15" t="s">
        <v>31</v>
      </c>
      <c r="K137" s="15"/>
      <c r="L137" s="15" t="s">
        <v>19</v>
      </c>
      <c r="M137" s="15">
        <v>1</v>
      </c>
      <c r="N137" s="15">
        <v>10</v>
      </c>
      <c r="O137" s="15">
        <v>0.15262500000000001</v>
      </c>
      <c r="P137" s="15">
        <v>2E-3</v>
      </c>
      <c r="Q137" s="15" t="s">
        <v>20</v>
      </c>
      <c r="R137" s="8" t="str">
        <f t="shared" si="50"/>
        <v>jit-sel-blocking-RULE-lambda</v>
      </c>
    </row>
    <row r="138" spans="1:18" x14ac:dyDescent="0.2">
      <c r="A138" s="15" t="s">
        <v>36</v>
      </c>
      <c r="B138" s="15" t="s">
        <v>65</v>
      </c>
      <c r="C138" s="15" t="s">
        <v>27</v>
      </c>
      <c r="D138" s="15" t="s">
        <v>17</v>
      </c>
      <c r="E138" s="15" t="s">
        <v>28</v>
      </c>
      <c r="F138" s="15"/>
      <c r="G138" s="15">
        <v>0</v>
      </c>
      <c r="H138" s="15" t="s">
        <v>39</v>
      </c>
      <c r="I138" s="15" t="s">
        <v>74</v>
      </c>
      <c r="J138" s="15" t="s">
        <v>33</v>
      </c>
      <c r="K138" s="15"/>
      <c r="L138" s="15" t="s">
        <v>19</v>
      </c>
      <c r="M138" s="15">
        <v>1</v>
      </c>
      <c r="N138" s="15">
        <v>10</v>
      </c>
      <c r="O138" s="15">
        <v>0.14818300000000001</v>
      </c>
      <c r="P138" s="15">
        <v>2E-3</v>
      </c>
      <c r="Q138" s="15" t="s">
        <v>20</v>
      </c>
      <c r="R138" s="8" t="str">
        <f t="shared" si="50"/>
        <v>jit-sel-blocking-RULE-quotes</v>
      </c>
    </row>
    <row r="139" spans="1:18" x14ac:dyDescent="0.2">
      <c r="A139" s="15" t="s">
        <v>37</v>
      </c>
      <c r="B139" s="15" t="s">
        <v>15</v>
      </c>
      <c r="C139" s="15" t="s">
        <v>16</v>
      </c>
      <c r="D139" s="15" t="s">
        <v>17</v>
      </c>
      <c r="E139" s="15" t="s">
        <v>28</v>
      </c>
      <c r="F139" s="15"/>
      <c r="G139" s="15">
        <v>0</v>
      </c>
      <c r="H139" s="15"/>
      <c r="I139" s="15"/>
      <c r="J139" s="15"/>
      <c r="K139" s="15"/>
      <c r="L139" s="15" t="s">
        <v>19</v>
      </c>
      <c r="M139" s="15">
        <v>1</v>
      </c>
      <c r="N139" s="15">
        <v>10</v>
      </c>
      <c r="O139" s="15">
        <v>1.3408E-2</v>
      </c>
      <c r="P139" s="15">
        <v>1E-4</v>
      </c>
      <c r="Q139" s="15" t="s">
        <v>20</v>
      </c>
      <c r="R139" s="8" t="str">
        <f t="shared" si="50"/>
        <v>interpreted-sel---</v>
      </c>
    </row>
    <row r="140" spans="1:18" x14ac:dyDescent="0.2">
      <c r="A140" s="15" t="s">
        <v>37</v>
      </c>
      <c r="B140" s="15" t="s">
        <v>15</v>
      </c>
      <c r="C140" s="15" t="s">
        <v>16</v>
      </c>
      <c r="D140" s="15" t="s">
        <v>17</v>
      </c>
      <c r="E140" s="15" t="s">
        <v>18</v>
      </c>
      <c r="F140" s="15"/>
      <c r="G140" s="15">
        <v>0</v>
      </c>
      <c r="H140" s="15"/>
      <c r="I140" s="15"/>
      <c r="J140" s="15"/>
      <c r="K140" s="15"/>
      <c r="L140" s="15" t="s">
        <v>19</v>
      </c>
      <c r="M140" s="15">
        <v>1</v>
      </c>
      <c r="N140" s="15">
        <v>10</v>
      </c>
      <c r="O140" s="15">
        <v>1.5402000000000001E-2</v>
      </c>
      <c r="P140" s="15">
        <v>2.0000000000000001E-4</v>
      </c>
      <c r="Q140" s="15" t="s">
        <v>20</v>
      </c>
      <c r="R140" s="8" t="str">
        <f t="shared" si="50"/>
        <v>interpreted-unordered---</v>
      </c>
    </row>
    <row r="141" spans="1:18" x14ac:dyDescent="0.2">
      <c r="A141" s="15" t="s">
        <v>37</v>
      </c>
      <c r="B141" s="15" t="s">
        <v>15</v>
      </c>
      <c r="C141" s="15" t="s">
        <v>27</v>
      </c>
      <c r="D141" s="15" t="s">
        <v>17</v>
      </c>
      <c r="E141" s="15" t="s">
        <v>28</v>
      </c>
      <c r="F141" s="15"/>
      <c r="G141" s="15">
        <v>0</v>
      </c>
      <c r="H141" s="15" t="s">
        <v>29</v>
      </c>
      <c r="I141" s="15" t="s">
        <v>35</v>
      </c>
      <c r="J141" s="15" t="s">
        <v>30</v>
      </c>
      <c r="K141" s="15"/>
      <c r="L141" s="15" t="s">
        <v>19</v>
      </c>
      <c r="M141" s="15">
        <v>1</v>
      </c>
      <c r="N141" s="15">
        <v>10</v>
      </c>
      <c r="O141" s="15">
        <v>1.3272000000000001E-2</v>
      </c>
      <c r="P141" s="15">
        <v>5.9999999999999995E-4</v>
      </c>
      <c r="Q141" s="15" t="s">
        <v>20</v>
      </c>
      <c r="R141" s="8" t="str">
        <f t="shared" si="50"/>
        <v>jit-sel-async-ALL-bytecode</v>
      </c>
    </row>
    <row r="142" spans="1:18" x14ac:dyDescent="0.2">
      <c r="A142" s="15" t="s">
        <v>37</v>
      </c>
      <c r="B142" s="15" t="s">
        <v>15</v>
      </c>
      <c r="C142" s="15" t="s">
        <v>27</v>
      </c>
      <c r="D142" s="15" t="s">
        <v>17</v>
      </c>
      <c r="E142" s="15" t="s">
        <v>28</v>
      </c>
      <c r="F142" s="15"/>
      <c r="G142" s="15">
        <v>0</v>
      </c>
      <c r="H142" s="15" t="s">
        <v>29</v>
      </c>
      <c r="I142" s="15" t="s">
        <v>35</v>
      </c>
      <c r="J142" s="15" t="s">
        <v>31</v>
      </c>
      <c r="K142" s="15"/>
      <c r="L142" s="15" t="s">
        <v>19</v>
      </c>
      <c r="M142" s="15">
        <v>1</v>
      </c>
      <c r="N142" s="15">
        <v>10</v>
      </c>
      <c r="O142" s="15">
        <v>1.3752E-2</v>
      </c>
      <c r="P142" s="15">
        <v>2.0000000000000001E-4</v>
      </c>
      <c r="Q142" s="15" t="s">
        <v>20</v>
      </c>
      <c r="R142" s="8" t="str">
        <f t="shared" si="50"/>
        <v>jit-sel-async-ALL-lambda</v>
      </c>
    </row>
    <row r="143" spans="1:18" x14ac:dyDescent="0.2">
      <c r="A143" s="15" t="s">
        <v>37</v>
      </c>
      <c r="B143" s="15" t="s">
        <v>15</v>
      </c>
      <c r="C143" s="15" t="s">
        <v>27</v>
      </c>
      <c r="D143" s="15" t="s">
        <v>17</v>
      </c>
      <c r="E143" s="15" t="s">
        <v>28</v>
      </c>
      <c r="F143" s="15"/>
      <c r="G143" s="15">
        <v>0</v>
      </c>
      <c r="H143" s="15" t="s">
        <v>29</v>
      </c>
      <c r="I143" s="15" t="s">
        <v>35</v>
      </c>
      <c r="J143" s="15" t="s">
        <v>33</v>
      </c>
      <c r="K143" s="15"/>
      <c r="L143" s="15" t="s">
        <v>19</v>
      </c>
      <c r="M143" s="15">
        <v>1</v>
      </c>
      <c r="N143" s="15">
        <v>10</v>
      </c>
      <c r="O143" s="15">
        <v>1.4441000000000001E-2</v>
      </c>
      <c r="P143" s="15">
        <v>2.9999999999999997E-4</v>
      </c>
      <c r="Q143" s="15" t="s">
        <v>20</v>
      </c>
      <c r="R143" s="8" t="str">
        <f t="shared" si="50"/>
        <v>jit-sel-async-ALL-quotes</v>
      </c>
    </row>
    <row r="144" spans="1:18" x14ac:dyDescent="0.2">
      <c r="A144" s="15" t="s">
        <v>37</v>
      </c>
      <c r="B144" s="15" t="s">
        <v>15</v>
      </c>
      <c r="C144" s="15" t="s">
        <v>27</v>
      </c>
      <c r="D144" s="15" t="s">
        <v>17</v>
      </c>
      <c r="E144" s="15" t="s">
        <v>28</v>
      </c>
      <c r="F144" s="15"/>
      <c r="G144" s="15">
        <v>0</v>
      </c>
      <c r="H144" s="15" t="s">
        <v>29</v>
      </c>
      <c r="I144" s="15" t="s">
        <v>74</v>
      </c>
      <c r="J144" s="15" t="s">
        <v>30</v>
      </c>
      <c r="K144" s="15"/>
      <c r="L144" s="15" t="s">
        <v>19</v>
      </c>
      <c r="M144" s="15">
        <v>1</v>
      </c>
      <c r="N144" s="15">
        <v>10</v>
      </c>
      <c r="O144" s="15">
        <v>1.8513999999999999E-2</v>
      </c>
      <c r="P144" s="15">
        <v>8.9999999999999998E-4</v>
      </c>
      <c r="Q144" s="15" t="s">
        <v>20</v>
      </c>
      <c r="R144" s="8" t="str">
        <f t="shared" si="50"/>
        <v>jit-sel-async-RULE-bytecode</v>
      </c>
    </row>
    <row r="145" spans="1:18" x14ac:dyDescent="0.2">
      <c r="A145" s="15" t="s">
        <v>37</v>
      </c>
      <c r="B145" s="15" t="s">
        <v>15</v>
      </c>
      <c r="C145" s="15" t="s">
        <v>27</v>
      </c>
      <c r="D145" s="15" t="s">
        <v>17</v>
      </c>
      <c r="E145" s="15" t="s">
        <v>28</v>
      </c>
      <c r="F145" s="15"/>
      <c r="G145" s="15">
        <v>0</v>
      </c>
      <c r="H145" s="15" t="s">
        <v>29</v>
      </c>
      <c r="I145" s="15" t="s">
        <v>74</v>
      </c>
      <c r="J145" s="15" t="s">
        <v>31</v>
      </c>
      <c r="K145" s="15"/>
      <c r="L145" s="15" t="s">
        <v>19</v>
      </c>
      <c r="M145" s="15">
        <v>1</v>
      </c>
      <c r="N145" s="15">
        <v>10</v>
      </c>
      <c r="O145" s="15">
        <v>1.6070999999999998E-2</v>
      </c>
      <c r="P145" s="15">
        <v>2.9999999999999997E-4</v>
      </c>
      <c r="Q145" s="15" t="s">
        <v>20</v>
      </c>
      <c r="R145" s="8" t="str">
        <f t="shared" si="50"/>
        <v>jit-sel-async-RULE-lambda</v>
      </c>
    </row>
    <row r="146" spans="1:18" x14ac:dyDescent="0.2">
      <c r="A146" s="15" t="s">
        <v>37</v>
      </c>
      <c r="B146" s="15" t="s">
        <v>15</v>
      </c>
      <c r="C146" s="15" t="s">
        <v>27</v>
      </c>
      <c r="D146" s="15" t="s">
        <v>17</v>
      </c>
      <c r="E146" s="15" t="s">
        <v>28</v>
      </c>
      <c r="F146" s="15"/>
      <c r="G146" s="15">
        <v>0</v>
      </c>
      <c r="H146" s="15" t="s">
        <v>29</v>
      </c>
      <c r="I146" s="15" t="s">
        <v>74</v>
      </c>
      <c r="J146" s="15" t="s">
        <v>33</v>
      </c>
      <c r="K146" s="15"/>
      <c r="L146" s="15" t="s">
        <v>19</v>
      </c>
      <c r="M146" s="15">
        <v>1</v>
      </c>
      <c r="N146" s="15">
        <v>10</v>
      </c>
      <c r="O146" s="15">
        <v>1.5037999999999999E-2</v>
      </c>
      <c r="P146" s="15">
        <v>1E-4</v>
      </c>
      <c r="Q146" s="15" t="s">
        <v>20</v>
      </c>
      <c r="R146" s="8" t="str">
        <f t="shared" si="50"/>
        <v>jit-sel-async-RULE-quotes</v>
      </c>
    </row>
    <row r="147" spans="1:18" x14ac:dyDescent="0.2">
      <c r="A147" s="15" t="s">
        <v>37</v>
      </c>
      <c r="B147" s="15" t="s">
        <v>15</v>
      </c>
      <c r="C147" s="15" t="s">
        <v>27</v>
      </c>
      <c r="D147" s="15" t="s">
        <v>17</v>
      </c>
      <c r="E147" s="15" t="s">
        <v>28</v>
      </c>
      <c r="F147" s="15"/>
      <c r="G147" s="15">
        <v>0</v>
      </c>
      <c r="H147" s="15" t="s">
        <v>39</v>
      </c>
      <c r="I147" s="15" t="s">
        <v>35</v>
      </c>
      <c r="J147" s="15" t="s">
        <v>30</v>
      </c>
      <c r="K147" s="15"/>
      <c r="L147" s="15" t="s">
        <v>19</v>
      </c>
      <c r="M147" s="15">
        <v>1</v>
      </c>
      <c r="N147" s="15">
        <v>10</v>
      </c>
      <c r="O147" s="15">
        <v>1.2437E-2</v>
      </c>
      <c r="P147" s="15">
        <v>1E-4</v>
      </c>
      <c r="Q147" s="15" t="s">
        <v>20</v>
      </c>
      <c r="R147" s="8" t="str">
        <f t="shared" si="50"/>
        <v>jit-sel-blocking-ALL-bytecode</v>
      </c>
    </row>
    <row r="148" spans="1:18" x14ac:dyDescent="0.2">
      <c r="A148" s="15" t="s">
        <v>37</v>
      </c>
      <c r="B148" s="15" t="s">
        <v>15</v>
      </c>
      <c r="C148" s="15" t="s">
        <v>27</v>
      </c>
      <c r="D148" s="15" t="s">
        <v>17</v>
      </c>
      <c r="E148" s="15" t="s">
        <v>28</v>
      </c>
      <c r="F148" s="15"/>
      <c r="G148" s="15">
        <v>0</v>
      </c>
      <c r="H148" s="15" t="s">
        <v>39</v>
      </c>
      <c r="I148" s="15" t="s">
        <v>35</v>
      </c>
      <c r="J148" s="15" t="s">
        <v>31</v>
      </c>
      <c r="K148" s="15"/>
      <c r="L148" s="15" t="s">
        <v>19</v>
      </c>
      <c r="M148" s="15">
        <v>1</v>
      </c>
      <c r="N148" s="15">
        <v>10</v>
      </c>
      <c r="O148" s="15">
        <v>1.2851E-2</v>
      </c>
      <c r="P148" s="15">
        <v>4.0000000000000002E-4</v>
      </c>
      <c r="Q148" s="15" t="s">
        <v>20</v>
      </c>
      <c r="R148" s="8" t="str">
        <f t="shared" si="50"/>
        <v>jit-sel-blocking-ALL-lambda</v>
      </c>
    </row>
    <row r="149" spans="1:18" x14ac:dyDescent="0.2">
      <c r="A149" s="15" t="s">
        <v>37</v>
      </c>
      <c r="B149" s="15" t="s">
        <v>15</v>
      </c>
      <c r="C149" s="15" t="s">
        <v>27</v>
      </c>
      <c r="D149" s="15" t="s">
        <v>17</v>
      </c>
      <c r="E149" s="15" t="s">
        <v>28</v>
      </c>
      <c r="F149" s="15"/>
      <c r="G149" s="15">
        <v>0</v>
      </c>
      <c r="H149" s="15" t="s">
        <v>39</v>
      </c>
      <c r="I149" s="15" t="s">
        <v>35</v>
      </c>
      <c r="J149" s="15" t="s">
        <v>33</v>
      </c>
      <c r="K149" s="15"/>
      <c r="L149" s="15" t="s">
        <v>19</v>
      </c>
      <c r="M149" s="15">
        <v>1</v>
      </c>
      <c r="N149" s="15">
        <v>10</v>
      </c>
      <c r="O149" s="15">
        <v>1.3727E-2</v>
      </c>
      <c r="P149" s="15">
        <v>2.9999999999999997E-4</v>
      </c>
      <c r="Q149" s="15" t="s">
        <v>20</v>
      </c>
      <c r="R149" s="8" t="str">
        <f t="shared" si="50"/>
        <v>jit-sel-blocking-ALL-quotes</v>
      </c>
    </row>
    <row r="150" spans="1:18" x14ac:dyDescent="0.2">
      <c r="A150" s="15" t="s">
        <v>37</v>
      </c>
      <c r="B150" s="15" t="s">
        <v>15</v>
      </c>
      <c r="C150" s="15" t="s">
        <v>27</v>
      </c>
      <c r="D150" s="15" t="s">
        <v>17</v>
      </c>
      <c r="E150" s="15" t="s">
        <v>28</v>
      </c>
      <c r="F150" s="15"/>
      <c r="G150" s="15">
        <v>0</v>
      </c>
      <c r="H150" s="15" t="s">
        <v>39</v>
      </c>
      <c r="I150" s="15" t="s">
        <v>75</v>
      </c>
      <c r="J150" s="15" t="s">
        <v>30</v>
      </c>
      <c r="K150" s="15"/>
      <c r="L150" s="15" t="s">
        <v>19</v>
      </c>
      <c r="M150" s="15">
        <v>1</v>
      </c>
      <c r="N150" s="15">
        <v>10</v>
      </c>
      <c r="O150" s="15">
        <v>2.0056999999999998E-2</v>
      </c>
      <c r="P150" s="15">
        <v>2.9999999999999997E-4</v>
      </c>
      <c r="Q150" s="15" t="s">
        <v>20</v>
      </c>
      <c r="R150" s="8" t="str">
        <f t="shared" si="50"/>
        <v>jit-sel-blocking-DELTA-bytecode</v>
      </c>
    </row>
    <row r="151" spans="1:18" x14ac:dyDescent="0.2">
      <c r="A151" s="15" t="s">
        <v>37</v>
      </c>
      <c r="B151" s="15" t="s">
        <v>15</v>
      </c>
      <c r="C151" s="15" t="s">
        <v>27</v>
      </c>
      <c r="D151" s="15" t="s">
        <v>17</v>
      </c>
      <c r="E151" s="15" t="s">
        <v>28</v>
      </c>
      <c r="F151" s="15"/>
      <c r="G151" s="15">
        <v>0</v>
      </c>
      <c r="H151" s="15" t="s">
        <v>39</v>
      </c>
      <c r="I151" s="15" t="s">
        <v>75</v>
      </c>
      <c r="J151" s="15" t="s">
        <v>31</v>
      </c>
      <c r="K151" s="15"/>
      <c r="L151" s="15" t="s">
        <v>19</v>
      </c>
      <c r="M151" s="15">
        <v>1</v>
      </c>
      <c r="N151" s="15">
        <v>10</v>
      </c>
      <c r="O151" s="15">
        <v>7.5680000000000001E-3</v>
      </c>
      <c r="P151" s="15">
        <v>6.9999999999999994E-5</v>
      </c>
      <c r="Q151" s="15" t="s">
        <v>20</v>
      </c>
      <c r="R151" s="8" t="str">
        <f t="shared" si="50"/>
        <v>jit-sel-blocking-DELTA-lambda</v>
      </c>
    </row>
    <row r="152" spans="1:18" x14ac:dyDescent="0.2">
      <c r="A152" s="15" t="s">
        <v>37</v>
      </c>
      <c r="B152" s="15" t="s">
        <v>15</v>
      </c>
      <c r="C152" s="15" t="s">
        <v>27</v>
      </c>
      <c r="D152" s="15" t="s">
        <v>17</v>
      </c>
      <c r="E152" s="15" t="s">
        <v>28</v>
      </c>
      <c r="F152" s="15"/>
      <c r="G152" s="15">
        <v>0</v>
      </c>
      <c r="H152" s="15" t="s">
        <v>39</v>
      </c>
      <c r="I152" s="15" t="s">
        <v>75</v>
      </c>
      <c r="J152" s="15" t="s">
        <v>33</v>
      </c>
      <c r="K152" s="15"/>
      <c r="L152" s="15" t="s">
        <v>19</v>
      </c>
      <c r="M152" s="15">
        <v>1</v>
      </c>
      <c r="N152" s="15">
        <v>10</v>
      </c>
      <c r="O152" s="15">
        <v>2.206E-2</v>
      </c>
      <c r="P152" s="15">
        <v>6.9999999999999999E-4</v>
      </c>
      <c r="Q152" s="15" t="s">
        <v>20</v>
      </c>
      <c r="R152" s="8" t="str">
        <f t="shared" si="50"/>
        <v>jit-sel-blocking-DELTA-quotes</v>
      </c>
    </row>
    <row r="153" spans="1:18" x14ac:dyDescent="0.2">
      <c r="A153" s="15" t="s">
        <v>37</v>
      </c>
      <c r="B153" s="15" t="s">
        <v>15</v>
      </c>
      <c r="C153" s="15" t="s">
        <v>27</v>
      </c>
      <c r="D153" s="15" t="s">
        <v>17</v>
      </c>
      <c r="E153" s="15" t="s">
        <v>28</v>
      </c>
      <c r="F153" s="15"/>
      <c r="G153" s="15">
        <v>0</v>
      </c>
      <c r="H153" s="15" t="s">
        <v>39</v>
      </c>
      <c r="I153" s="15" t="s">
        <v>74</v>
      </c>
      <c r="J153" s="15" t="s">
        <v>30</v>
      </c>
      <c r="K153" s="15"/>
      <c r="L153" s="15" t="s">
        <v>19</v>
      </c>
      <c r="M153" s="15">
        <v>1</v>
      </c>
      <c r="N153" s="15">
        <v>10</v>
      </c>
      <c r="O153" s="15">
        <v>1.4362E-2</v>
      </c>
      <c r="P153" s="15">
        <v>1E-4</v>
      </c>
      <c r="Q153" s="15" t="s">
        <v>20</v>
      </c>
      <c r="R153" s="8" t="str">
        <f t="shared" si="50"/>
        <v>jit-sel-blocking-RULE-bytecode</v>
      </c>
    </row>
    <row r="154" spans="1:18" x14ac:dyDescent="0.2">
      <c r="A154" s="15" t="s">
        <v>37</v>
      </c>
      <c r="B154" s="15" t="s">
        <v>15</v>
      </c>
      <c r="C154" s="15" t="s">
        <v>27</v>
      </c>
      <c r="D154" s="15" t="s">
        <v>17</v>
      </c>
      <c r="E154" s="15" t="s">
        <v>28</v>
      </c>
      <c r="F154" s="15"/>
      <c r="G154" s="15">
        <v>0</v>
      </c>
      <c r="H154" s="15" t="s">
        <v>39</v>
      </c>
      <c r="I154" s="15" t="s">
        <v>74</v>
      </c>
      <c r="J154" s="15" t="s">
        <v>31</v>
      </c>
      <c r="K154" s="15"/>
      <c r="L154" s="15" t="s">
        <v>19</v>
      </c>
      <c r="M154" s="15">
        <v>1</v>
      </c>
      <c r="N154" s="15">
        <v>10</v>
      </c>
      <c r="O154" s="15">
        <v>1.4567999999999999E-2</v>
      </c>
      <c r="P154" s="15">
        <v>2.9999999999999997E-4</v>
      </c>
      <c r="Q154" s="15" t="s">
        <v>20</v>
      </c>
      <c r="R154" s="8" t="str">
        <f t="shared" si="50"/>
        <v>jit-sel-blocking-RULE-lambda</v>
      </c>
    </row>
    <row r="155" spans="1:18" x14ac:dyDescent="0.2">
      <c r="A155" s="15" t="s">
        <v>37</v>
      </c>
      <c r="B155" s="15" t="s">
        <v>15</v>
      </c>
      <c r="C155" s="15" t="s">
        <v>27</v>
      </c>
      <c r="D155" s="15" t="s">
        <v>17</v>
      </c>
      <c r="E155" s="15" t="s">
        <v>28</v>
      </c>
      <c r="F155" s="15"/>
      <c r="G155" s="15">
        <v>0</v>
      </c>
      <c r="H155" s="15" t="s">
        <v>39</v>
      </c>
      <c r="I155" s="15" t="s">
        <v>74</v>
      </c>
      <c r="J155" s="15" t="s">
        <v>33</v>
      </c>
      <c r="K155" s="15"/>
      <c r="L155" s="15" t="s">
        <v>19</v>
      </c>
      <c r="M155" s="15">
        <v>1</v>
      </c>
      <c r="N155" s="15">
        <v>10</v>
      </c>
      <c r="O155" s="15">
        <v>1.5890999999999999E-2</v>
      </c>
      <c r="P155" s="15">
        <v>5.9999999999999995E-4</v>
      </c>
      <c r="Q155" s="15" t="s">
        <v>20</v>
      </c>
      <c r="R155" s="8" t="str">
        <f t="shared" si="50"/>
        <v>jit-sel-blocking-RULE-quotes</v>
      </c>
    </row>
    <row r="156" spans="1:18" x14ac:dyDescent="0.2">
      <c r="A156" s="15" t="s">
        <v>37</v>
      </c>
      <c r="B156" s="15" t="s">
        <v>65</v>
      </c>
      <c r="C156" s="15" t="s">
        <v>16</v>
      </c>
      <c r="D156" s="15" t="s">
        <v>17</v>
      </c>
      <c r="E156" s="15" t="s">
        <v>28</v>
      </c>
      <c r="F156" s="15"/>
      <c r="G156" s="15">
        <v>0</v>
      </c>
      <c r="H156" s="15"/>
      <c r="I156" s="15"/>
      <c r="J156" s="15"/>
      <c r="K156" s="15"/>
      <c r="L156" s="15" t="s">
        <v>19</v>
      </c>
      <c r="M156" s="15">
        <v>1</v>
      </c>
      <c r="N156" s="15">
        <v>10</v>
      </c>
      <c r="O156" s="15">
        <v>1.3416000000000001E-2</v>
      </c>
      <c r="P156" s="15">
        <v>2.0000000000000001E-4</v>
      </c>
      <c r="Q156" s="15" t="s">
        <v>20</v>
      </c>
      <c r="R156" s="8" t="str">
        <f t="shared" si="50"/>
        <v>interpreted-sel---</v>
      </c>
    </row>
    <row r="157" spans="1:18" x14ac:dyDescent="0.2">
      <c r="A157" s="15" t="s">
        <v>37</v>
      </c>
      <c r="B157" s="15" t="s">
        <v>65</v>
      </c>
      <c r="C157" s="15" t="s">
        <v>16</v>
      </c>
      <c r="D157" s="15" t="s">
        <v>17</v>
      </c>
      <c r="E157" s="15" t="s">
        <v>18</v>
      </c>
      <c r="F157" s="15"/>
      <c r="G157" s="15">
        <v>0</v>
      </c>
      <c r="H157" s="15"/>
      <c r="I157" s="15"/>
      <c r="J157" s="15"/>
      <c r="K157" s="15"/>
      <c r="L157" s="15" t="s">
        <v>19</v>
      </c>
      <c r="M157" s="15">
        <v>1</v>
      </c>
      <c r="N157" s="15">
        <v>10</v>
      </c>
      <c r="O157" s="15">
        <v>0.103381</v>
      </c>
      <c r="P157" s="15">
        <v>5.0000000000000001E-3</v>
      </c>
      <c r="Q157" s="15" t="s">
        <v>20</v>
      </c>
      <c r="R157" s="8" t="str">
        <f t="shared" si="50"/>
        <v>interpreted-unordered---</v>
      </c>
    </row>
    <row r="158" spans="1:18" x14ac:dyDescent="0.2">
      <c r="A158" s="15" t="s">
        <v>37</v>
      </c>
      <c r="B158" s="15" t="s">
        <v>65</v>
      </c>
      <c r="C158" s="15" t="s">
        <v>27</v>
      </c>
      <c r="D158" s="15" t="s">
        <v>17</v>
      </c>
      <c r="E158" s="15" t="s">
        <v>28</v>
      </c>
      <c r="F158" s="15"/>
      <c r="G158" s="15">
        <v>0</v>
      </c>
      <c r="H158" s="15" t="s">
        <v>29</v>
      </c>
      <c r="I158" s="15" t="s">
        <v>35</v>
      </c>
      <c r="J158" s="15" t="s">
        <v>30</v>
      </c>
      <c r="K158" s="15"/>
      <c r="L158" s="15" t="s">
        <v>19</v>
      </c>
      <c r="M158" s="15">
        <v>1</v>
      </c>
      <c r="N158" s="15">
        <v>10</v>
      </c>
      <c r="O158" s="15">
        <v>1.34E-2</v>
      </c>
      <c r="P158" s="15">
        <v>5.9999999999999995E-4</v>
      </c>
      <c r="Q158" s="15" t="s">
        <v>20</v>
      </c>
      <c r="R158" s="8" t="str">
        <f t="shared" si="50"/>
        <v>jit-sel-async-ALL-bytecode</v>
      </c>
    </row>
    <row r="159" spans="1:18" x14ac:dyDescent="0.2">
      <c r="A159" s="15" t="s">
        <v>37</v>
      </c>
      <c r="B159" s="15" t="s">
        <v>65</v>
      </c>
      <c r="C159" s="15" t="s">
        <v>27</v>
      </c>
      <c r="D159" s="15" t="s">
        <v>17</v>
      </c>
      <c r="E159" s="15" t="s">
        <v>28</v>
      </c>
      <c r="F159" s="15"/>
      <c r="G159" s="15">
        <v>0</v>
      </c>
      <c r="H159" s="15" t="s">
        <v>29</v>
      </c>
      <c r="I159" s="15" t="s">
        <v>35</v>
      </c>
      <c r="J159" s="15" t="s">
        <v>31</v>
      </c>
      <c r="K159" s="15"/>
      <c r="L159" s="15" t="s">
        <v>19</v>
      </c>
      <c r="M159" s="15">
        <v>1</v>
      </c>
      <c r="N159" s="15">
        <v>10</v>
      </c>
      <c r="O159" s="15">
        <v>1.4484E-2</v>
      </c>
      <c r="P159" s="15">
        <v>1E-4</v>
      </c>
      <c r="Q159" s="15" t="s">
        <v>20</v>
      </c>
      <c r="R159" s="8" t="str">
        <f t="shared" si="50"/>
        <v>jit-sel-async-ALL-lambda</v>
      </c>
    </row>
    <row r="160" spans="1:18" x14ac:dyDescent="0.2">
      <c r="A160" s="15" t="s">
        <v>37</v>
      </c>
      <c r="B160" s="15" t="s">
        <v>65</v>
      </c>
      <c r="C160" s="15" t="s">
        <v>27</v>
      </c>
      <c r="D160" s="15" t="s">
        <v>17</v>
      </c>
      <c r="E160" s="15" t="s">
        <v>28</v>
      </c>
      <c r="F160" s="15"/>
      <c r="G160" s="15">
        <v>0</v>
      </c>
      <c r="H160" s="15" t="s">
        <v>29</v>
      </c>
      <c r="I160" s="15" t="s">
        <v>35</v>
      </c>
      <c r="J160" s="15" t="s">
        <v>33</v>
      </c>
      <c r="K160" s="15"/>
      <c r="L160" s="15" t="s">
        <v>19</v>
      </c>
      <c r="M160" s="15">
        <v>1</v>
      </c>
      <c r="N160" s="15">
        <v>10</v>
      </c>
      <c r="O160" s="15">
        <v>1.2503E-2</v>
      </c>
      <c r="P160" s="15">
        <v>1E-4</v>
      </c>
      <c r="Q160" s="15" t="s">
        <v>20</v>
      </c>
      <c r="R160" s="8" t="str">
        <f t="shared" si="50"/>
        <v>jit-sel-async-ALL-quotes</v>
      </c>
    </row>
    <row r="161" spans="1:18" x14ac:dyDescent="0.2">
      <c r="A161" s="15" t="s">
        <v>37</v>
      </c>
      <c r="B161" s="15" t="s">
        <v>65</v>
      </c>
      <c r="C161" s="15" t="s">
        <v>27</v>
      </c>
      <c r="D161" s="15" t="s">
        <v>17</v>
      </c>
      <c r="E161" s="15" t="s">
        <v>28</v>
      </c>
      <c r="F161" s="15"/>
      <c r="G161" s="15">
        <v>0</v>
      </c>
      <c r="H161" s="15" t="s">
        <v>29</v>
      </c>
      <c r="I161" s="15" t="s">
        <v>74</v>
      </c>
      <c r="J161" s="15" t="s">
        <v>30</v>
      </c>
      <c r="K161" s="15"/>
      <c r="L161" s="15" t="s">
        <v>19</v>
      </c>
      <c r="M161" s="15">
        <v>1</v>
      </c>
      <c r="N161" s="15">
        <v>10</v>
      </c>
      <c r="O161" s="15">
        <v>1.4987E-2</v>
      </c>
      <c r="P161" s="15">
        <v>2.0000000000000001E-4</v>
      </c>
      <c r="Q161" s="15" t="s">
        <v>20</v>
      </c>
      <c r="R161" s="8" t="str">
        <f t="shared" si="50"/>
        <v>jit-sel-async-RULE-bytecode</v>
      </c>
    </row>
    <row r="162" spans="1:18" x14ac:dyDescent="0.2">
      <c r="A162" s="15" t="s">
        <v>37</v>
      </c>
      <c r="B162" s="15" t="s">
        <v>65</v>
      </c>
      <c r="C162" s="15" t="s">
        <v>27</v>
      </c>
      <c r="D162" s="15" t="s">
        <v>17</v>
      </c>
      <c r="E162" s="15" t="s">
        <v>28</v>
      </c>
      <c r="F162" s="15"/>
      <c r="G162" s="15">
        <v>0</v>
      </c>
      <c r="H162" s="15" t="s">
        <v>29</v>
      </c>
      <c r="I162" s="15" t="s">
        <v>74</v>
      </c>
      <c r="J162" s="15" t="s">
        <v>31</v>
      </c>
      <c r="K162" s="15"/>
      <c r="L162" s="15" t="s">
        <v>19</v>
      </c>
      <c r="M162" s="15">
        <v>1</v>
      </c>
      <c r="N162" s="15">
        <v>10</v>
      </c>
      <c r="O162" s="15">
        <v>1.5617000000000001E-2</v>
      </c>
      <c r="P162" s="15">
        <v>2.0000000000000001E-4</v>
      </c>
      <c r="Q162" s="15" t="s">
        <v>20</v>
      </c>
      <c r="R162" s="8" t="str">
        <f t="shared" si="50"/>
        <v>jit-sel-async-RULE-lambda</v>
      </c>
    </row>
    <row r="163" spans="1:18" x14ac:dyDescent="0.2">
      <c r="A163" s="15" t="s">
        <v>37</v>
      </c>
      <c r="B163" s="15" t="s">
        <v>65</v>
      </c>
      <c r="C163" s="15" t="s">
        <v>27</v>
      </c>
      <c r="D163" s="15" t="s">
        <v>17</v>
      </c>
      <c r="E163" s="15" t="s">
        <v>28</v>
      </c>
      <c r="F163" s="15"/>
      <c r="G163" s="15">
        <v>0</v>
      </c>
      <c r="H163" s="15" t="s">
        <v>29</v>
      </c>
      <c r="I163" s="15" t="s">
        <v>74</v>
      </c>
      <c r="J163" s="15" t="s">
        <v>33</v>
      </c>
      <c r="K163" s="15"/>
      <c r="L163" s="15" t="s">
        <v>19</v>
      </c>
      <c r="M163" s="15">
        <v>1</v>
      </c>
      <c r="N163" s="15">
        <v>10</v>
      </c>
      <c r="O163" s="15">
        <v>1.6001000000000001E-2</v>
      </c>
      <c r="P163" s="15">
        <v>2.0000000000000001E-4</v>
      </c>
      <c r="Q163" s="15" t="s">
        <v>20</v>
      </c>
      <c r="R163" s="8" t="str">
        <f t="shared" si="50"/>
        <v>jit-sel-async-RULE-quotes</v>
      </c>
    </row>
    <row r="164" spans="1:18" x14ac:dyDescent="0.2">
      <c r="A164" s="15" t="s">
        <v>37</v>
      </c>
      <c r="B164" s="15" t="s">
        <v>65</v>
      </c>
      <c r="C164" s="15" t="s">
        <v>27</v>
      </c>
      <c r="D164" s="15" t="s">
        <v>17</v>
      </c>
      <c r="E164" s="15" t="s">
        <v>28</v>
      </c>
      <c r="F164" s="15"/>
      <c r="G164" s="15">
        <v>0</v>
      </c>
      <c r="H164" s="15" t="s">
        <v>39</v>
      </c>
      <c r="I164" s="15" t="s">
        <v>35</v>
      </c>
      <c r="J164" s="15" t="s">
        <v>30</v>
      </c>
      <c r="K164" s="15"/>
      <c r="L164" s="15" t="s">
        <v>19</v>
      </c>
      <c r="M164" s="15">
        <v>1</v>
      </c>
      <c r="N164" s="15">
        <v>10</v>
      </c>
      <c r="O164" s="15">
        <v>1.2749E-2</v>
      </c>
      <c r="P164" s="15">
        <v>9.0000000000000006E-5</v>
      </c>
      <c r="Q164" s="15" t="s">
        <v>20</v>
      </c>
      <c r="R164" s="8" t="str">
        <f t="shared" si="50"/>
        <v>jit-sel-blocking-ALL-bytecode</v>
      </c>
    </row>
    <row r="165" spans="1:18" x14ac:dyDescent="0.2">
      <c r="A165" s="15" t="s">
        <v>37</v>
      </c>
      <c r="B165" s="15" t="s">
        <v>65</v>
      </c>
      <c r="C165" s="15" t="s">
        <v>27</v>
      </c>
      <c r="D165" s="15" t="s">
        <v>17</v>
      </c>
      <c r="E165" s="15" t="s">
        <v>28</v>
      </c>
      <c r="F165" s="15"/>
      <c r="G165" s="15">
        <v>0</v>
      </c>
      <c r="H165" s="15" t="s">
        <v>39</v>
      </c>
      <c r="I165" s="15" t="s">
        <v>35</v>
      </c>
      <c r="J165" s="15" t="s">
        <v>31</v>
      </c>
      <c r="K165" s="15"/>
      <c r="L165" s="15" t="s">
        <v>19</v>
      </c>
      <c r="M165" s="15">
        <v>1</v>
      </c>
      <c r="N165" s="15">
        <v>10</v>
      </c>
      <c r="O165" s="15">
        <v>1.3511E-2</v>
      </c>
      <c r="P165" s="15">
        <v>2.0000000000000001E-4</v>
      </c>
      <c r="Q165" s="15" t="s">
        <v>20</v>
      </c>
      <c r="R165" s="8" t="str">
        <f t="shared" si="50"/>
        <v>jit-sel-blocking-ALL-lambda</v>
      </c>
    </row>
    <row r="166" spans="1:18" x14ac:dyDescent="0.2">
      <c r="A166" s="15" t="s">
        <v>37</v>
      </c>
      <c r="B166" s="15" t="s">
        <v>65</v>
      </c>
      <c r="C166" s="15" t="s">
        <v>27</v>
      </c>
      <c r="D166" s="15" t="s">
        <v>17</v>
      </c>
      <c r="E166" s="15" t="s">
        <v>28</v>
      </c>
      <c r="F166" s="15"/>
      <c r="G166" s="15">
        <v>0</v>
      </c>
      <c r="H166" s="15" t="s">
        <v>39</v>
      </c>
      <c r="I166" s="15" t="s">
        <v>35</v>
      </c>
      <c r="J166" s="15" t="s">
        <v>33</v>
      </c>
      <c r="K166" s="15"/>
      <c r="L166" s="15" t="s">
        <v>19</v>
      </c>
      <c r="M166" s="15">
        <v>1</v>
      </c>
      <c r="N166" s="15">
        <v>10</v>
      </c>
      <c r="O166" s="15">
        <v>1.4456E-2</v>
      </c>
      <c r="P166" s="15">
        <v>1E-4</v>
      </c>
      <c r="Q166" s="15" t="s">
        <v>20</v>
      </c>
      <c r="R166" s="8" t="str">
        <f t="shared" si="50"/>
        <v>jit-sel-blocking-ALL-quotes</v>
      </c>
    </row>
    <row r="167" spans="1:18" x14ac:dyDescent="0.2">
      <c r="A167" s="15" t="s">
        <v>37</v>
      </c>
      <c r="B167" s="15" t="s">
        <v>65</v>
      </c>
      <c r="C167" s="15" t="s">
        <v>27</v>
      </c>
      <c r="D167" s="15" t="s">
        <v>17</v>
      </c>
      <c r="E167" s="15" t="s">
        <v>28</v>
      </c>
      <c r="F167" s="15"/>
      <c r="G167" s="15">
        <v>0</v>
      </c>
      <c r="H167" s="15" t="s">
        <v>39</v>
      </c>
      <c r="I167" s="15" t="s">
        <v>75</v>
      </c>
      <c r="J167" s="15" t="s">
        <v>30</v>
      </c>
      <c r="K167" s="15"/>
      <c r="L167" s="15" t="s">
        <v>19</v>
      </c>
      <c r="M167" s="15">
        <v>1</v>
      </c>
      <c r="N167" s="15">
        <v>10</v>
      </c>
      <c r="O167" s="15">
        <v>1.8699E-2</v>
      </c>
      <c r="P167" s="15">
        <v>2.0000000000000001E-4</v>
      </c>
      <c r="Q167" s="15" t="s">
        <v>20</v>
      </c>
      <c r="R167" s="8" t="str">
        <f t="shared" si="50"/>
        <v>jit-sel-blocking-DELTA-bytecode</v>
      </c>
    </row>
    <row r="168" spans="1:18" x14ac:dyDescent="0.2">
      <c r="A168" s="15" t="s">
        <v>37</v>
      </c>
      <c r="B168" s="15" t="s">
        <v>65</v>
      </c>
      <c r="C168" s="15" t="s">
        <v>27</v>
      </c>
      <c r="D168" s="15" t="s">
        <v>17</v>
      </c>
      <c r="E168" s="15" t="s">
        <v>28</v>
      </c>
      <c r="F168" s="15"/>
      <c r="G168" s="15">
        <v>0</v>
      </c>
      <c r="H168" s="15" t="s">
        <v>39</v>
      </c>
      <c r="I168" s="15" t="s">
        <v>75</v>
      </c>
      <c r="J168" s="15" t="s">
        <v>31</v>
      </c>
      <c r="K168" s="15"/>
      <c r="L168" s="15" t="s">
        <v>19</v>
      </c>
      <c r="M168" s="15">
        <v>1</v>
      </c>
      <c r="N168" s="15">
        <v>10</v>
      </c>
      <c r="O168" s="15">
        <v>7.6819999999999996E-3</v>
      </c>
      <c r="P168" s="15">
        <v>2.0000000000000001E-4</v>
      </c>
      <c r="Q168" s="15" t="s">
        <v>20</v>
      </c>
      <c r="R168" s="8" t="str">
        <f t="shared" si="50"/>
        <v>jit-sel-blocking-DELTA-lambda</v>
      </c>
    </row>
    <row r="169" spans="1:18" x14ac:dyDescent="0.2">
      <c r="A169" s="15" t="s">
        <v>37</v>
      </c>
      <c r="B169" s="15" t="s">
        <v>65</v>
      </c>
      <c r="C169" s="15" t="s">
        <v>27</v>
      </c>
      <c r="D169" s="15" t="s">
        <v>17</v>
      </c>
      <c r="E169" s="15" t="s">
        <v>28</v>
      </c>
      <c r="F169" s="15"/>
      <c r="G169" s="15">
        <v>0</v>
      </c>
      <c r="H169" s="15" t="s">
        <v>39</v>
      </c>
      <c r="I169" s="15" t="s">
        <v>75</v>
      </c>
      <c r="J169" s="15" t="s">
        <v>33</v>
      </c>
      <c r="K169" s="15"/>
      <c r="L169" s="15" t="s">
        <v>19</v>
      </c>
      <c r="M169" s="15">
        <v>1</v>
      </c>
      <c r="N169" s="15">
        <v>10</v>
      </c>
      <c r="O169" s="15">
        <v>2.3786999999999999E-2</v>
      </c>
      <c r="P169" s="15">
        <v>1E-3</v>
      </c>
      <c r="Q169" s="15" t="s">
        <v>20</v>
      </c>
      <c r="R169" s="8" t="str">
        <f t="shared" si="50"/>
        <v>jit-sel-blocking-DELTA-quotes</v>
      </c>
    </row>
    <row r="170" spans="1:18" x14ac:dyDescent="0.2">
      <c r="A170" s="15" t="s">
        <v>37</v>
      </c>
      <c r="B170" s="15" t="s">
        <v>65</v>
      </c>
      <c r="C170" s="15" t="s">
        <v>27</v>
      </c>
      <c r="D170" s="15" t="s">
        <v>17</v>
      </c>
      <c r="E170" s="15" t="s">
        <v>28</v>
      </c>
      <c r="F170" s="15"/>
      <c r="G170" s="15">
        <v>0</v>
      </c>
      <c r="H170" s="15" t="s">
        <v>39</v>
      </c>
      <c r="I170" s="15" t="s">
        <v>74</v>
      </c>
      <c r="J170" s="15" t="s">
        <v>30</v>
      </c>
      <c r="K170" s="15"/>
      <c r="L170" s="15" t="s">
        <v>19</v>
      </c>
      <c r="M170" s="15">
        <v>1</v>
      </c>
      <c r="N170" s="15">
        <v>10</v>
      </c>
      <c r="O170" s="15">
        <v>1.5644999999999999E-2</v>
      </c>
      <c r="P170" s="15">
        <v>4.0000000000000002E-4</v>
      </c>
      <c r="Q170" s="15" t="s">
        <v>20</v>
      </c>
      <c r="R170" s="8" t="str">
        <f t="shared" si="50"/>
        <v>jit-sel-blocking-RULE-bytecode</v>
      </c>
    </row>
    <row r="171" spans="1:18" x14ac:dyDescent="0.2">
      <c r="A171" s="15" t="s">
        <v>37</v>
      </c>
      <c r="B171" s="15" t="s">
        <v>65</v>
      </c>
      <c r="C171" s="15" t="s">
        <v>27</v>
      </c>
      <c r="D171" s="15" t="s">
        <v>17</v>
      </c>
      <c r="E171" s="15" t="s">
        <v>28</v>
      </c>
      <c r="F171" s="15"/>
      <c r="G171" s="15">
        <v>0</v>
      </c>
      <c r="H171" s="15" t="s">
        <v>39</v>
      </c>
      <c r="I171" s="15" t="s">
        <v>74</v>
      </c>
      <c r="J171" s="15" t="s">
        <v>31</v>
      </c>
      <c r="K171" s="15"/>
      <c r="L171" s="15" t="s">
        <v>19</v>
      </c>
      <c r="M171" s="15">
        <v>1</v>
      </c>
      <c r="N171" s="15">
        <v>10</v>
      </c>
      <c r="O171" s="15">
        <v>1.3135000000000001E-2</v>
      </c>
      <c r="P171" s="15">
        <v>2.0000000000000001E-4</v>
      </c>
      <c r="Q171" s="15" t="s">
        <v>20</v>
      </c>
      <c r="R171" s="8" t="str">
        <f t="shared" si="50"/>
        <v>jit-sel-blocking-RULE-lambda</v>
      </c>
    </row>
    <row r="172" spans="1:18" x14ac:dyDescent="0.2">
      <c r="A172" s="15" t="s">
        <v>37</v>
      </c>
      <c r="B172" s="15" t="s">
        <v>65</v>
      </c>
      <c r="C172" s="15" t="s">
        <v>27</v>
      </c>
      <c r="D172" s="15" t="s">
        <v>17</v>
      </c>
      <c r="E172" s="15" t="s">
        <v>28</v>
      </c>
      <c r="F172" s="15"/>
      <c r="G172" s="15">
        <v>0</v>
      </c>
      <c r="H172" s="15" t="s">
        <v>39</v>
      </c>
      <c r="I172" s="15" t="s">
        <v>74</v>
      </c>
      <c r="J172" s="15" t="s">
        <v>33</v>
      </c>
      <c r="K172" s="15"/>
      <c r="L172" s="15" t="s">
        <v>19</v>
      </c>
      <c r="M172" s="15">
        <v>1</v>
      </c>
      <c r="N172" s="15">
        <v>10</v>
      </c>
      <c r="O172" s="15">
        <v>1.5445E-2</v>
      </c>
      <c r="P172" s="15">
        <v>5.0000000000000001E-4</v>
      </c>
      <c r="Q172" s="15" t="s">
        <v>20</v>
      </c>
      <c r="R172" s="8" t="str">
        <f t="shared" si="50"/>
        <v>jit-sel-blocking-RULE-quotes</v>
      </c>
    </row>
    <row r="173" spans="1:18" x14ac:dyDescent="0.2">
      <c r="A173" s="15" t="s">
        <v>38</v>
      </c>
      <c r="B173" s="15" t="s">
        <v>15</v>
      </c>
      <c r="C173" s="15" t="s">
        <v>16</v>
      </c>
      <c r="D173" s="15" t="s">
        <v>17</v>
      </c>
      <c r="E173" s="15" t="s">
        <v>28</v>
      </c>
      <c r="F173" s="15"/>
      <c r="G173" s="15">
        <v>0</v>
      </c>
      <c r="H173" s="15"/>
      <c r="I173" s="15"/>
      <c r="J173" s="15"/>
      <c r="K173" s="15"/>
      <c r="L173" s="15" t="s">
        <v>19</v>
      </c>
      <c r="M173" s="15">
        <v>1</v>
      </c>
      <c r="N173" s="15">
        <v>10</v>
      </c>
      <c r="O173" s="15">
        <v>9.8082429999999992</v>
      </c>
      <c r="P173" s="15">
        <v>0.24299999999999999</v>
      </c>
      <c r="Q173" s="15" t="s">
        <v>20</v>
      </c>
      <c r="R173" s="8" t="str">
        <f t="shared" si="50"/>
        <v>interpreted-sel---</v>
      </c>
    </row>
    <row r="174" spans="1:18" x14ac:dyDescent="0.2">
      <c r="A174" s="15" t="s">
        <v>38</v>
      </c>
      <c r="B174" s="15" t="s">
        <v>15</v>
      </c>
      <c r="C174" s="15" t="s">
        <v>16</v>
      </c>
      <c r="D174" s="15" t="s">
        <v>17</v>
      </c>
      <c r="E174" s="15" t="s">
        <v>18</v>
      </c>
      <c r="F174" s="15"/>
      <c r="G174" s="15">
        <v>0</v>
      </c>
      <c r="H174" s="15"/>
      <c r="I174" s="15"/>
      <c r="J174" s="15"/>
      <c r="K174" s="15"/>
      <c r="L174" s="15" t="s">
        <v>19</v>
      </c>
      <c r="M174" s="15">
        <v>1</v>
      </c>
      <c r="N174" s="15">
        <v>10</v>
      </c>
      <c r="O174" s="15">
        <v>12.246468</v>
      </c>
      <c r="P174" s="15">
        <v>1.42</v>
      </c>
      <c r="Q174" s="15" t="s">
        <v>20</v>
      </c>
      <c r="R174" s="8" t="str">
        <f t="shared" si="50"/>
        <v>interpreted-unordered---</v>
      </c>
    </row>
    <row r="175" spans="1:18" x14ac:dyDescent="0.2">
      <c r="A175" s="15" t="s">
        <v>38</v>
      </c>
      <c r="B175" s="15" t="s">
        <v>15</v>
      </c>
      <c r="C175" s="15" t="s">
        <v>27</v>
      </c>
      <c r="D175" s="15" t="s">
        <v>17</v>
      </c>
      <c r="E175" s="15" t="s">
        <v>28</v>
      </c>
      <c r="F175" s="15"/>
      <c r="G175" s="15">
        <v>0</v>
      </c>
      <c r="H175" s="15" t="s">
        <v>29</v>
      </c>
      <c r="I175" s="15" t="s">
        <v>35</v>
      </c>
      <c r="J175" s="15" t="s">
        <v>30</v>
      </c>
      <c r="K175" s="15"/>
      <c r="L175" s="15" t="s">
        <v>19</v>
      </c>
      <c r="M175" s="15">
        <v>1</v>
      </c>
      <c r="N175" s="15">
        <v>10</v>
      </c>
      <c r="O175" s="15">
        <v>33.451694000000003</v>
      </c>
      <c r="P175" s="15">
        <v>0.67900000000000005</v>
      </c>
      <c r="Q175" s="15" t="s">
        <v>20</v>
      </c>
      <c r="R175" s="8" t="str">
        <f t="shared" si="50"/>
        <v>jit-sel-async-ALL-bytecode</v>
      </c>
    </row>
    <row r="176" spans="1:18" x14ac:dyDescent="0.2">
      <c r="A176" s="15" t="s">
        <v>38</v>
      </c>
      <c r="B176" s="15" t="s">
        <v>15</v>
      </c>
      <c r="C176" s="15" t="s">
        <v>27</v>
      </c>
      <c r="D176" s="15" t="s">
        <v>17</v>
      </c>
      <c r="E176" s="15" t="s">
        <v>28</v>
      </c>
      <c r="F176" s="15"/>
      <c r="G176" s="15">
        <v>0</v>
      </c>
      <c r="H176" s="15" t="s">
        <v>29</v>
      </c>
      <c r="I176" s="15" t="s">
        <v>35</v>
      </c>
      <c r="J176" s="15" t="s">
        <v>31</v>
      </c>
      <c r="K176" s="15"/>
      <c r="L176" s="15" t="s">
        <v>19</v>
      </c>
      <c r="M176" s="15">
        <v>1</v>
      </c>
      <c r="N176" s="15">
        <v>10</v>
      </c>
      <c r="O176" s="15">
        <v>28.983388000000001</v>
      </c>
      <c r="P176" s="15">
        <v>0.69299999999999995</v>
      </c>
      <c r="Q176" s="15" t="s">
        <v>20</v>
      </c>
      <c r="R176" s="8" t="str">
        <f t="shared" si="50"/>
        <v>jit-sel-async-ALL-lambda</v>
      </c>
    </row>
    <row r="177" spans="1:18" x14ac:dyDescent="0.2">
      <c r="A177" s="15" t="s">
        <v>38</v>
      </c>
      <c r="B177" s="15" t="s">
        <v>15</v>
      </c>
      <c r="C177" s="15" t="s">
        <v>27</v>
      </c>
      <c r="D177" s="15" t="s">
        <v>17</v>
      </c>
      <c r="E177" s="15" t="s">
        <v>28</v>
      </c>
      <c r="F177" s="15"/>
      <c r="G177" s="15">
        <v>0</v>
      </c>
      <c r="H177" s="15" t="s">
        <v>29</v>
      </c>
      <c r="I177" s="15" t="s">
        <v>35</v>
      </c>
      <c r="J177" s="15" t="s">
        <v>33</v>
      </c>
      <c r="K177" s="15"/>
      <c r="L177" s="15" t="s">
        <v>19</v>
      </c>
      <c r="M177" s="15">
        <v>1</v>
      </c>
      <c r="N177" s="15">
        <v>10</v>
      </c>
      <c r="O177" s="15">
        <v>27.569768</v>
      </c>
      <c r="P177" s="15">
        <v>13.95</v>
      </c>
      <c r="Q177" s="15" t="s">
        <v>20</v>
      </c>
      <c r="R177" s="8" t="str">
        <f t="shared" si="50"/>
        <v>jit-sel-async-ALL-quotes</v>
      </c>
    </row>
    <row r="178" spans="1:18" x14ac:dyDescent="0.2">
      <c r="A178" s="15" t="s">
        <v>38</v>
      </c>
      <c r="B178" s="15" t="s">
        <v>15</v>
      </c>
      <c r="C178" s="15" t="s">
        <v>27</v>
      </c>
      <c r="D178" s="15" t="s">
        <v>17</v>
      </c>
      <c r="E178" s="15" t="s">
        <v>28</v>
      </c>
      <c r="F178" s="15"/>
      <c r="G178" s="15">
        <v>0</v>
      </c>
      <c r="H178" s="15" t="s">
        <v>29</v>
      </c>
      <c r="I178" s="15" t="s">
        <v>74</v>
      </c>
      <c r="J178" s="15" t="s">
        <v>30</v>
      </c>
      <c r="K178" s="15"/>
      <c r="L178" s="15" t="s">
        <v>19</v>
      </c>
      <c r="M178" s="15">
        <v>1</v>
      </c>
      <c r="N178" s="15">
        <v>10</v>
      </c>
      <c r="O178" s="15">
        <v>15.194917999999999</v>
      </c>
      <c r="P178" s="15">
        <v>1.099</v>
      </c>
      <c r="Q178" s="15" t="s">
        <v>20</v>
      </c>
      <c r="R178" s="8" t="str">
        <f t="shared" si="50"/>
        <v>jit-sel-async-RULE-bytecode</v>
      </c>
    </row>
    <row r="179" spans="1:18" x14ac:dyDescent="0.2">
      <c r="A179" s="15" t="s">
        <v>38</v>
      </c>
      <c r="B179" s="15" t="s">
        <v>15</v>
      </c>
      <c r="C179" s="15" t="s">
        <v>27</v>
      </c>
      <c r="D179" s="15" t="s">
        <v>17</v>
      </c>
      <c r="E179" s="15" t="s">
        <v>28</v>
      </c>
      <c r="F179" s="15"/>
      <c r="G179" s="15">
        <v>0</v>
      </c>
      <c r="H179" s="15" t="s">
        <v>29</v>
      </c>
      <c r="I179" s="15" t="s">
        <v>74</v>
      </c>
      <c r="J179" s="15" t="s">
        <v>31</v>
      </c>
      <c r="K179" s="15"/>
      <c r="L179" s="15" t="s">
        <v>19</v>
      </c>
      <c r="M179" s="15">
        <v>1</v>
      </c>
      <c r="N179" s="15">
        <v>10</v>
      </c>
      <c r="O179" s="15">
        <v>29.054469999999998</v>
      </c>
      <c r="P179" s="15">
        <v>1.1459999999999999</v>
      </c>
      <c r="Q179" s="15" t="s">
        <v>20</v>
      </c>
      <c r="R179" s="8" t="str">
        <f t="shared" si="50"/>
        <v>jit-sel-async-RULE-lambda</v>
      </c>
    </row>
    <row r="180" spans="1:18" x14ac:dyDescent="0.2">
      <c r="A180" s="15" t="s">
        <v>38</v>
      </c>
      <c r="B180" s="15" t="s">
        <v>15</v>
      </c>
      <c r="C180" s="15" t="s">
        <v>27</v>
      </c>
      <c r="D180" s="15" t="s">
        <v>17</v>
      </c>
      <c r="E180" s="15" t="s">
        <v>28</v>
      </c>
      <c r="F180" s="15"/>
      <c r="G180" s="15">
        <v>0</v>
      </c>
      <c r="H180" s="15" t="s">
        <v>29</v>
      </c>
      <c r="I180" s="15" t="s">
        <v>74</v>
      </c>
      <c r="J180" s="15" t="s">
        <v>33</v>
      </c>
      <c r="K180" s="15"/>
      <c r="L180" s="15" t="s">
        <v>19</v>
      </c>
      <c r="M180" s="15">
        <v>1</v>
      </c>
      <c r="N180" s="15">
        <v>10</v>
      </c>
      <c r="O180" s="15">
        <v>18.916978</v>
      </c>
      <c r="P180" s="15">
        <v>2.0579999999999998</v>
      </c>
      <c r="Q180" s="15" t="s">
        <v>20</v>
      </c>
      <c r="R180" s="8" t="str">
        <f t="shared" si="50"/>
        <v>jit-sel-async-RULE-quotes</v>
      </c>
    </row>
    <row r="181" spans="1:18" x14ac:dyDescent="0.2">
      <c r="A181" s="15" t="s">
        <v>38</v>
      </c>
      <c r="B181" s="15" t="s">
        <v>15</v>
      </c>
      <c r="C181" s="15" t="s">
        <v>27</v>
      </c>
      <c r="D181" s="15" t="s">
        <v>17</v>
      </c>
      <c r="E181" s="15" t="s">
        <v>28</v>
      </c>
      <c r="F181" s="15"/>
      <c r="G181" s="15">
        <v>0</v>
      </c>
      <c r="H181" s="15" t="s">
        <v>39</v>
      </c>
      <c r="I181" s="15" t="s">
        <v>35</v>
      </c>
      <c r="J181" s="15" t="s">
        <v>30</v>
      </c>
      <c r="K181" s="15"/>
      <c r="L181" s="15" t="s">
        <v>19</v>
      </c>
      <c r="M181" s="15">
        <v>1</v>
      </c>
      <c r="N181" s="15">
        <v>10</v>
      </c>
      <c r="O181" s="15">
        <v>59.274241000000004</v>
      </c>
      <c r="P181" s="15">
        <v>1.4339999999999999</v>
      </c>
      <c r="Q181" s="15" t="s">
        <v>20</v>
      </c>
      <c r="R181" s="8" t="str">
        <f t="shared" si="50"/>
        <v>jit-sel-blocking-ALL-bytecode</v>
      </c>
    </row>
    <row r="182" spans="1:18" x14ac:dyDescent="0.2">
      <c r="A182" s="15" t="s">
        <v>38</v>
      </c>
      <c r="B182" s="15" t="s">
        <v>15</v>
      </c>
      <c r="C182" s="15" t="s">
        <v>27</v>
      </c>
      <c r="D182" s="15" t="s">
        <v>17</v>
      </c>
      <c r="E182" s="15" t="s">
        <v>28</v>
      </c>
      <c r="F182" s="15"/>
      <c r="G182" s="15">
        <v>0</v>
      </c>
      <c r="H182" s="15" t="s">
        <v>39</v>
      </c>
      <c r="I182" s="15" t="s">
        <v>35</v>
      </c>
      <c r="J182" s="15" t="s">
        <v>31</v>
      </c>
      <c r="K182" s="15"/>
      <c r="L182" s="15" t="s">
        <v>19</v>
      </c>
      <c r="M182" s="15">
        <v>1</v>
      </c>
      <c r="N182" s="15">
        <v>10</v>
      </c>
      <c r="O182" s="15">
        <v>69.514930000000007</v>
      </c>
      <c r="P182" s="15">
        <v>1.5209999999999999</v>
      </c>
      <c r="Q182" s="15" t="s">
        <v>20</v>
      </c>
      <c r="R182" s="8" t="str">
        <f t="shared" si="50"/>
        <v>jit-sel-blocking-ALL-lambda</v>
      </c>
    </row>
    <row r="183" spans="1:18" x14ac:dyDescent="0.2">
      <c r="A183" s="15" t="s">
        <v>38</v>
      </c>
      <c r="B183" s="15" t="s">
        <v>15</v>
      </c>
      <c r="C183" s="15" t="s">
        <v>27</v>
      </c>
      <c r="D183" s="15" t="s">
        <v>17</v>
      </c>
      <c r="E183" s="15" t="s">
        <v>28</v>
      </c>
      <c r="F183" s="15"/>
      <c r="G183" s="15">
        <v>0</v>
      </c>
      <c r="H183" s="15" t="s">
        <v>39</v>
      </c>
      <c r="I183" s="15" t="s">
        <v>35</v>
      </c>
      <c r="J183" s="15" t="s">
        <v>33</v>
      </c>
      <c r="K183" s="15"/>
      <c r="L183" s="15" t="s">
        <v>19</v>
      </c>
      <c r="M183" s="15">
        <v>1</v>
      </c>
      <c r="N183" s="15">
        <v>10</v>
      </c>
      <c r="O183" s="15">
        <v>67.392723000000004</v>
      </c>
      <c r="P183" s="15">
        <v>4.032</v>
      </c>
      <c r="Q183" s="15" t="s">
        <v>20</v>
      </c>
      <c r="R183" s="8" t="str">
        <f t="shared" si="50"/>
        <v>jit-sel-blocking-ALL-quotes</v>
      </c>
    </row>
    <row r="184" spans="1:18" x14ac:dyDescent="0.2">
      <c r="A184" s="15" t="s">
        <v>38</v>
      </c>
      <c r="B184" s="15" t="s">
        <v>15</v>
      </c>
      <c r="C184" s="15" t="s">
        <v>27</v>
      </c>
      <c r="D184" s="15" t="s">
        <v>17</v>
      </c>
      <c r="E184" s="15" t="s">
        <v>28</v>
      </c>
      <c r="F184" s="15"/>
      <c r="G184" s="15">
        <v>0</v>
      </c>
      <c r="H184" s="15" t="s">
        <v>39</v>
      </c>
      <c r="I184" s="15" t="s">
        <v>75</v>
      </c>
      <c r="J184" s="15" t="s">
        <v>30</v>
      </c>
      <c r="K184" s="15"/>
      <c r="L184" s="15" t="s">
        <v>19</v>
      </c>
      <c r="M184" s="15">
        <v>1</v>
      </c>
      <c r="N184" s="15">
        <v>10</v>
      </c>
      <c r="O184" s="15">
        <v>28.315505000000002</v>
      </c>
      <c r="P184" s="15">
        <v>0.52200000000000002</v>
      </c>
      <c r="Q184" s="15" t="s">
        <v>20</v>
      </c>
      <c r="R184" s="8" t="str">
        <f t="shared" si="50"/>
        <v>jit-sel-blocking-DELTA-bytecode</v>
      </c>
    </row>
    <row r="185" spans="1:18" x14ac:dyDescent="0.2">
      <c r="A185" s="15" t="s">
        <v>38</v>
      </c>
      <c r="B185" s="15" t="s">
        <v>15</v>
      </c>
      <c r="C185" s="15" t="s">
        <v>27</v>
      </c>
      <c r="D185" s="15" t="s">
        <v>17</v>
      </c>
      <c r="E185" s="15" t="s">
        <v>28</v>
      </c>
      <c r="F185" s="15"/>
      <c r="G185" s="15">
        <v>0</v>
      </c>
      <c r="H185" s="15" t="s">
        <v>39</v>
      </c>
      <c r="I185" s="15" t="s">
        <v>75</v>
      </c>
      <c r="J185" s="15" t="s">
        <v>31</v>
      </c>
      <c r="K185" s="15"/>
      <c r="L185" s="15" t="s">
        <v>19</v>
      </c>
      <c r="M185" s="15">
        <v>1</v>
      </c>
      <c r="N185" s="15">
        <v>10</v>
      </c>
      <c r="O185" s="15">
        <v>47.863453</v>
      </c>
      <c r="P185" s="15">
        <v>1.39</v>
      </c>
      <c r="Q185" s="15" t="s">
        <v>20</v>
      </c>
      <c r="R185" s="8" t="str">
        <f t="shared" si="50"/>
        <v>jit-sel-blocking-DELTA-lambda</v>
      </c>
    </row>
    <row r="186" spans="1:18" x14ac:dyDescent="0.2">
      <c r="A186" s="15" t="s">
        <v>38</v>
      </c>
      <c r="B186" s="15" t="s">
        <v>15</v>
      </c>
      <c r="C186" s="15" t="s">
        <v>27</v>
      </c>
      <c r="D186" s="15" t="s">
        <v>17</v>
      </c>
      <c r="E186" s="15" t="s">
        <v>28</v>
      </c>
      <c r="F186" s="15"/>
      <c r="G186" s="15">
        <v>0</v>
      </c>
      <c r="H186" s="15" t="s">
        <v>39</v>
      </c>
      <c r="I186" s="15" t="s">
        <v>75</v>
      </c>
      <c r="J186" s="15" t="s">
        <v>33</v>
      </c>
      <c r="K186" s="15"/>
      <c r="L186" s="15" t="s">
        <v>19</v>
      </c>
      <c r="M186" s="15">
        <v>1</v>
      </c>
      <c r="N186" s="15">
        <v>10</v>
      </c>
      <c r="O186" s="15">
        <v>38.387117000000003</v>
      </c>
      <c r="P186" s="15">
        <v>4.21</v>
      </c>
      <c r="Q186" s="15" t="s">
        <v>20</v>
      </c>
      <c r="R186" s="8" t="str">
        <f t="shared" si="50"/>
        <v>jit-sel-blocking-DELTA-quotes</v>
      </c>
    </row>
    <row r="187" spans="1:18" x14ac:dyDescent="0.2">
      <c r="A187" s="15" t="s">
        <v>38</v>
      </c>
      <c r="B187" s="15" t="s">
        <v>15</v>
      </c>
      <c r="C187" s="15" t="s">
        <v>27</v>
      </c>
      <c r="D187" s="15" t="s">
        <v>17</v>
      </c>
      <c r="E187" s="15" t="s">
        <v>28</v>
      </c>
      <c r="F187" s="15"/>
      <c r="G187" s="15">
        <v>0</v>
      </c>
      <c r="H187" s="15" t="s">
        <v>39</v>
      </c>
      <c r="I187" s="15" t="s">
        <v>74</v>
      </c>
      <c r="J187" s="15" t="s">
        <v>30</v>
      </c>
      <c r="K187" s="15"/>
      <c r="L187" s="15" t="s">
        <v>19</v>
      </c>
      <c r="M187" s="15">
        <v>1</v>
      </c>
      <c r="N187" s="15">
        <v>10</v>
      </c>
      <c r="O187" s="15">
        <v>51.731211000000002</v>
      </c>
      <c r="P187" s="15">
        <v>1.573</v>
      </c>
      <c r="Q187" s="15" t="s">
        <v>20</v>
      </c>
      <c r="R187" s="8" t="str">
        <f t="shared" si="50"/>
        <v>jit-sel-blocking-RULE-bytecode</v>
      </c>
    </row>
    <row r="188" spans="1:18" x14ac:dyDescent="0.2">
      <c r="A188" s="15" t="s">
        <v>38</v>
      </c>
      <c r="B188" s="15" t="s">
        <v>15</v>
      </c>
      <c r="C188" s="15" t="s">
        <v>27</v>
      </c>
      <c r="D188" s="15" t="s">
        <v>17</v>
      </c>
      <c r="E188" s="15" t="s">
        <v>28</v>
      </c>
      <c r="F188" s="15"/>
      <c r="G188" s="15">
        <v>0</v>
      </c>
      <c r="H188" s="15" t="s">
        <v>39</v>
      </c>
      <c r="I188" s="15" t="s">
        <v>74</v>
      </c>
      <c r="J188" s="15" t="s">
        <v>31</v>
      </c>
      <c r="K188" s="15"/>
      <c r="L188" s="15" t="s">
        <v>19</v>
      </c>
      <c r="M188" s="15">
        <v>1</v>
      </c>
      <c r="N188" s="15">
        <v>10</v>
      </c>
      <c r="O188" s="15">
        <v>57.032474000000001</v>
      </c>
      <c r="P188" s="15">
        <v>1.72</v>
      </c>
      <c r="Q188" s="15" t="s">
        <v>20</v>
      </c>
      <c r="R188" s="8" t="str">
        <f t="shared" si="50"/>
        <v>jit-sel-blocking-RULE-lambda</v>
      </c>
    </row>
    <row r="189" spans="1:18" x14ac:dyDescent="0.2">
      <c r="A189" s="15" t="s">
        <v>38</v>
      </c>
      <c r="B189" s="15" t="s">
        <v>15</v>
      </c>
      <c r="C189" s="15" t="s">
        <v>27</v>
      </c>
      <c r="D189" s="15" t="s">
        <v>17</v>
      </c>
      <c r="E189" s="15" t="s">
        <v>28</v>
      </c>
      <c r="F189" s="15"/>
      <c r="G189" s="15">
        <v>0</v>
      </c>
      <c r="H189" s="15" t="s">
        <v>39</v>
      </c>
      <c r="I189" s="15" t="s">
        <v>74</v>
      </c>
      <c r="J189" s="15" t="s">
        <v>33</v>
      </c>
      <c r="K189" s="15"/>
      <c r="L189" s="15" t="s">
        <v>19</v>
      </c>
      <c r="M189" s="15">
        <v>1</v>
      </c>
      <c r="N189" s="15">
        <v>10</v>
      </c>
      <c r="O189" s="15">
        <v>82.865429000000006</v>
      </c>
      <c r="P189" s="15">
        <v>2.2360000000000002</v>
      </c>
      <c r="Q189" s="15" t="s">
        <v>20</v>
      </c>
      <c r="R189" s="8" t="str">
        <f t="shared" si="50"/>
        <v>jit-sel-blocking-RULE-quotes</v>
      </c>
    </row>
    <row r="190" spans="1:18" x14ac:dyDescent="0.2">
      <c r="A190" s="15" t="s">
        <v>38</v>
      </c>
      <c r="B190" s="15" t="s">
        <v>65</v>
      </c>
      <c r="C190" s="15" t="s">
        <v>16</v>
      </c>
      <c r="D190" s="15" t="s">
        <v>17</v>
      </c>
      <c r="E190" s="15" t="s">
        <v>28</v>
      </c>
      <c r="F190" s="15"/>
      <c r="G190" s="15">
        <v>0</v>
      </c>
      <c r="H190" s="15"/>
      <c r="I190" s="15"/>
      <c r="J190" s="15"/>
      <c r="K190" s="15"/>
      <c r="L190" s="15" t="s">
        <v>19</v>
      </c>
      <c r="M190" s="15">
        <v>1</v>
      </c>
      <c r="N190" s="15">
        <v>10</v>
      </c>
      <c r="O190" s="15">
        <v>18.349513000000002</v>
      </c>
      <c r="P190" s="15">
        <v>0.44900000000000001</v>
      </c>
      <c r="Q190" s="15" t="s">
        <v>20</v>
      </c>
      <c r="R190" s="8" t="str">
        <f t="shared" si="50"/>
        <v>interpreted-sel---</v>
      </c>
    </row>
    <row r="191" spans="1:18" x14ac:dyDescent="0.2">
      <c r="A191" s="15" t="s">
        <v>38</v>
      </c>
      <c r="B191" s="15" t="s">
        <v>65</v>
      </c>
      <c r="C191" s="15" t="s">
        <v>16</v>
      </c>
      <c r="D191" s="15" t="s">
        <v>17</v>
      </c>
      <c r="E191" s="15" t="s">
        <v>18</v>
      </c>
      <c r="F191" s="15"/>
      <c r="G191" s="15">
        <v>0</v>
      </c>
      <c r="H191" s="15"/>
      <c r="I191" s="15"/>
      <c r="J191" s="15"/>
      <c r="K191" s="15"/>
      <c r="L191" s="15" t="s">
        <v>19</v>
      </c>
      <c r="M191" s="15">
        <v>1</v>
      </c>
      <c r="N191" s="15">
        <v>10</v>
      </c>
      <c r="O191" s="15">
        <v>7229.4734150000004</v>
      </c>
      <c r="P191" s="15">
        <v>174.3</v>
      </c>
      <c r="Q191" s="15" t="s">
        <v>20</v>
      </c>
      <c r="R191" s="8" t="str">
        <f t="shared" si="50"/>
        <v>interpreted-unordered---</v>
      </c>
    </row>
    <row r="192" spans="1:18" x14ac:dyDescent="0.2">
      <c r="A192" s="15" t="s">
        <v>38</v>
      </c>
      <c r="B192" s="15" t="s">
        <v>65</v>
      </c>
      <c r="C192" s="15" t="s">
        <v>27</v>
      </c>
      <c r="D192" s="15" t="s">
        <v>17</v>
      </c>
      <c r="E192" s="15" t="s">
        <v>28</v>
      </c>
      <c r="F192" s="15"/>
      <c r="G192" s="15">
        <v>0</v>
      </c>
      <c r="H192" s="15" t="s">
        <v>29</v>
      </c>
      <c r="I192" s="15" t="s">
        <v>35</v>
      </c>
      <c r="J192" s="15" t="s">
        <v>30</v>
      </c>
      <c r="K192" s="15"/>
      <c r="L192" s="15" t="s">
        <v>19</v>
      </c>
      <c r="M192" s="15">
        <v>1</v>
      </c>
      <c r="N192" s="15">
        <v>10</v>
      </c>
      <c r="O192" s="15">
        <v>36.999102999999998</v>
      </c>
      <c r="P192" s="15">
        <v>1.9710000000000001</v>
      </c>
      <c r="Q192" s="15" t="s">
        <v>20</v>
      </c>
      <c r="R192" s="8" t="str">
        <f t="shared" si="50"/>
        <v>jit-sel-async-ALL-bytecode</v>
      </c>
    </row>
    <row r="193" spans="1:18" x14ac:dyDescent="0.2">
      <c r="A193" s="15" t="s">
        <v>38</v>
      </c>
      <c r="B193" s="15" t="s">
        <v>65</v>
      </c>
      <c r="C193" s="15" t="s">
        <v>27</v>
      </c>
      <c r="D193" s="15" t="s">
        <v>17</v>
      </c>
      <c r="E193" s="15" t="s">
        <v>28</v>
      </c>
      <c r="F193" s="15"/>
      <c r="G193" s="15">
        <v>0</v>
      </c>
      <c r="H193" s="15" t="s">
        <v>29</v>
      </c>
      <c r="I193" s="15" t="s">
        <v>35</v>
      </c>
      <c r="J193" s="15" t="s">
        <v>31</v>
      </c>
      <c r="K193" s="15"/>
      <c r="L193" s="15" t="s">
        <v>19</v>
      </c>
      <c r="M193" s="15">
        <v>1</v>
      </c>
      <c r="N193" s="15">
        <v>10</v>
      </c>
      <c r="O193" s="15">
        <v>46.359085999999998</v>
      </c>
      <c r="P193" s="15">
        <v>0.92200000000000004</v>
      </c>
      <c r="Q193" s="15" t="s">
        <v>20</v>
      </c>
      <c r="R193" s="8" t="str">
        <f t="shared" si="50"/>
        <v>jit-sel-async-ALL-lambda</v>
      </c>
    </row>
    <row r="194" spans="1:18" x14ac:dyDescent="0.2">
      <c r="A194" s="15" t="s">
        <v>38</v>
      </c>
      <c r="B194" s="15" t="s">
        <v>65</v>
      </c>
      <c r="C194" s="15" t="s">
        <v>27</v>
      </c>
      <c r="D194" s="15" t="s">
        <v>17</v>
      </c>
      <c r="E194" s="15" t="s">
        <v>28</v>
      </c>
      <c r="F194" s="15"/>
      <c r="G194" s="15">
        <v>0</v>
      </c>
      <c r="H194" s="15" t="s">
        <v>29</v>
      </c>
      <c r="I194" s="15" t="s">
        <v>35</v>
      </c>
      <c r="J194" s="15" t="s">
        <v>33</v>
      </c>
      <c r="K194" s="15"/>
      <c r="L194" s="15" t="s">
        <v>19</v>
      </c>
      <c r="M194" s="15">
        <v>1</v>
      </c>
      <c r="N194" s="15">
        <v>10</v>
      </c>
      <c r="O194" s="15">
        <v>209.758691</v>
      </c>
      <c r="P194" s="15">
        <v>25.54</v>
      </c>
      <c r="Q194" s="15" t="s">
        <v>20</v>
      </c>
      <c r="R194" s="8" t="str">
        <f t="shared" si="50"/>
        <v>jit-sel-async-ALL-quotes</v>
      </c>
    </row>
    <row r="195" spans="1:18" x14ac:dyDescent="0.2">
      <c r="A195" s="15" t="s">
        <v>38</v>
      </c>
      <c r="B195" s="15" t="s">
        <v>65</v>
      </c>
      <c r="C195" s="15" t="s">
        <v>27</v>
      </c>
      <c r="D195" s="15" t="s">
        <v>17</v>
      </c>
      <c r="E195" s="15" t="s">
        <v>28</v>
      </c>
      <c r="F195" s="15"/>
      <c r="G195" s="15">
        <v>0</v>
      </c>
      <c r="H195" s="15" t="s">
        <v>29</v>
      </c>
      <c r="I195" s="15" t="s">
        <v>74</v>
      </c>
      <c r="J195" s="15" t="s">
        <v>30</v>
      </c>
      <c r="K195" s="15"/>
      <c r="L195" s="15" t="s">
        <v>19</v>
      </c>
      <c r="M195" s="15">
        <v>1</v>
      </c>
      <c r="N195" s="15">
        <v>10</v>
      </c>
      <c r="O195" s="15">
        <v>54.187736999999998</v>
      </c>
      <c r="P195" s="15">
        <v>1.8580000000000001</v>
      </c>
      <c r="Q195" s="15" t="s">
        <v>20</v>
      </c>
      <c r="R195" s="8" t="str">
        <f t="shared" si="50"/>
        <v>jit-sel-async-RULE-bytecode</v>
      </c>
    </row>
    <row r="196" spans="1:18" x14ac:dyDescent="0.2">
      <c r="A196" s="15" t="s">
        <v>38</v>
      </c>
      <c r="B196" s="15" t="s">
        <v>65</v>
      </c>
      <c r="C196" s="15" t="s">
        <v>27</v>
      </c>
      <c r="D196" s="15" t="s">
        <v>17</v>
      </c>
      <c r="E196" s="15" t="s">
        <v>28</v>
      </c>
      <c r="F196" s="15"/>
      <c r="G196" s="15">
        <v>0</v>
      </c>
      <c r="H196" s="15" t="s">
        <v>29</v>
      </c>
      <c r="I196" s="15" t="s">
        <v>74</v>
      </c>
      <c r="J196" s="15" t="s">
        <v>31</v>
      </c>
      <c r="K196" s="15"/>
      <c r="L196" s="15" t="s">
        <v>19</v>
      </c>
      <c r="M196" s="15">
        <v>1</v>
      </c>
      <c r="N196" s="15">
        <v>10</v>
      </c>
      <c r="O196" s="15">
        <v>36.32114</v>
      </c>
      <c r="P196" s="15">
        <v>0.72399999999999998</v>
      </c>
      <c r="Q196" s="15" t="s">
        <v>20</v>
      </c>
      <c r="R196" s="8" t="str">
        <f t="shared" ref="R196:R240" si="51">_xlfn.CONCAT(C196, "-", E196, "-", H196, "-", I196, "-", J196)</f>
        <v>jit-sel-async-RULE-lambda</v>
      </c>
    </row>
    <row r="197" spans="1:18" x14ac:dyDescent="0.2">
      <c r="A197" s="15" t="s">
        <v>38</v>
      </c>
      <c r="B197" s="15" t="s">
        <v>65</v>
      </c>
      <c r="C197" s="15" t="s">
        <v>27</v>
      </c>
      <c r="D197" s="15" t="s">
        <v>17</v>
      </c>
      <c r="E197" s="15" t="s">
        <v>28</v>
      </c>
      <c r="F197" s="15"/>
      <c r="G197" s="15">
        <v>0</v>
      </c>
      <c r="H197" s="15" t="s">
        <v>29</v>
      </c>
      <c r="I197" s="15" t="s">
        <v>74</v>
      </c>
      <c r="J197" s="15" t="s">
        <v>33</v>
      </c>
      <c r="K197" s="15"/>
      <c r="L197" s="15" t="s">
        <v>19</v>
      </c>
      <c r="M197" s="15">
        <v>1</v>
      </c>
      <c r="N197" s="15">
        <v>10</v>
      </c>
      <c r="O197" s="15">
        <v>20.807300999999999</v>
      </c>
      <c r="P197" s="15">
        <v>1.264</v>
      </c>
      <c r="Q197" s="15" t="s">
        <v>20</v>
      </c>
      <c r="R197" s="8" t="str">
        <f t="shared" si="51"/>
        <v>jit-sel-async-RULE-quotes</v>
      </c>
    </row>
    <row r="198" spans="1:18" x14ac:dyDescent="0.2">
      <c r="A198" s="15" t="s">
        <v>38</v>
      </c>
      <c r="B198" s="15" t="s">
        <v>65</v>
      </c>
      <c r="C198" s="15" t="s">
        <v>27</v>
      </c>
      <c r="D198" s="15" t="s">
        <v>17</v>
      </c>
      <c r="E198" s="15" t="s">
        <v>28</v>
      </c>
      <c r="F198" s="15"/>
      <c r="G198" s="15">
        <v>0</v>
      </c>
      <c r="H198" s="15" t="s">
        <v>39</v>
      </c>
      <c r="I198" s="15" t="s">
        <v>35</v>
      </c>
      <c r="J198" s="15" t="s">
        <v>30</v>
      </c>
      <c r="K198" s="15"/>
      <c r="L198" s="15" t="s">
        <v>19</v>
      </c>
      <c r="M198" s="15">
        <v>1</v>
      </c>
      <c r="N198" s="15">
        <v>10</v>
      </c>
      <c r="O198" s="15">
        <v>57.728402000000003</v>
      </c>
      <c r="P198" s="15">
        <v>1.5469999999999999</v>
      </c>
      <c r="Q198" s="15" t="s">
        <v>20</v>
      </c>
      <c r="R198" s="8" t="str">
        <f t="shared" si="51"/>
        <v>jit-sel-blocking-ALL-bytecode</v>
      </c>
    </row>
    <row r="199" spans="1:18" x14ac:dyDescent="0.2">
      <c r="A199" s="15" t="s">
        <v>38</v>
      </c>
      <c r="B199" s="15" t="s">
        <v>65</v>
      </c>
      <c r="C199" s="15" t="s">
        <v>27</v>
      </c>
      <c r="D199" s="15" t="s">
        <v>17</v>
      </c>
      <c r="E199" s="15" t="s">
        <v>28</v>
      </c>
      <c r="F199" s="15"/>
      <c r="G199" s="15">
        <v>0</v>
      </c>
      <c r="H199" s="15" t="s">
        <v>39</v>
      </c>
      <c r="I199" s="15" t="s">
        <v>35</v>
      </c>
      <c r="J199" s="15" t="s">
        <v>31</v>
      </c>
      <c r="K199" s="15"/>
      <c r="L199" s="15" t="s">
        <v>19</v>
      </c>
      <c r="M199" s="15">
        <v>1</v>
      </c>
      <c r="N199" s="15">
        <v>10</v>
      </c>
      <c r="O199" s="15">
        <v>40.662650999999997</v>
      </c>
      <c r="P199" s="15">
        <v>1.214</v>
      </c>
      <c r="Q199" s="15" t="s">
        <v>20</v>
      </c>
      <c r="R199" s="8" t="str">
        <f t="shared" si="51"/>
        <v>jit-sel-blocking-ALL-lambda</v>
      </c>
    </row>
    <row r="200" spans="1:18" x14ac:dyDescent="0.2">
      <c r="A200" s="15" t="s">
        <v>38</v>
      </c>
      <c r="B200" s="15" t="s">
        <v>65</v>
      </c>
      <c r="C200" s="15" t="s">
        <v>27</v>
      </c>
      <c r="D200" s="15" t="s">
        <v>17</v>
      </c>
      <c r="E200" s="15" t="s">
        <v>28</v>
      </c>
      <c r="F200" s="15"/>
      <c r="G200" s="15">
        <v>0</v>
      </c>
      <c r="H200" s="15" t="s">
        <v>39</v>
      </c>
      <c r="I200" s="15" t="s">
        <v>35</v>
      </c>
      <c r="J200" s="15" t="s">
        <v>33</v>
      </c>
      <c r="K200" s="15"/>
      <c r="L200" s="15" t="s">
        <v>19</v>
      </c>
      <c r="M200" s="15">
        <v>1</v>
      </c>
      <c r="N200" s="15">
        <v>10</v>
      </c>
      <c r="O200" s="15">
        <v>101.357333</v>
      </c>
      <c r="P200" s="15">
        <v>6.39</v>
      </c>
      <c r="Q200" s="15" t="s">
        <v>20</v>
      </c>
      <c r="R200" s="8" t="str">
        <f t="shared" si="51"/>
        <v>jit-sel-blocking-ALL-quotes</v>
      </c>
    </row>
    <row r="201" spans="1:18" x14ac:dyDescent="0.2">
      <c r="A201" s="15" t="s">
        <v>38</v>
      </c>
      <c r="B201" s="15" t="s">
        <v>65</v>
      </c>
      <c r="C201" s="15" t="s">
        <v>27</v>
      </c>
      <c r="D201" s="15" t="s">
        <v>17</v>
      </c>
      <c r="E201" s="15" t="s">
        <v>28</v>
      </c>
      <c r="F201" s="15"/>
      <c r="G201" s="15">
        <v>0</v>
      </c>
      <c r="H201" s="15" t="s">
        <v>39</v>
      </c>
      <c r="I201" s="15" t="s">
        <v>75</v>
      </c>
      <c r="J201" s="15" t="s">
        <v>30</v>
      </c>
      <c r="K201" s="15"/>
      <c r="L201" s="15" t="s">
        <v>19</v>
      </c>
      <c r="M201" s="15">
        <v>1</v>
      </c>
      <c r="N201" s="15">
        <v>10</v>
      </c>
      <c r="O201" s="15">
        <v>35.220582999999998</v>
      </c>
      <c r="P201" s="15">
        <v>1.0269999999999999</v>
      </c>
      <c r="Q201" s="15" t="s">
        <v>20</v>
      </c>
      <c r="R201" s="8" t="str">
        <f t="shared" si="51"/>
        <v>jit-sel-blocking-DELTA-bytecode</v>
      </c>
    </row>
    <row r="202" spans="1:18" x14ac:dyDescent="0.2">
      <c r="A202" s="15" t="s">
        <v>38</v>
      </c>
      <c r="B202" s="15" t="s">
        <v>65</v>
      </c>
      <c r="C202" s="15" t="s">
        <v>27</v>
      </c>
      <c r="D202" s="15" t="s">
        <v>17</v>
      </c>
      <c r="E202" s="15" t="s">
        <v>28</v>
      </c>
      <c r="F202" s="15"/>
      <c r="G202" s="15">
        <v>0</v>
      </c>
      <c r="H202" s="15" t="s">
        <v>39</v>
      </c>
      <c r="I202" s="15" t="s">
        <v>75</v>
      </c>
      <c r="J202" s="15" t="s">
        <v>31</v>
      </c>
      <c r="K202" s="15"/>
      <c r="L202" s="15" t="s">
        <v>19</v>
      </c>
      <c r="M202" s="15">
        <v>1</v>
      </c>
      <c r="N202" s="15">
        <v>10</v>
      </c>
      <c r="O202" s="15">
        <v>27.749541000000001</v>
      </c>
      <c r="P202" s="15">
        <v>0.83899999999999997</v>
      </c>
      <c r="Q202" s="15" t="s">
        <v>20</v>
      </c>
      <c r="R202" s="8" t="str">
        <f t="shared" si="51"/>
        <v>jit-sel-blocking-DELTA-lambda</v>
      </c>
    </row>
    <row r="203" spans="1:18" x14ac:dyDescent="0.2">
      <c r="A203" s="15" t="s">
        <v>38</v>
      </c>
      <c r="B203" s="15" t="s">
        <v>65</v>
      </c>
      <c r="C203" s="15" t="s">
        <v>27</v>
      </c>
      <c r="D203" s="15" t="s">
        <v>17</v>
      </c>
      <c r="E203" s="15" t="s">
        <v>28</v>
      </c>
      <c r="F203" s="15"/>
      <c r="G203" s="15">
        <v>0</v>
      </c>
      <c r="H203" s="15" t="s">
        <v>39</v>
      </c>
      <c r="I203" s="15" t="s">
        <v>75</v>
      </c>
      <c r="J203" s="15" t="s">
        <v>33</v>
      </c>
      <c r="K203" s="15"/>
      <c r="L203" s="15" t="s">
        <v>19</v>
      </c>
      <c r="M203" s="15">
        <v>1</v>
      </c>
      <c r="N203" s="15">
        <v>10</v>
      </c>
      <c r="O203" s="15">
        <v>37.686450999999998</v>
      </c>
      <c r="P203" s="15">
        <v>3.01</v>
      </c>
      <c r="Q203" s="15" t="s">
        <v>20</v>
      </c>
      <c r="R203" s="8" t="str">
        <f t="shared" si="51"/>
        <v>jit-sel-blocking-DELTA-quotes</v>
      </c>
    </row>
    <row r="204" spans="1:18" x14ac:dyDescent="0.2">
      <c r="A204" s="15" t="s">
        <v>38</v>
      </c>
      <c r="B204" s="15" t="s">
        <v>65</v>
      </c>
      <c r="C204" s="15" t="s">
        <v>27</v>
      </c>
      <c r="D204" s="15" t="s">
        <v>17</v>
      </c>
      <c r="E204" s="15" t="s">
        <v>28</v>
      </c>
      <c r="F204" s="15"/>
      <c r="G204" s="15">
        <v>0</v>
      </c>
      <c r="H204" s="15" t="s">
        <v>39</v>
      </c>
      <c r="I204" s="15" t="s">
        <v>74</v>
      </c>
      <c r="J204" s="15" t="s">
        <v>30</v>
      </c>
      <c r="K204" s="15"/>
      <c r="L204" s="15" t="s">
        <v>19</v>
      </c>
      <c r="M204" s="15">
        <v>1</v>
      </c>
      <c r="N204" s="15">
        <v>10</v>
      </c>
      <c r="O204" s="15">
        <v>57.696192000000003</v>
      </c>
      <c r="P204" s="15">
        <v>1.04</v>
      </c>
      <c r="Q204" s="15" t="s">
        <v>20</v>
      </c>
      <c r="R204" s="8" t="str">
        <f t="shared" si="51"/>
        <v>jit-sel-blocking-RULE-bytecode</v>
      </c>
    </row>
    <row r="205" spans="1:18" x14ac:dyDescent="0.2">
      <c r="A205" s="15" t="s">
        <v>38</v>
      </c>
      <c r="B205" s="15" t="s">
        <v>65</v>
      </c>
      <c r="C205" s="15" t="s">
        <v>27</v>
      </c>
      <c r="D205" s="15" t="s">
        <v>17</v>
      </c>
      <c r="E205" s="15" t="s">
        <v>28</v>
      </c>
      <c r="F205" s="15"/>
      <c r="G205" s="15">
        <v>0</v>
      </c>
      <c r="H205" s="15" t="s">
        <v>39</v>
      </c>
      <c r="I205" s="15" t="s">
        <v>74</v>
      </c>
      <c r="J205" s="15" t="s">
        <v>31</v>
      </c>
      <c r="K205" s="15"/>
      <c r="L205" s="15" t="s">
        <v>19</v>
      </c>
      <c r="M205" s="15">
        <v>1</v>
      </c>
      <c r="N205" s="15">
        <v>10</v>
      </c>
      <c r="O205" s="15">
        <v>56.677483000000002</v>
      </c>
      <c r="P205" s="15">
        <v>1.58</v>
      </c>
      <c r="Q205" s="15" t="s">
        <v>20</v>
      </c>
      <c r="R205" s="8" t="str">
        <f t="shared" si="51"/>
        <v>jit-sel-blocking-RULE-lambda</v>
      </c>
    </row>
    <row r="206" spans="1:18" x14ac:dyDescent="0.2">
      <c r="A206" s="15" t="s">
        <v>38</v>
      </c>
      <c r="B206" s="15" t="s">
        <v>65</v>
      </c>
      <c r="C206" s="15" t="s">
        <v>27</v>
      </c>
      <c r="D206" s="15" t="s">
        <v>17</v>
      </c>
      <c r="E206" s="15" t="s">
        <v>28</v>
      </c>
      <c r="F206" s="15"/>
      <c r="G206" s="15">
        <v>0</v>
      </c>
      <c r="H206" s="15" t="s">
        <v>39</v>
      </c>
      <c r="I206" s="15" t="s">
        <v>74</v>
      </c>
      <c r="J206" s="15" t="s">
        <v>33</v>
      </c>
      <c r="K206" s="15"/>
      <c r="L206" s="15" t="s">
        <v>19</v>
      </c>
      <c r="M206" s="15">
        <v>1</v>
      </c>
      <c r="N206" s="15">
        <v>10</v>
      </c>
      <c r="O206" s="15">
        <v>62.381737999999999</v>
      </c>
      <c r="P206" s="15">
        <v>1.7849999999999999</v>
      </c>
      <c r="Q206" s="15" t="s">
        <v>20</v>
      </c>
      <c r="R206" s="8" t="str">
        <f t="shared" si="51"/>
        <v>jit-sel-blocking-RULE-quotes</v>
      </c>
    </row>
    <row r="207" spans="1:18" x14ac:dyDescent="0.2">
      <c r="A207" s="15" t="s">
        <v>40</v>
      </c>
      <c r="B207" s="15" t="s">
        <v>15</v>
      </c>
      <c r="C207" s="15" t="s">
        <v>16</v>
      </c>
      <c r="D207" s="15" t="s">
        <v>17</v>
      </c>
      <c r="E207" s="15" t="s">
        <v>28</v>
      </c>
      <c r="F207" s="15"/>
      <c r="G207" s="15">
        <v>0</v>
      </c>
      <c r="H207" s="15"/>
      <c r="I207" s="15"/>
      <c r="J207" s="15"/>
      <c r="K207" s="15"/>
      <c r="L207" s="15" t="s">
        <v>19</v>
      </c>
      <c r="M207" s="15">
        <v>1</v>
      </c>
      <c r="N207" s="15">
        <v>10</v>
      </c>
      <c r="O207" s="15">
        <v>4.0518419999999997</v>
      </c>
      <c r="P207" s="15">
        <v>8.4000000000000005E-2</v>
      </c>
      <c r="Q207" s="15" t="s">
        <v>20</v>
      </c>
      <c r="R207" s="8" t="str">
        <f t="shared" si="51"/>
        <v>interpreted-sel---</v>
      </c>
    </row>
    <row r="208" spans="1:18" x14ac:dyDescent="0.2">
      <c r="A208" s="15" t="s">
        <v>40</v>
      </c>
      <c r="B208" s="15" t="s">
        <v>15</v>
      </c>
      <c r="C208" s="15" t="s">
        <v>16</v>
      </c>
      <c r="D208" s="15" t="s">
        <v>17</v>
      </c>
      <c r="E208" s="15" t="s">
        <v>18</v>
      </c>
      <c r="F208" s="15"/>
      <c r="G208" s="15">
        <v>0</v>
      </c>
      <c r="H208" s="15"/>
      <c r="I208" s="15"/>
      <c r="J208" s="15"/>
      <c r="K208" s="15"/>
      <c r="L208" s="15" t="s">
        <v>19</v>
      </c>
      <c r="M208" s="15">
        <v>1</v>
      </c>
      <c r="N208" s="15">
        <v>10</v>
      </c>
      <c r="O208" s="15">
        <v>7.5042030000000004</v>
      </c>
      <c r="P208" s="15">
        <v>0.22700000000000001</v>
      </c>
      <c r="Q208" s="15" t="s">
        <v>20</v>
      </c>
      <c r="R208" s="8" t="str">
        <f t="shared" si="51"/>
        <v>interpreted-unordered---</v>
      </c>
    </row>
    <row r="209" spans="1:18" x14ac:dyDescent="0.2">
      <c r="A209" s="15" t="s">
        <v>40</v>
      </c>
      <c r="B209" s="15" t="s">
        <v>15</v>
      </c>
      <c r="C209" s="15" t="s">
        <v>27</v>
      </c>
      <c r="D209" s="15" t="s">
        <v>17</v>
      </c>
      <c r="E209" s="15" t="s">
        <v>28</v>
      </c>
      <c r="F209" s="15"/>
      <c r="G209" s="15">
        <v>0</v>
      </c>
      <c r="H209" s="15" t="s">
        <v>29</v>
      </c>
      <c r="I209" s="15" t="s">
        <v>35</v>
      </c>
      <c r="J209" s="15" t="s">
        <v>30</v>
      </c>
      <c r="K209" s="15"/>
      <c r="L209" s="15" t="s">
        <v>19</v>
      </c>
      <c r="M209" s="15">
        <v>1</v>
      </c>
      <c r="N209" s="15">
        <v>10</v>
      </c>
      <c r="O209" s="15">
        <v>10.39996</v>
      </c>
      <c r="P209" s="15">
        <v>0.38600000000000001</v>
      </c>
      <c r="Q209" s="15" t="s">
        <v>20</v>
      </c>
      <c r="R209" s="8" t="str">
        <f t="shared" si="51"/>
        <v>jit-sel-async-ALL-bytecode</v>
      </c>
    </row>
    <row r="210" spans="1:18" x14ac:dyDescent="0.2">
      <c r="A210" s="15" t="s">
        <v>40</v>
      </c>
      <c r="B210" s="15" t="s">
        <v>15</v>
      </c>
      <c r="C210" s="15" t="s">
        <v>27</v>
      </c>
      <c r="D210" s="15" t="s">
        <v>17</v>
      </c>
      <c r="E210" s="15" t="s">
        <v>28</v>
      </c>
      <c r="F210" s="15"/>
      <c r="G210" s="15">
        <v>0</v>
      </c>
      <c r="H210" s="15" t="s">
        <v>29</v>
      </c>
      <c r="I210" s="15" t="s">
        <v>35</v>
      </c>
      <c r="J210" s="15" t="s">
        <v>31</v>
      </c>
      <c r="K210" s="15"/>
      <c r="L210" s="15" t="s">
        <v>19</v>
      </c>
      <c r="M210" s="15">
        <v>1</v>
      </c>
      <c r="N210" s="15">
        <v>10</v>
      </c>
      <c r="O210" s="15">
        <v>9.4000640000000004</v>
      </c>
      <c r="P210" s="15">
        <v>0.23300000000000001</v>
      </c>
      <c r="Q210" s="15" t="s">
        <v>20</v>
      </c>
      <c r="R210" s="8" t="str">
        <f t="shared" si="51"/>
        <v>jit-sel-async-ALL-lambda</v>
      </c>
    </row>
    <row r="211" spans="1:18" x14ac:dyDescent="0.2">
      <c r="A211" s="15" t="s">
        <v>40</v>
      </c>
      <c r="B211" s="15" t="s">
        <v>15</v>
      </c>
      <c r="C211" s="15" t="s">
        <v>27</v>
      </c>
      <c r="D211" s="15" t="s">
        <v>17</v>
      </c>
      <c r="E211" s="15" t="s">
        <v>28</v>
      </c>
      <c r="F211" s="15"/>
      <c r="G211" s="15">
        <v>0</v>
      </c>
      <c r="H211" s="15" t="s">
        <v>29</v>
      </c>
      <c r="I211" s="15" t="s">
        <v>35</v>
      </c>
      <c r="J211" s="15" t="s">
        <v>33</v>
      </c>
      <c r="K211" s="15"/>
      <c r="L211" s="15" t="s">
        <v>19</v>
      </c>
      <c r="M211" s="15">
        <v>1</v>
      </c>
      <c r="N211" s="15">
        <v>10</v>
      </c>
      <c r="O211" s="15">
        <v>79.449830000000006</v>
      </c>
      <c r="P211" s="15">
        <v>5.9</v>
      </c>
      <c r="Q211" s="15" t="s">
        <v>20</v>
      </c>
      <c r="R211" s="8" t="str">
        <f t="shared" si="51"/>
        <v>jit-sel-async-ALL-quotes</v>
      </c>
    </row>
    <row r="212" spans="1:18" x14ac:dyDescent="0.2">
      <c r="A212" s="15" t="s">
        <v>40</v>
      </c>
      <c r="B212" s="15" t="s">
        <v>15</v>
      </c>
      <c r="C212" s="15" t="s">
        <v>27</v>
      </c>
      <c r="D212" s="15" t="s">
        <v>17</v>
      </c>
      <c r="E212" s="15" t="s">
        <v>28</v>
      </c>
      <c r="F212" s="15"/>
      <c r="G212" s="15">
        <v>0</v>
      </c>
      <c r="H212" s="15" t="s">
        <v>29</v>
      </c>
      <c r="I212" s="15" t="s">
        <v>74</v>
      </c>
      <c r="J212" s="15" t="s">
        <v>30</v>
      </c>
      <c r="K212" s="15"/>
      <c r="L212" s="15" t="s">
        <v>19</v>
      </c>
      <c r="M212" s="15">
        <v>1</v>
      </c>
      <c r="N212" s="15">
        <v>10</v>
      </c>
      <c r="O212" s="15">
        <v>7.6676650000000004</v>
      </c>
      <c r="P212" s="15">
        <v>0.44400000000000001</v>
      </c>
      <c r="Q212" s="15" t="s">
        <v>20</v>
      </c>
      <c r="R212" s="8" t="str">
        <f t="shared" si="51"/>
        <v>jit-sel-async-RULE-bytecode</v>
      </c>
    </row>
    <row r="213" spans="1:18" x14ac:dyDescent="0.2">
      <c r="A213" s="15" t="s">
        <v>40</v>
      </c>
      <c r="B213" s="15" t="s">
        <v>15</v>
      </c>
      <c r="C213" s="15" t="s">
        <v>27</v>
      </c>
      <c r="D213" s="15" t="s">
        <v>17</v>
      </c>
      <c r="E213" s="15" t="s">
        <v>28</v>
      </c>
      <c r="F213" s="15"/>
      <c r="G213" s="15">
        <v>0</v>
      </c>
      <c r="H213" s="15" t="s">
        <v>29</v>
      </c>
      <c r="I213" s="15" t="s">
        <v>74</v>
      </c>
      <c r="J213" s="15" t="s">
        <v>31</v>
      </c>
      <c r="K213" s="15"/>
      <c r="L213" s="15" t="s">
        <v>19</v>
      </c>
      <c r="M213" s="15">
        <v>1</v>
      </c>
      <c r="N213" s="15">
        <v>10</v>
      </c>
      <c r="O213" s="15">
        <v>9.5411850000000005</v>
      </c>
      <c r="P213" s="15">
        <v>0.40100000000000002</v>
      </c>
      <c r="Q213" s="15" t="s">
        <v>20</v>
      </c>
      <c r="R213" s="8" t="str">
        <f t="shared" si="51"/>
        <v>jit-sel-async-RULE-lambda</v>
      </c>
    </row>
    <row r="214" spans="1:18" x14ac:dyDescent="0.2">
      <c r="A214" s="15" t="s">
        <v>40</v>
      </c>
      <c r="B214" s="15" t="s">
        <v>15</v>
      </c>
      <c r="C214" s="15" t="s">
        <v>27</v>
      </c>
      <c r="D214" s="15" t="s">
        <v>17</v>
      </c>
      <c r="E214" s="15" t="s">
        <v>28</v>
      </c>
      <c r="F214" s="15"/>
      <c r="G214" s="15">
        <v>0</v>
      </c>
      <c r="H214" s="15" t="s">
        <v>29</v>
      </c>
      <c r="I214" s="15" t="s">
        <v>74</v>
      </c>
      <c r="J214" s="15" t="s">
        <v>33</v>
      </c>
      <c r="K214" s="15"/>
      <c r="L214" s="15" t="s">
        <v>19</v>
      </c>
      <c r="M214" s="15">
        <v>1</v>
      </c>
      <c r="N214" s="15">
        <v>10</v>
      </c>
      <c r="O214" s="15">
        <v>7.4986490000000003</v>
      </c>
      <c r="P214" s="15">
        <v>1.597</v>
      </c>
      <c r="Q214" s="15" t="s">
        <v>20</v>
      </c>
      <c r="R214" s="8" t="str">
        <f t="shared" si="51"/>
        <v>jit-sel-async-RULE-quotes</v>
      </c>
    </row>
    <row r="215" spans="1:18" x14ac:dyDescent="0.2">
      <c r="A215" s="15" t="s">
        <v>40</v>
      </c>
      <c r="B215" s="15" t="s">
        <v>15</v>
      </c>
      <c r="C215" s="15" t="s">
        <v>27</v>
      </c>
      <c r="D215" s="15" t="s">
        <v>17</v>
      </c>
      <c r="E215" s="15" t="s">
        <v>28</v>
      </c>
      <c r="F215" s="15"/>
      <c r="G215" s="15">
        <v>0</v>
      </c>
      <c r="H215" s="15" t="s">
        <v>39</v>
      </c>
      <c r="I215" s="15" t="s">
        <v>35</v>
      </c>
      <c r="J215" s="15" t="s">
        <v>30</v>
      </c>
      <c r="K215" s="15"/>
      <c r="L215" s="15" t="s">
        <v>19</v>
      </c>
      <c r="M215" s="15">
        <v>1</v>
      </c>
      <c r="N215" s="15">
        <v>10</v>
      </c>
      <c r="O215" s="15">
        <v>11.758088000000001</v>
      </c>
      <c r="P215" s="15">
        <v>1.167</v>
      </c>
      <c r="Q215" s="15" t="s">
        <v>20</v>
      </c>
      <c r="R215" s="8" t="str">
        <f t="shared" si="51"/>
        <v>jit-sel-blocking-ALL-bytecode</v>
      </c>
    </row>
    <row r="216" spans="1:18" x14ac:dyDescent="0.2">
      <c r="A216" s="15" t="s">
        <v>40</v>
      </c>
      <c r="B216" s="15" t="s">
        <v>15</v>
      </c>
      <c r="C216" s="15" t="s">
        <v>27</v>
      </c>
      <c r="D216" s="15" t="s">
        <v>17</v>
      </c>
      <c r="E216" s="15" t="s">
        <v>28</v>
      </c>
      <c r="F216" s="15"/>
      <c r="G216" s="15">
        <v>0</v>
      </c>
      <c r="H216" s="15" t="s">
        <v>39</v>
      </c>
      <c r="I216" s="15" t="s">
        <v>35</v>
      </c>
      <c r="J216" s="15" t="s">
        <v>31</v>
      </c>
      <c r="K216" s="15"/>
      <c r="L216" s="15" t="s">
        <v>19</v>
      </c>
      <c r="M216" s="15">
        <v>1</v>
      </c>
      <c r="N216" s="15">
        <v>10</v>
      </c>
      <c r="O216" s="15">
        <v>10.817924</v>
      </c>
      <c r="P216" s="15">
        <v>0.22900000000000001</v>
      </c>
      <c r="Q216" s="15" t="s">
        <v>20</v>
      </c>
      <c r="R216" s="8" t="str">
        <f t="shared" si="51"/>
        <v>jit-sel-blocking-ALL-lambda</v>
      </c>
    </row>
    <row r="217" spans="1:18" x14ac:dyDescent="0.2">
      <c r="A217" s="15" t="s">
        <v>40</v>
      </c>
      <c r="B217" s="15" t="s">
        <v>15</v>
      </c>
      <c r="C217" s="15" t="s">
        <v>27</v>
      </c>
      <c r="D217" s="15" t="s">
        <v>17</v>
      </c>
      <c r="E217" s="15" t="s">
        <v>28</v>
      </c>
      <c r="F217" s="15"/>
      <c r="G217" s="15">
        <v>0</v>
      </c>
      <c r="H217" s="15" t="s">
        <v>39</v>
      </c>
      <c r="I217" s="15" t="s">
        <v>35</v>
      </c>
      <c r="J217" s="15" t="s">
        <v>33</v>
      </c>
      <c r="K217" s="15"/>
      <c r="L217" s="15" t="s">
        <v>19</v>
      </c>
      <c r="M217" s="15">
        <v>1</v>
      </c>
      <c r="N217" s="15">
        <v>10</v>
      </c>
      <c r="O217" s="15">
        <v>20.497313999999999</v>
      </c>
      <c r="P217" s="15">
        <v>0.252</v>
      </c>
      <c r="Q217" s="15" t="s">
        <v>20</v>
      </c>
      <c r="R217" s="8" t="str">
        <f t="shared" si="51"/>
        <v>jit-sel-blocking-ALL-quotes</v>
      </c>
    </row>
    <row r="218" spans="1:18" x14ac:dyDescent="0.2">
      <c r="A218" s="15" t="s">
        <v>40</v>
      </c>
      <c r="B218" s="15" t="s">
        <v>15</v>
      </c>
      <c r="C218" s="15" t="s">
        <v>27</v>
      </c>
      <c r="D218" s="15" t="s">
        <v>17</v>
      </c>
      <c r="E218" s="15" t="s">
        <v>28</v>
      </c>
      <c r="F218" s="15"/>
      <c r="G218" s="15">
        <v>0</v>
      </c>
      <c r="H218" s="15" t="s">
        <v>39</v>
      </c>
      <c r="I218" s="15" t="s">
        <v>75</v>
      </c>
      <c r="J218" s="15" t="s">
        <v>30</v>
      </c>
      <c r="K218" s="15"/>
      <c r="L218" s="15" t="s">
        <v>19</v>
      </c>
      <c r="M218" s="15">
        <v>1</v>
      </c>
      <c r="N218" s="15">
        <v>10</v>
      </c>
      <c r="O218" s="15">
        <v>13.215192999999999</v>
      </c>
      <c r="P218" s="15">
        <v>0.22</v>
      </c>
      <c r="Q218" s="15" t="s">
        <v>20</v>
      </c>
      <c r="R218" s="8" t="str">
        <f t="shared" si="51"/>
        <v>jit-sel-blocking-DELTA-bytecode</v>
      </c>
    </row>
    <row r="219" spans="1:18" x14ac:dyDescent="0.2">
      <c r="A219" s="15" t="s">
        <v>40</v>
      </c>
      <c r="B219" s="15" t="s">
        <v>15</v>
      </c>
      <c r="C219" s="15" t="s">
        <v>27</v>
      </c>
      <c r="D219" s="15" t="s">
        <v>17</v>
      </c>
      <c r="E219" s="15" t="s">
        <v>28</v>
      </c>
      <c r="F219" s="15"/>
      <c r="G219" s="15">
        <v>0</v>
      </c>
      <c r="H219" s="15" t="s">
        <v>39</v>
      </c>
      <c r="I219" s="15" t="s">
        <v>75</v>
      </c>
      <c r="J219" s="15" t="s">
        <v>31</v>
      </c>
      <c r="K219" s="15"/>
      <c r="L219" s="15" t="s">
        <v>19</v>
      </c>
      <c r="M219" s="15">
        <v>1</v>
      </c>
      <c r="N219" s="15">
        <v>10</v>
      </c>
      <c r="O219" s="15">
        <v>6.6517189999999999</v>
      </c>
      <c r="P219" s="15">
        <v>0.20100000000000001</v>
      </c>
      <c r="Q219" s="15" t="s">
        <v>20</v>
      </c>
      <c r="R219" s="8" t="str">
        <f t="shared" si="51"/>
        <v>jit-sel-blocking-DELTA-lambda</v>
      </c>
    </row>
    <row r="220" spans="1:18" x14ac:dyDescent="0.2">
      <c r="A220" s="15" t="s">
        <v>40</v>
      </c>
      <c r="B220" s="15" t="s">
        <v>15</v>
      </c>
      <c r="C220" s="15" t="s">
        <v>27</v>
      </c>
      <c r="D220" s="15" t="s">
        <v>17</v>
      </c>
      <c r="E220" s="15" t="s">
        <v>28</v>
      </c>
      <c r="F220" s="15"/>
      <c r="G220" s="15">
        <v>0</v>
      </c>
      <c r="H220" s="15" t="s">
        <v>39</v>
      </c>
      <c r="I220" s="15" t="s">
        <v>75</v>
      </c>
      <c r="J220" s="15" t="s">
        <v>33</v>
      </c>
      <c r="K220" s="15"/>
      <c r="L220" s="15" t="s">
        <v>19</v>
      </c>
      <c r="M220" s="15">
        <v>1</v>
      </c>
      <c r="N220" s="15">
        <v>10</v>
      </c>
      <c r="O220" s="15">
        <v>11.034943</v>
      </c>
      <c r="P220" s="15">
        <v>0.81100000000000005</v>
      </c>
      <c r="Q220" s="15" t="s">
        <v>20</v>
      </c>
      <c r="R220" s="8" t="str">
        <f t="shared" si="51"/>
        <v>jit-sel-blocking-DELTA-quotes</v>
      </c>
    </row>
    <row r="221" spans="1:18" x14ac:dyDescent="0.2">
      <c r="A221" s="15" t="s">
        <v>40</v>
      </c>
      <c r="B221" s="15" t="s">
        <v>15</v>
      </c>
      <c r="C221" s="15" t="s">
        <v>27</v>
      </c>
      <c r="D221" s="15" t="s">
        <v>17</v>
      </c>
      <c r="E221" s="15" t="s">
        <v>28</v>
      </c>
      <c r="F221" s="15"/>
      <c r="G221" s="15">
        <v>0</v>
      </c>
      <c r="H221" s="15" t="s">
        <v>39</v>
      </c>
      <c r="I221" s="15" t="s">
        <v>74</v>
      </c>
      <c r="J221" s="15" t="s">
        <v>30</v>
      </c>
      <c r="K221" s="15"/>
      <c r="L221" s="15" t="s">
        <v>19</v>
      </c>
      <c r="M221" s="15">
        <v>1</v>
      </c>
      <c r="N221" s="15">
        <v>10</v>
      </c>
      <c r="O221" s="15">
        <v>20.65588</v>
      </c>
      <c r="P221" s="15">
        <v>0.38800000000000001</v>
      </c>
      <c r="Q221" s="15" t="s">
        <v>20</v>
      </c>
      <c r="R221" s="8" t="str">
        <f t="shared" si="51"/>
        <v>jit-sel-blocking-RULE-bytecode</v>
      </c>
    </row>
    <row r="222" spans="1:18" x14ac:dyDescent="0.2">
      <c r="A222" s="15" t="s">
        <v>40</v>
      </c>
      <c r="B222" s="15" t="s">
        <v>15</v>
      </c>
      <c r="C222" s="15" t="s">
        <v>27</v>
      </c>
      <c r="D222" s="15" t="s">
        <v>17</v>
      </c>
      <c r="E222" s="15" t="s">
        <v>28</v>
      </c>
      <c r="F222" s="15"/>
      <c r="G222" s="15">
        <v>0</v>
      </c>
      <c r="H222" s="15" t="s">
        <v>39</v>
      </c>
      <c r="I222" s="15" t="s">
        <v>74</v>
      </c>
      <c r="J222" s="15" t="s">
        <v>31</v>
      </c>
      <c r="K222" s="15"/>
      <c r="L222" s="15" t="s">
        <v>19</v>
      </c>
      <c r="M222" s="15">
        <v>1</v>
      </c>
      <c r="N222" s="15">
        <v>10</v>
      </c>
      <c r="O222" s="15">
        <v>15.9255</v>
      </c>
      <c r="P222" s="15">
        <v>0.35499999999999998</v>
      </c>
      <c r="Q222" s="15" t="s">
        <v>20</v>
      </c>
      <c r="R222" s="8" t="str">
        <f t="shared" si="51"/>
        <v>jit-sel-blocking-RULE-lambda</v>
      </c>
    </row>
    <row r="223" spans="1:18" x14ac:dyDescent="0.2">
      <c r="A223" s="15" t="s">
        <v>40</v>
      </c>
      <c r="B223" s="15" t="s">
        <v>15</v>
      </c>
      <c r="C223" s="15" t="s">
        <v>27</v>
      </c>
      <c r="D223" s="15" t="s">
        <v>17</v>
      </c>
      <c r="E223" s="15" t="s">
        <v>28</v>
      </c>
      <c r="F223" s="15"/>
      <c r="G223" s="15">
        <v>0</v>
      </c>
      <c r="H223" s="15" t="s">
        <v>39</v>
      </c>
      <c r="I223" s="15" t="s">
        <v>74</v>
      </c>
      <c r="J223" s="15" t="s">
        <v>33</v>
      </c>
      <c r="K223" s="15"/>
      <c r="L223" s="15" t="s">
        <v>19</v>
      </c>
      <c r="M223" s="15">
        <v>1</v>
      </c>
      <c r="N223" s="15">
        <v>10</v>
      </c>
      <c r="O223" s="15">
        <v>17.089794000000001</v>
      </c>
      <c r="P223" s="15">
        <v>0.33</v>
      </c>
      <c r="Q223" s="15" t="s">
        <v>20</v>
      </c>
      <c r="R223" s="8" t="str">
        <f t="shared" si="51"/>
        <v>jit-sel-blocking-RULE-quotes</v>
      </c>
    </row>
    <row r="224" spans="1:18" x14ac:dyDescent="0.2">
      <c r="A224" s="15" t="s">
        <v>40</v>
      </c>
      <c r="B224" s="15" t="s">
        <v>65</v>
      </c>
      <c r="C224" s="15" t="s">
        <v>16</v>
      </c>
      <c r="D224" s="15" t="s">
        <v>17</v>
      </c>
      <c r="E224" s="15" t="s">
        <v>28</v>
      </c>
      <c r="F224" s="15"/>
      <c r="G224" s="15">
        <v>0</v>
      </c>
      <c r="H224" s="15"/>
      <c r="I224" s="15"/>
      <c r="J224" s="15"/>
      <c r="K224" s="15"/>
      <c r="L224" s="15" t="s">
        <v>19</v>
      </c>
      <c r="M224" s="15">
        <v>1</v>
      </c>
      <c r="N224" s="15">
        <v>10</v>
      </c>
      <c r="O224" s="15">
        <v>8.1355810000000002</v>
      </c>
      <c r="P224" s="15">
        <v>0.186</v>
      </c>
      <c r="Q224" s="15" t="s">
        <v>20</v>
      </c>
      <c r="R224" s="8" t="str">
        <f t="shared" si="51"/>
        <v>interpreted-sel---</v>
      </c>
    </row>
    <row r="225" spans="1:18" x14ac:dyDescent="0.2">
      <c r="A225" s="15" t="s">
        <v>40</v>
      </c>
      <c r="B225" s="15" t="s">
        <v>65</v>
      </c>
      <c r="C225" s="15" t="s">
        <v>16</v>
      </c>
      <c r="D225" s="15" t="s">
        <v>17</v>
      </c>
      <c r="E225" s="15" t="s">
        <v>18</v>
      </c>
      <c r="F225" s="15"/>
      <c r="G225" s="15">
        <v>0</v>
      </c>
      <c r="H225" s="15"/>
      <c r="I225" s="15"/>
      <c r="J225" s="15"/>
      <c r="K225" s="15"/>
      <c r="L225" s="15" t="s">
        <v>19</v>
      </c>
      <c r="M225" s="15">
        <v>1</v>
      </c>
      <c r="N225" s="15">
        <v>10</v>
      </c>
      <c r="O225" s="15">
        <v>16980.171180000001</v>
      </c>
      <c r="P225" s="15">
        <v>299.3</v>
      </c>
      <c r="Q225" s="15" t="s">
        <v>20</v>
      </c>
      <c r="R225" s="8" t="str">
        <f t="shared" si="51"/>
        <v>interpreted-unordered---</v>
      </c>
    </row>
    <row r="226" spans="1:18" x14ac:dyDescent="0.2">
      <c r="A226" s="15" t="s">
        <v>40</v>
      </c>
      <c r="B226" s="15" t="s">
        <v>65</v>
      </c>
      <c r="C226" s="15" t="s">
        <v>27</v>
      </c>
      <c r="D226" s="15" t="s">
        <v>17</v>
      </c>
      <c r="E226" s="15" t="s">
        <v>28</v>
      </c>
      <c r="F226" s="15"/>
      <c r="G226" s="15">
        <v>0</v>
      </c>
      <c r="H226" s="15" t="s">
        <v>29</v>
      </c>
      <c r="I226" s="15" t="s">
        <v>35</v>
      </c>
      <c r="J226" s="15" t="s">
        <v>30</v>
      </c>
      <c r="K226" s="15"/>
      <c r="L226" s="15" t="s">
        <v>19</v>
      </c>
      <c r="M226" s="15">
        <v>1</v>
      </c>
      <c r="N226" s="15">
        <v>10</v>
      </c>
      <c r="O226" s="15">
        <v>10.55917</v>
      </c>
      <c r="P226" s="15">
        <v>0.36899999999999999</v>
      </c>
      <c r="Q226" s="15" t="s">
        <v>20</v>
      </c>
      <c r="R226" s="8" t="str">
        <f t="shared" si="51"/>
        <v>jit-sel-async-ALL-bytecode</v>
      </c>
    </row>
    <row r="227" spans="1:18" x14ac:dyDescent="0.2">
      <c r="A227" s="15" t="s">
        <v>40</v>
      </c>
      <c r="B227" s="15" t="s">
        <v>65</v>
      </c>
      <c r="C227" s="15" t="s">
        <v>27</v>
      </c>
      <c r="D227" s="15" t="s">
        <v>17</v>
      </c>
      <c r="E227" s="15" t="s">
        <v>28</v>
      </c>
      <c r="F227" s="15"/>
      <c r="G227" s="15">
        <v>0</v>
      </c>
      <c r="H227" s="15" t="s">
        <v>29</v>
      </c>
      <c r="I227" s="15" t="s">
        <v>35</v>
      </c>
      <c r="J227" s="15" t="s">
        <v>31</v>
      </c>
      <c r="K227" s="15"/>
      <c r="L227" s="15" t="s">
        <v>19</v>
      </c>
      <c r="M227" s="15">
        <v>1</v>
      </c>
      <c r="N227" s="15">
        <v>10</v>
      </c>
      <c r="O227" s="15">
        <v>9.9877359999999999</v>
      </c>
      <c r="P227" s="15">
        <v>0.53500000000000003</v>
      </c>
      <c r="Q227" s="15" t="s">
        <v>20</v>
      </c>
      <c r="R227" s="8" t="str">
        <f t="shared" si="51"/>
        <v>jit-sel-async-ALL-lambda</v>
      </c>
    </row>
    <row r="228" spans="1:18" x14ac:dyDescent="0.2">
      <c r="A228" s="15" t="s">
        <v>40</v>
      </c>
      <c r="B228" s="15" t="s">
        <v>65</v>
      </c>
      <c r="C228" s="15" t="s">
        <v>27</v>
      </c>
      <c r="D228" s="15" t="s">
        <v>17</v>
      </c>
      <c r="E228" s="15" t="s">
        <v>28</v>
      </c>
      <c r="F228" s="15"/>
      <c r="G228" s="15">
        <v>0</v>
      </c>
      <c r="H228" s="15" t="s">
        <v>29</v>
      </c>
      <c r="I228" s="15" t="s">
        <v>35</v>
      </c>
      <c r="J228" s="15" t="s">
        <v>33</v>
      </c>
      <c r="K228" s="15"/>
      <c r="L228" s="15" t="s">
        <v>19</v>
      </c>
      <c r="M228" s="15">
        <v>1</v>
      </c>
      <c r="N228" s="15">
        <v>10</v>
      </c>
      <c r="O228" s="15">
        <v>46.912362000000002</v>
      </c>
      <c r="P228" s="15">
        <v>3.2850000000000001</v>
      </c>
      <c r="Q228" s="15" t="s">
        <v>20</v>
      </c>
      <c r="R228" s="8" t="str">
        <f t="shared" si="51"/>
        <v>jit-sel-async-ALL-quotes</v>
      </c>
    </row>
    <row r="229" spans="1:18" x14ac:dyDescent="0.2">
      <c r="A229" s="15" t="s">
        <v>40</v>
      </c>
      <c r="B229" s="15" t="s">
        <v>65</v>
      </c>
      <c r="C229" s="15" t="s">
        <v>27</v>
      </c>
      <c r="D229" s="15" t="s">
        <v>17</v>
      </c>
      <c r="E229" s="15" t="s">
        <v>28</v>
      </c>
      <c r="F229" s="15"/>
      <c r="G229" s="15">
        <v>0</v>
      </c>
      <c r="H229" s="15" t="s">
        <v>29</v>
      </c>
      <c r="I229" s="15" t="s">
        <v>74</v>
      </c>
      <c r="J229" s="15" t="s">
        <v>30</v>
      </c>
      <c r="K229" s="15"/>
      <c r="L229" s="15" t="s">
        <v>19</v>
      </c>
      <c r="M229" s="15">
        <v>1</v>
      </c>
      <c r="N229" s="15">
        <v>10</v>
      </c>
      <c r="O229" s="15">
        <v>11.528574000000001</v>
      </c>
      <c r="P229" s="15">
        <v>0.45900000000000002</v>
      </c>
      <c r="Q229" s="15" t="s">
        <v>20</v>
      </c>
      <c r="R229" s="8" t="str">
        <f t="shared" si="51"/>
        <v>jit-sel-async-RULE-bytecode</v>
      </c>
    </row>
    <row r="230" spans="1:18" x14ac:dyDescent="0.2">
      <c r="A230" s="15" t="s">
        <v>40</v>
      </c>
      <c r="B230" s="15" t="s">
        <v>65</v>
      </c>
      <c r="C230" s="15" t="s">
        <v>27</v>
      </c>
      <c r="D230" s="15" t="s">
        <v>17</v>
      </c>
      <c r="E230" s="15" t="s">
        <v>28</v>
      </c>
      <c r="F230" s="15"/>
      <c r="G230" s="15">
        <v>0</v>
      </c>
      <c r="H230" s="15" t="s">
        <v>29</v>
      </c>
      <c r="I230" s="15" t="s">
        <v>74</v>
      </c>
      <c r="J230" s="15" t="s">
        <v>31</v>
      </c>
      <c r="K230" s="15"/>
      <c r="L230" s="15" t="s">
        <v>19</v>
      </c>
      <c r="M230" s="15">
        <v>1</v>
      </c>
      <c r="N230" s="15">
        <v>10</v>
      </c>
      <c r="O230" s="15">
        <v>10.719721</v>
      </c>
      <c r="P230" s="15">
        <v>0.90700000000000003</v>
      </c>
      <c r="Q230" s="15" t="s">
        <v>20</v>
      </c>
      <c r="R230" s="8" t="str">
        <f t="shared" si="51"/>
        <v>jit-sel-async-RULE-lambda</v>
      </c>
    </row>
    <row r="231" spans="1:18" x14ac:dyDescent="0.2">
      <c r="A231" s="15" t="s">
        <v>40</v>
      </c>
      <c r="B231" s="15" t="s">
        <v>65</v>
      </c>
      <c r="C231" s="15" t="s">
        <v>27</v>
      </c>
      <c r="D231" s="15" t="s">
        <v>17</v>
      </c>
      <c r="E231" s="15" t="s">
        <v>28</v>
      </c>
      <c r="F231" s="15"/>
      <c r="G231" s="15">
        <v>0</v>
      </c>
      <c r="H231" s="15" t="s">
        <v>29</v>
      </c>
      <c r="I231" s="15" t="s">
        <v>74</v>
      </c>
      <c r="J231" s="15" t="s">
        <v>33</v>
      </c>
      <c r="K231" s="15"/>
      <c r="L231" s="15" t="s">
        <v>19</v>
      </c>
      <c r="M231" s="15">
        <v>1</v>
      </c>
      <c r="N231" s="15">
        <v>10</v>
      </c>
      <c r="O231" s="15">
        <v>10.140947000000001</v>
      </c>
      <c r="P231" s="15">
        <v>0.95</v>
      </c>
      <c r="Q231" s="15" t="s">
        <v>20</v>
      </c>
      <c r="R231" s="8" t="str">
        <f t="shared" si="51"/>
        <v>jit-sel-async-RULE-quotes</v>
      </c>
    </row>
    <row r="232" spans="1:18" x14ac:dyDescent="0.2">
      <c r="A232" s="15" t="s">
        <v>40</v>
      </c>
      <c r="B232" s="15" t="s">
        <v>65</v>
      </c>
      <c r="C232" s="15" t="s">
        <v>27</v>
      </c>
      <c r="D232" s="15" t="s">
        <v>17</v>
      </c>
      <c r="E232" s="15" t="s">
        <v>28</v>
      </c>
      <c r="F232" s="15"/>
      <c r="G232" s="15">
        <v>0</v>
      </c>
      <c r="H232" s="15" t="s">
        <v>39</v>
      </c>
      <c r="I232" s="15" t="s">
        <v>35</v>
      </c>
      <c r="J232" s="15" t="s">
        <v>30</v>
      </c>
      <c r="K232" s="15"/>
      <c r="L232" s="15" t="s">
        <v>19</v>
      </c>
      <c r="M232" s="15">
        <v>1</v>
      </c>
      <c r="N232" s="15">
        <v>10</v>
      </c>
      <c r="O232" s="15">
        <v>11.691063</v>
      </c>
      <c r="P232" s="15">
        <v>0.68</v>
      </c>
      <c r="Q232" s="15" t="s">
        <v>20</v>
      </c>
      <c r="R232" s="8" t="str">
        <f t="shared" si="51"/>
        <v>jit-sel-blocking-ALL-bytecode</v>
      </c>
    </row>
    <row r="233" spans="1:18" x14ac:dyDescent="0.2">
      <c r="A233" s="15" t="s">
        <v>40</v>
      </c>
      <c r="B233" s="15" t="s">
        <v>65</v>
      </c>
      <c r="C233" s="15" t="s">
        <v>27</v>
      </c>
      <c r="D233" s="15" t="s">
        <v>17</v>
      </c>
      <c r="E233" s="15" t="s">
        <v>28</v>
      </c>
      <c r="F233" s="15"/>
      <c r="G233" s="15">
        <v>0</v>
      </c>
      <c r="H233" s="15" t="s">
        <v>39</v>
      </c>
      <c r="I233" s="15" t="s">
        <v>35</v>
      </c>
      <c r="J233" s="15" t="s">
        <v>31</v>
      </c>
      <c r="K233" s="15"/>
      <c r="L233" s="15" t="s">
        <v>19</v>
      </c>
      <c r="M233" s="15">
        <v>1</v>
      </c>
      <c r="N233" s="15">
        <v>10</v>
      </c>
      <c r="O233" s="15">
        <v>11.548876999999999</v>
      </c>
      <c r="P233" s="15">
        <v>0.25900000000000001</v>
      </c>
      <c r="Q233" s="15" t="s">
        <v>20</v>
      </c>
      <c r="R233" s="8" t="str">
        <f t="shared" si="51"/>
        <v>jit-sel-blocking-ALL-lambda</v>
      </c>
    </row>
    <row r="234" spans="1:18" x14ac:dyDescent="0.2">
      <c r="A234" s="15" t="s">
        <v>40</v>
      </c>
      <c r="B234" s="15" t="s">
        <v>65</v>
      </c>
      <c r="C234" s="15" t="s">
        <v>27</v>
      </c>
      <c r="D234" s="15" t="s">
        <v>17</v>
      </c>
      <c r="E234" s="15" t="s">
        <v>28</v>
      </c>
      <c r="F234" s="15"/>
      <c r="G234" s="15">
        <v>0</v>
      </c>
      <c r="H234" s="15" t="s">
        <v>39</v>
      </c>
      <c r="I234" s="15" t="s">
        <v>35</v>
      </c>
      <c r="J234" s="15" t="s">
        <v>33</v>
      </c>
      <c r="K234" s="15"/>
      <c r="L234" s="15" t="s">
        <v>19</v>
      </c>
      <c r="M234" s="15">
        <v>1</v>
      </c>
      <c r="N234" s="15">
        <v>10</v>
      </c>
      <c r="O234" s="15">
        <v>20.811426999999998</v>
      </c>
      <c r="P234" s="15">
        <v>0.29399999999999998</v>
      </c>
      <c r="Q234" s="15" t="s">
        <v>20</v>
      </c>
      <c r="R234" s="8" t="str">
        <f t="shared" si="51"/>
        <v>jit-sel-blocking-ALL-quotes</v>
      </c>
    </row>
    <row r="235" spans="1:18" x14ac:dyDescent="0.2">
      <c r="A235" s="15" t="s">
        <v>40</v>
      </c>
      <c r="B235" s="15" t="s">
        <v>65</v>
      </c>
      <c r="C235" s="15" t="s">
        <v>27</v>
      </c>
      <c r="D235" s="15" t="s">
        <v>17</v>
      </c>
      <c r="E235" s="15" t="s">
        <v>28</v>
      </c>
      <c r="F235" s="15"/>
      <c r="G235" s="15">
        <v>0</v>
      </c>
      <c r="H235" s="15" t="s">
        <v>39</v>
      </c>
      <c r="I235" s="15" t="s">
        <v>75</v>
      </c>
      <c r="J235" s="15" t="s">
        <v>30</v>
      </c>
      <c r="K235" s="15"/>
      <c r="L235" s="15" t="s">
        <v>19</v>
      </c>
      <c r="M235" s="15">
        <v>1</v>
      </c>
      <c r="N235" s="15">
        <v>10</v>
      </c>
      <c r="O235" s="15">
        <v>13.927308999999999</v>
      </c>
      <c r="P235" s="15">
        <v>0.80900000000000005</v>
      </c>
      <c r="Q235" s="15" t="s">
        <v>20</v>
      </c>
      <c r="R235" s="8" t="str">
        <f t="shared" si="51"/>
        <v>jit-sel-blocking-DELTA-bytecode</v>
      </c>
    </row>
    <row r="236" spans="1:18" x14ac:dyDescent="0.2">
      <c r="A236" s="15" t="s">
        <v>40</v>
      </c>
      <c r="B236" s="15" t="s">
        <v>65</v>
      </c>
      <c r="C236" s="15" t="s">
        <v>27</v>
      </c>
      <c r="D236" s="15" t="s">
        <v>17</v>
      </c>
      <c r="E236" s="15" t="s">
        <v>28</v>
      </c>
      <c r="F236" s="15"/>
      <c r="G236" s="15">
        <v>0</v>
      </c>
      <c r="H236" s="15" t="s">
        <v>39</v>
      </c>
      <c r="I236" s="15" t="s">
        <v>75</v>
      </c>
      <c r="J236" s="15" t="s">
        <v>31</v>
      </c>
      <c r="K236" s="15"/>
      <c r="L236" s="15" t="s">
        <v>19</v>
      </c>
      <c r="M236" s="15">
        <v>1</v>
      </c>
      <c r="N236" s="15">
        <v>10</v>
      </c>
      <c r="O236" s="15">
        <v>7.0060089999999997</v>
      </c>
      <c r="P236" s="15">
        <v>0.76200000000000001</v>
      </c>
      <c r="Q236" s="15" t="s">
        <v>20</v>
      </c>
      <c r="R236" s="8" t="str">
        <f t="shared" si="51"/>
        <v>jit-sel-blocking-DELTA-lambda</v>
      </c>
    </row>
    <row r="237" spans="1:18" x14ac:dyDescent="0.2">
      <c r="A237" s="15" t="s">
        <v>40</v>
      </c>
      <c r="B237" s="15" t="s">
        <v>65</v>
      </c>
      <c r="C237" s="15" t="s">
        <v>27</v>
      </c>
      <c r="D237" s="15" t="s">
        <v>17</v>
      </c>
      <c r="E237" s="15" t="s">
        <v>28</v>
      </c>
      <c r="F237" s="15"/>
      <c r="G237" s="15">
        <v>0</v>
      </c>
      <c r="H237" s="15" t="s">
        <v>39</v>
      </c>
      <c r="I237" s="15" t="s">
        <v>75</v>
      </c>
      <c r="J237" s="15" t="s">
        <v>33</v>
      </c>
      <c r="K237" s="15"/>
      <c r="L237" s="15" t="s">
        <v>19</v>
      </c>
      <c r="M237" s="15">
        <v>1</v>
      </c>
      <c r="N237" s="15">
        <v>10</v>
      </c>
      <c r="O237" s="15">
        <v>11.040279</v>
      </c>
      <c r="P237" s="15">
        <v>1.2849999999999999</v>
      </c>
      <c r="Q237" s="15" t="s">
        <v>20</v>
      </c>
      <c r="R237" s="8" t="str">
        <f t="shared" si="51"/>
        <v>jit-sel-blocking-DELTA-quotes</v>
      </c>
    </row>
    <row r="238" spans="1:18" x14ac:dyDescent="0.2">
      <c r="A238" s="15" t="s">
        <v>40</v>
      </c>
      <c r="B238" s="15" t="s">
        <v>65</v>
      </c>
      <c r="C238" s="15" t="s">
        <v>27</v>
      </c>
      <c r="D238" s="15" t="s">
        <v>17</v>
      </c>
      <c r="E238" s="15" t="s">
        <v>28</v>
      </c>
      <c r="F238" s="15"/>
      <c r="G238" s="15">
        <v>0</v>
      </c>
      <c r="H238" s="15" t="s">
        <v>39</v>
      </c>
      <c r="I238" s="15" t="s">
        <v>74</v>
      </c>
      <c r="J238" s="15" t="s">
        <v>30</v>
      </c>
      <c r="K238" s="15"/>
      <c r="L238" s="15" t="s">
        <v>19</v>
      </c>
      <c r="M238" s="15">
        <v>1</v>
      </c>
      <c r="N238" s="15">
        <v>10</v>
      </c>
      <c r="O238" s="15">
        <v>25.623263999999999</v>
      </c>
      <c r="P238" s="15">
        <v>0.51300000000000001</v>
      </c>
      <c r="Q238" s="15" t="s">
        <v>20</v>
      </c>
      <c r="R238" s="8" t="str">
        <f t="shared" si="51"/>
        <v>jit-sel-blocking-RULE-bytecode</v>
      </c>
    </row>
    <row r="239" spans="1:18" x14ac:dyDescent="0.2">
      <c r="A239" s="15" t="s">
        <v>40</v>
      </c>
      <c r="B239" s="15" t="s">
        <v>65</v>
      </c>
      <c r="C239" s="15" t="s">
        <v>27</v>
      </c>
      <c r="D239" s="15" t="s">
        <v>17</v>
      </c>
      <c r="E239" s="15" t="s">
        <v>28</v>
      </c>
      <c r="F239" s="15"/>
      <c r="G239" s="15">
        <v>0</v>
      </c>
      <c r="H239" s="15" t="s">
        <v>39</v>
      </c>
      <c r="I239" s="15" t="s">
        <v>74</v>
      </c>
      <c r="J239" s="15" t="s">
        <v>31</v>
      </c>
      <c r="K239" s="15"/>
      <c r="L239" s="15" t="s">
        <v>19</v>
      </c>
      <c r="M239" s="15">
        <v>1</v>
      </c>
      <c r="N239" s="15">
        <v>10</v>
      </c>
      <c r="O239" s="15">
        <v>17.961248000000001</v>
      </c>
      <c r="P239" s="15">
        <v>0.56000000000000005</v>
      </c>
      <c r="Q239" s="15" t="s">
        <v>20</v>
      </c>
      <c r="R239" s="8" t="str">
        <f t="shared" si="51"/>
        <v>jit-sel-blocking-RULE-lambda</v>
      </c>
    </row>
    <row r="240" spans="1:18" x14ac:dyDescent="0.2">
      <c r="A240" s="15" t="s">
        <v>40</v>
      </c>
      <c r="B240" s="15" t="s">
        <v>65</v>
      </c>
      <c r="C240" s="15" t="s">
        <v>27</v>
      </c>
      <c r="D240" s="15" t="s">
        <v>17</v>
      </c>
      <c r="E240" s="15" t="s">
        <v>28</v>
      </c>
      <c r="F240" s="15"/>
      <c r="G240" s="15">
        <v>0</v>
      </c>
      <c r="H240" s="15" t="s">
        <v>39</v>
      </c>
      <c r="I240" s="15" t="s">
        <v>74</v>
      </c>
      <c r="J240" s="15" t="s">
        <v>33</v>
      </c>
      <c r="K240" s="15"/>
      <c r="L240" s="15" t="s">
        <v>19</v>
      </c>
      <c r="M240" s="15">
        <v>1</v>
      </c>
      <c r="N240" s="15">
        <v>10</v>
      </c>
      <c r="O240" s="15">
        <v>28.649716000000002</v>
      </c>
      <c r="P240" s="15">
        <v>0.58399999999999996</v>
      </c>
      <c r="Q240" s="15" t="s">
        <v>20</v>
      </c>
      <c r="R240" s="8" t="str">
        <f t="shared" si="51"/>
        <v>jit-sel-blocking-RULE-quotes</v>
      </c>
    </row>
    <row r="241" spans="1:18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20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20" ht="18" customHeight="1" x14ac:dyDescent="0.2">
      <c r="O258"/>
      <c r="R258" s="6"/>
      <c r="S258" s="6"/>
      <c r="T258" s="6"/>
    </row>
    <row r="259" spans="1:20" x14ac:dyDescent="0.2">
      <c r="O259"/>
      <c r="R259" s="6"/>
      <c r="S259" s="6"/>
      <c r="T259" s="6"/>
    </row>
    <row r="260" spans="1:20" x14ac:dyDescent="0.2">
      <c r="O260"/>
      <c r="S260" s="6"/>
      <c r="T260" s="7"/>
    </row>
    <row r="261" spans="1:20" x14ac:dyDescent="0.2">
      <c r="O261"/>
      <c r="R261" s="6"/>
      <c r="S261" s="6"/>
      <c r="T261" s="7"/>
    </row>
    <row r="262" spans="1:20" x14ac:dyDescent="0.2">
      <c r="O262"/>
      <c r="R262" s="6"/>
      <c r="S262" s="6"/>
      <c r="T262" s="7"/>
    </row>
    <row r="263" spans="1:20" x14ac:dyDescent="0.2">
      <c r="O263"/>
      <c r="R263" s="6"/>
      <c r="S263" s="7"/>
      <c r="T263" s="6"/>
    </row>
    <row r="264" spans="1:20" x14ac:dyDescent="0.2">
      <c r="O264"/>
      <c r="R264" s="6"/>
      <c r="S264" s="7"/>
      <c r="T264" s="6"/>
    </row>
    <row r="265" spans="1:20" x14ac:dyDescent="0.2">
      <c r="O265"/>
      <c r="R265" s="6"/>
      <c r="S265" s="7"/>
      <c r="T265" s="6"/>
    </row>
    <row r="266" spans="1:20" x14ac:dyDescent="0.2">
      <c r="O266"/>
      <c r="R266" s="6"/>
      <c r="S266" s="6"/>
      <c r="T266" s="6"/>
    </row>
    <row r="267" spans="1:20" x14ac:dyDescent="0.2">
      <c r="O267"/>
      <c r="R267" s="6"/>
      <c r="S267" s="6"/>
      <c r="T267" s="7"/>
    </row>
    <row r="268" spans="1:20" x14ac:dyDescent="0.2">
      <c r="O268"/>
      <c r="R268" s="6"/>
      <c r="S268" s="7"/>
      <c r="T268" s="6"/>
    </row>
    <row r="269" spans="1:20" x14ac:dyDescent="0.2">
      <c r="O269"/>
      <c r="R269" s="6"/>
      <c r="S269" s="7"/>
      <c r="T269" s="6"/>
    </row>
    <row r="270" spans="1:20" x14ac:dyDescent="0.2">
      <c r="O270"/>
      <c r="R270" s="6"/>
      <c r="S270" s="6"/>
      <c r="T270" s="6"/>
    </row>
    <row r="271" spans="1:20" x14ac:dyDescent="0.2">
      <c r="O271"/>
      <c r="R271" s="6"/>
      <c r="S271" s="6"/>
      <c r="T271" s="6"/>
    </row>
    <row r="272" spans="1:20" x14ac:dyDescent="0.2">
      <c r="O272"/>
    </row>
    <row r="273" spans="15:30" x14ac:dyDescent="0.2">
      <c r="AD273" s="5"/>
    </row>
    <row r="275" spans="15:30" x14ac:dyDescent="0.2">
      <c r="AD275" s="5"/>
    </row>
    <row r="283" spans="15:30" x14ac:dyDescent="0.2">
      <c r="O283"/>
      <c r="P283" s="5"/>
      <c r="R283" s="5"/>
      <c r="S283" s="5"/>
      <c r="T283" s="5"/>
      <c r="U283" s="5"/>
      <c r="V283" s="5"/>
      <c r="X283" s="5"/>
      <c r="Y283" s="5"/>
      <c r="Z283" s="5"/>
      <c r="AA283" s="5"/>
      <c r="AB283" s="5"/>
      <c r="AC283" s="5"/>
      <c r="AD283" s="5"/>
    </row>
    <row r="284" spans="15:30" x14ac:dyDescent="0.2">
      <c r="O284"/>
    </row>
    <row r="285" spans="15:30" x14ac:dyDescent="0.2">
      <c r="O285"/>
    </row>
    <row r="286" spans="15:30" x14ac:dyDescent="0.2">
      <c r="O286"/>
    </row>
    <row r="287" spans="15:30" x14ac:dyDescent="0.2">
      <c r="O287"/>
      <c r="R287" s="6"/>
    </row>
    <row r="288" spans="15:30" x14ac:dyDescent="0.2">
      <c r="O288"/>
    </row>
    <row r="289" spans="15:15" x14ac:dyDescent="0.2">
      <c r="O289"/>
    </row>
    <row r="290" spans="15:15" x14ac:dyDescent="0.2">
      <c r="O290"/>
    </row>
    <row r="291" spans="15:15" x14ac:dyDescent="0.2">
      <c r="O291"/>
    </row>
    <row r="292" spans="15:15" x14ac:dyDescent="0.2">
      <c r="O292"/>
    </row>
    <row r="293" spans="15:15" x14ac:dyDescent="0.2">
      <c r="O293"/>
    </row>
    <row r="294" spans="15:15" x14ac:dyDescent="0.2">
      <c r="O294"/>
    </row>
    <row r="295" spans="15:15" x14ac:dyDescent="0.2">
      <c r="O295"/>
    </row>
    <row r="296" spans="15:15" x14ac:dyDescent="0.2">
      <c r="O296"/>
    </row>
    <row r="297" spans="15:15" x14ac:dyDescent="0.2">
      <c r="O297"/>
    </row>
    <row r="298" spans="15:15" x14ac:dyDescent="0.2">
      <c r="O298"/>
    </row>
    <row r="299" spans="15:15" x14ac:dyDescent="0.2">
      <c r="O299"/>
    </row>
    <row r="300" spans="15:15" x14ac:dyDescent="0.2">
      <c r="O300"/>
    </row>
    <row r="301" spans="15:15" x14ac:dyDescent="0.2">
      <c r="O301"/>
    </row>
    <row r="302" spans="15:15" x14ac:dyDescent="0.2">
      <c r="O302"/>
    </row>
    <row r="303" spans="15:15" x14ac:dyDescent="0.2">
      <c r="O303"/>
    </row>
    <row r="304" spans="15:15" x14ac:dyDescent="0.2">
      <c r="O304"/>
    </row>
    <row r="305" spans="15:15" x14ac:dyDescent="0.2">
      <c r="O305"/>
    </row>
    <row r="306" spans="15:15" x14ac:dyDescent="0.2">
      <c r="O306"/>
    </row>
    <row r="307" spans="15:15" x14ac:dyDescent="0.2">
      <c r="O307"/>
    </row>
    <row r="308" spans="15:15" x14ac:dyDescent="0.2">
      <c r="O308"/>
    </row>
    <row r="309" spans="15:15" x14ac:dyDescent="0.2">
      <c r="O309"/>
    </row>
    <row r="310" spans="15:15" x14ac:dyDescent="0.2">
      <c r="O310"/>
    </row>
    <row r="311" spans="15:15" x14ac:dyDescent="0.2">
      <c r="O311"/>
    </row>
    <row r="312" spans="15:15" x14ac:dyDescent="0.2">
      <c r="O312"/>
    </row>
    <row r="313" spans="15:15" x14ac:dyDescent="0.2">
      <c r="O313"/>
    </row>
    <row r="314" spans="15:15" x14ac:dyDescent="0.2">
      <c r="O314"/>
    </row>
    <row r="315" spans="15:15" x14ac:dyDescent="0.2">
      <c r="O315"/>
    </row>
    <row r="316" spans="15:15" x14ac:dyDescent="0.2">
      <c r="O316"/>
    </row>
    <row r="317" spans="15:15" x14ac:dyDescent="0.2">
      <c r="O317"/>
    </row>
    <row r="318" spans="15:15" x14ac:dyDescent="0.2">
      <c r="O318"/>
    </row>
    <row r="319" spans="15:15" x14ac:dyDescent="0.2">
      <c r="O319"/>
    </row>
    <row r="320" spans="15:15" x14ac:dyDescent="0.2">
      <c r="O320"/>
    </row>
    <row r="321" spans="15:15" x14ac:dyDescent="0.2">
      <c r="O321"/>
    </row>
    <row r="322" spans="15:15" x14ac:dyDescent="0.2">
      <c r="O322"/>
    </row>
    <row r="323" spans="15:15" x14ac:dyDescent="0.2">
      <c r="O323"/>
    </row>
    <row r="324" spans="15:15" x14ac:dyDescent="0.2">
      <c r="O324"/>
    </row>
    <row r="325" spans="15:15" x14ac:dyDescent="0.2">
      <c r="O325"/>
    </row>
    <row r="326" spans="15:15" x14ac:dyDescent="0.2">
      <c r="O326"/>
    </row>
    <row r="327" spans="15:15" x14ac:dyDescent="0.2">
      <c r="O327"/>
    </row>
    <row r="328" spans="15:15" x14ac:dyDescent="0.2">
      <c r="O328"/>
    </row>
    <row r="329" spans="15:15" x14ac:dyDescent="0.2">
      <c r="O329"/>
    </row>
    <row r="330" spans="15:15" x14ac:dyDescent="0.2">
      <c r="O330"/>
    </row>
    <row r="331" spans="15:15" x14ac:dyDescent="0.2">
      <c r="O331"/>
    </row>
    <row r="332" spans="15:15" x14ac:dyDescent="0.2">
      <c r="O332"/>
    </row>
    <row r="333" spans="15:15" x14ac:dyDescent="0.2">
      <c r="O333"/>
    </row>
    <row r="334" spans="15:15" x14ac:dyDescent="0.2">
      <c r="O334"/>
    </row>
    <row r="335" spans="15:15" x14ac:dyDescent="0.2">
      <c r="O335"/>
    </row>
    <row r="336" spans="15:15" x14ac:dyDescent="0.2">
      <c r="O336"/>
    </row>
    <row r="337" spans="15:15" x14ac:dyDescent="0.2">
      <c r="O337"/>
    </row>
    <row r="338" spans="15:15" x14ac:dyDescent="0.2">
      <c r="O338"/>
    </row>
    <row r="339" spans="15:15" x14ac:dyDescent="0.2">
      <c r="O339"/>
    </row>
    <row r="340" spans="15:15" x14ac:dyDescent="0.2">
      <c r="O340"/>
    </row>
    <row r="341" spans="15:15" x14ac:dyDescent="0.2">
      <c r="O341"/>
    </row>
    <row r="342" spans="15:15" x14ac:dyDescent="0.2">
      <c r="O342"/>
    </row>
    <row r="343" spans="15:15" x14ac:dyDescent="0.2">
      <c r="O343"/>
    </row>
    <row r="344" spans="15:15" x14ac:dyDescent="0.2">
      <c r="O344"/>
    </row>
    <row r="345" spans="15:15" x14ac:dyDescent="0.2">
      <c r="O345"/>
    </row>
    <row r="346" spans="15:15" x14ac:dyDescent="0.2">
      <c r="O346"/>
    </row>
    <row r="347" spans="15:15" x14ac:dyDescent="0.2">
      <c r="O347"/>
    </row>
    <row r="348" spans="15:15" x14ac:dyDescent="0.2">
      <c r="O348"/>
    </row>
    <row r="349" spans="15:15" x14ac:dyDescent="0.2">
      <c r="O349"/>
    </row>
    <row r="350" spans="15:15" x14ac:dyDescent="0.2">
      <c r="O350"/>
    </row>
    <row r="351" spans="15:15" x14ac:dyDescent="0.2">
      <c r="O351"/>
    </row>
    <row r="352" spans="15:15" x14ac:dyDescent="0.2">
      <c r="O352"/>
    </row>
    <row r="353" spans="15:15" x14ac:dyDescent="0.2">
      <c r="O353"/>
    </row>
    <row r="354" spans="15:15" x14ac:dyDescent="0.2">
      <c r="O354"/>
    </row>
    <row r="355" spans="15:15" x14ac:dyDescent="0.2">
      <c r="O355"/>
    </row>
    <row r="356" spans="15:15" x14ac:dyDescent="0.2">
      <c r="O356"/>
    </row>
    <row r="357" spans="15:15" x14ac:dyDescent="0.2">
      <c r="O357"/>
    </row>
    <row r="358" spans="15:15" x14ac:dyDescent="0.2">
      <c r="O358"/>
    </row>
    <row r="359" spans="15:15" x14ac:dyDescent="0.2">
      <c r="O359"/>
    </row>
    <row r="360" spans="15:15" x14ac:dyDescent="0.2">
      <c r="O360"/>
    </row>
    <row r="361" spans="15:15" x14ac:dyDescent="0.2">
      <c r="O361"/>
    </row>
    <row r="362" spans="15:15" x14ac:dyDescent="0.2">
      <c r="O362"/>
    </row>
    <row r="363" spans="15:15" x14ac:dyDescent="0.2">
      <c r="O363"/>
    </row>
    <row r="364" spans="15:15" x14ac:dyDescent="0.2">
      <c r="O364"/>
    </row>
    <row r="365" spans="15:15" x14ac:dyDescent="0.2">
      <c r="O365"/>
    </row>
    <row r="366" spans="15:15" x14ac:dyDescent="0.2">
      <c r="O366"/>
    </row>
    <row r="367" spans="15:15" x14ac:dyDescent="0.2">
      <c r="O367"/>
    </row>
    <row r="368" spans="15:15" x14ac:dyDescent="0.2">
      <c r="O368"/>
    </row>
    <row r="369" spans="15:15" x14ac:dyDescent="0.2">
      <c r="O369"/>
    </row>
    <row r="370" spans="15:15" x14ac:dyDescent="0.2">
      <c r="O370"/>
    </row>
    <row r="371" spans="15:15" x14ac:dyDescent="0.2">
      <c r="O371"/>
    </row>
    <row r="372" spans="15:15" x14ac:dyDescent="0.2">
      <c r="O372"/>
    </row>
    <row r="373" spans="15:15" x14ac:dyDescent="0.2">
      <c r="O373"/>
    </row>
    <row r="374" spans="15:15" x14ac:dyDescent="0.2">
      <c r="O374"/>
    </row>
    <row r="375" spans="15:15" x14ac:dyDescent="0.2">
      <c r="O375"/>
    </row>
    <row r="376" spans="15:15" x14ac:dyDescent="0.2">
      <c r="O376"/>
    </row>
    <row r="377" spans="15:15" x14ac:dyDescent="0.2">
      <c r="O377"/>
    </row>
    <row r="378" spans="15:15" x14ac:dyDescent="0.2">
      <c r="O378"/>
    </row>
    <row r="379" spans="15:15" x14ac:dyDescent="0.2">
      <c r="O379"/>
    </row>
    <row r="380" spans="15:15" x14ac:dyDescent="0.2">
      <c r="O380"/>
    </row>
    <row r="381" spans="15:15" x14ac:dyDescent="0.2">
      <c r="O381"/>
    </row>
    <row r="382" spans="15:15" x14ac:dyDescent="0.2">
      <c r="O382"/>
    </row>
    <row r="383" spans="15:15" x14ac:dyDescent="0.2">
      <c r="O383"/>
    </row>
    <row r="384" spans="15:15" x14ac:dyDescent="0.2">
      <c r="O384"/>
    </row>
    <row r="385" spans="15:15" x14ac:dyDescent="0.2">
      <c r="O385"/>
    </row>
    <row r="386" spans="15:15" x14ac:dyDescent="0.2">
      <c r="O386"/>
    </row>
    <row r="387" spans="15:15" x14ac:dyDescent="0.2">
      <c r="O387"/>
    </row>
    <row r="388" spans="15:15" x14ac:dyDescent="0.2">
      <c r="O388"/>
    </row>
    <row r="389" spans="15:15" x14ac:dyDescent="0.2">
      <c r="O389"/>
    </row>
    <row r="390" spans="15:15" x14ac:dyDescent="0.2">
      <c r="O390"/>
    </row>
    <row r="391" spans="15:15" x14ac:dyDescent="0.2">
      <c r="O391"/>
    </row>
    <row r="392" spans="15:15" x14ac:dyDescent="0.2">
      <c r="O392"/>
    </row>
    <row r="393" spans="15:15" x14ac:dyDescent="0.2">
      <c r="O393"/>
    </row>
    <row r="394" spans="15:15" x14ac:dyDescent="0.2">
      <c r="O394"/>
    </row>
    <row r="395" spans="15:15" x14ac:dyDescent="0.2">
      <c r="O395"/>
    </row>
    <row r="396" spans="15:15" x14ac:dyDescent="0.2">
      <c r="O396"/>
    </row>
    <row r="397" spans="15:15" x14ac:dyDescent="0.2">
      <c r="O397"/>
    </row>
    <row r="398" spans="15:15" x14ac:dyDescent="0.2">
      <c r="O398"/>
    </row>
    <row r="399" spans="15:15" x14ac:dyDescent="0.2">
      <c r="O399"/>
    </row>
  </sheetData>
  <conditionalFormatting sqref="T237:T255 T3:T200">
    <cfRule type="expression" dxfId="38" priority="24" stopIfTrue="1">
      <formula>AND(NOT(ISBLANK($S3)), $S3=FALSE)</formula>
    </cfRule>
    <cfRule type="expression" dxfId="37" priority="25">
      <formula>AND($S3=TRUE, $T3&gt;1)</formula>
    </cfRule>
  </conditionalFormatting>
  <conditionalFormatting sqref="AD55 AD68 AD81 AD94 AD107 AD120 AD133 AD146 AD159 AD172 AD185 AD243">
    <cfRule type="expression" dxfId="36" priority="22" stopIfTrue="1">
      <formula>AND($AC55=FALSE,NOT(ISBLANK($AD55)))</formula>
    </cfRule>
    <cfRule type="expression" dxfId="35" priority="23">
      <formula>AND($AC55=TRUE, $AD55&gt;1,NOT(ISBLANK($AD55)))</formula>
    </cfRule>
  </conditionalFormatting>
  <conditionalFormatting sqref="AK42 AK55 AK68 AK81 AK94 AK107 AK120 AK133 AK146 AK159 AK172 AK185 AK243">
    <cfRule type="expression" dxfId="34" priority="20">
      <formula>AND($AJ42=FALSE,NOT(ISBLANK($AK42)))</formula>
    </cfRule>
    <cfRule type="expression" dxfId="33" priority="21">
      <formula>AND($AJ42=TRUE, $AK42&gt;1,NOT(ISBLANK($AK42)))</formula>
    </cfRule>
  </conditionalFormatting>
  <conditionalFormatting sqref="AR55 AR68 AR81 AR94 AR107 AR120 AR133 AR146 AR159 AR172 AR185 AR243">
    <cfRule type="expression" dxfId="32" priority="18">
      <formula>AND($AQ55=FALSE,NOT(ISBLANK($AR55)))</formula>
    </cfRule>
    <cfRule type="expression" dxfId="31" priority="19">
      <formula>AND($AQ55=TRUE, $AR55&gt;1,NOT(ISBLANK($AR55)))</formula>
    </cfRule>
  </conditionalFormatting>
  <conditionalFormatting sqref="AX42 AX55 AX68 AX81 AX94 AX107 AX120 AX133 AX146 AX159 AX172 AX185 AX243">
    <cfRule type="expression" dxfId="30" priority="16">
      <formula>AND($AW42=FALSE,NOT(ISBLANK($AX42)))</formula>
    </cfRule>
    <cfRule type="expression" dxfId="29" priority="17">
      <formula>AND($AW42=TRUE, $AR42&gt;1,NOT(ISBLANK($AR42)))</formula>
    </cfRule>
  </conditionalFormatting>
  <conditionalFormatting sqref="BE55 BE68 BE81 BE94 BE107 BE120 BE133 BE146 BE159 BE172 BE185 BE243">
    <cfRule type="expression" dxfId="28" priority="14">
      <formula>AND($BD55=FALSE,NOT(ISBLANK($BE55)))</formula>
    </cfRule>
    <cfRule type="expression" dxfId="27" priority="15">
      <formula>AND($BD55=TRUE, $AH55&gt;1,NOT(ISBLANK($BE55)))</formula>
    </cfRule>
  </conditionalFormatting>
  <conditionalFormatting sqref="BL42 BL55 BL68 BL81 BL94 BL107 BL120 BL133 BL146 BL159 BL172 BL185 BL243">
    <cfRule type="expression" dxfId="26" priority="13" stopIfTrue="1">
      <formula>AND($BK42=TRUE, $BL42&gt;1,NOT(ISBLANK($BL42)))</formula>
    </cfRule>
  </conditionalFormatting>
  <conditionalFormatting sqref="AI5:AI11 AB283 N283:N1048576 AI27 N258:N271 AJ11:BL11">
    <cfRule type="aboveAverage" dxfId="25" priority="12" stdDev="2"/>
  </conditionalFormatting>
  <conditionalFormatting sqref="V12:CP26 CQ12:CX12">
    <cfRule type="expression" dxfId="24" priority="11">
      <formula>INDIRECT(ADDRESS(ROW(), COLUMN() - 1)) = FALSE</formula>
    </cfRule>
  </conditionalFormatting>
  <conditionalFormatting sqref="AO2:AO10">
    <cfRule type="expression" dxfId="23" priority="26" stopIfTrue="1">
      <formula>AND(NOT(ISBLANK($AN2)), $AN2=FALSE)</formula>
    </cfRule>
    <cfRule type="expression" dxfId="22" priority="27">
      <formula>AND($AN2=TRUE, $AO2&gt;1)</formula>
    </cfRule>
  </conditionalFormatting>
  <conditionalFormatting sqref="AY5">
    <cfRule type="expression" dxfId="21" priority="28" stopIfTrue="1">
      <formula>AND($AX5=FALSE,NOT(ISBLANK($AY5)))</formula>
    </cfRule>
    <cfRule type="expression" dxfId="20" priority="29">
      <formula>AND($AX5=TRUE, $AY5&gt;1,NOT(ISBLANK($AY5)))</formula>
    </cfRule>
  </conditionalFormatting>
  <conditionalFormatting sqref="BF5">
    <cfRule type="expression" dxfId="19" priority="30">
      <formula>AND($BE5=FALSE,NOT(ISBLANK($BF5)))</formula>
    </cfRule>
    <cfRule type="expression" dxfId="18" priority="31">
      <formula>AND($BE5=TRUE, $BF5&gt;1,NOT(ISBLANK($BF5)))</formula>
    </cfRule>
  </conditionalFormatting>
  <conditionalFormatting sqref="BM5 BM31">
    <cfRule type="expression" dxfId="17" priority="32">
      <formula>AND($BL5=FALSE,NOT(ISBLANK($BM5)))</formula>
    </cfRule>
    <cfRule type="expression" dxfId="16" priority="33">
      <formula>AND($BL5=TRUE, $BM5&gt;1,NOT(ISBLANK($BM5)))</formula>
    </cfRule>
  </conditionalFormatting>
  <conditionalFormatting sqref="BS5 BS31">
    <cfRule type="expression" dxfId="15" priority="34">
      <formula>AND($BR5=FALSE,NOT(ISBLANK($BS5)))</formula>
    </cfRule>
    <cfRule type="expression" dxfId="14" priority="35">
      <formula>AND($BR5=TRUE, $BM5&gt;1,NOT(ISBLANK($BM5)))</formula>
    </cfRule>
  </conditionalFormatting>
  <conditionalFormatting sqref="BZ5 BZ31">
    <cfRule type="expression" dxfId="13" priority="36">
      <formula>AND($BY5=FALSE,NOT(ISBLANK($BZ5)))</formula>
    </cfRule>
    <cfRule type="expression" dxfId="12" priority="37">
      <formula>AND($BY5=TRUE, $BC5&gt;1,NOT(ISBLANK($BZ5)))</formula>
    </cfRule>
  </conditionalFormatting>
  <conditionalFormatting sqref="CG5 CG31">
    <cfRule type="expression" dxfId="11" priority="38" stopIfTrue="1">
      <formula>AND($CF5=TRUE, $CG5&gt;1,NOT(ISBLANK($CG5)))</formula>
    </cfRule>
  </conditionalFormatting>
  <conditionalFormatting sqref="CQ13:CR26">
    <cfRule type="expression" dxfId="10" priority="10">
      <formula>INDIRECT(ADDRESS(ROW(), COLUMN() - 1)) = FALSE</formula>
    </cfRule>
  </conditionalFormatting>
  <conditionalFormatting sqref="CS13:CX26">
    <cfRule type="expression" dxfId="9" priority="9">
      <formula>INDIRECT(ADDRESS(ROW(), COLUMN() - 1)) = FALSE</formula>
    </cfRule>
  </conditionalFormatting>
  <conditionalFormatting sqref="AK30">
    <cfRule type="expression" dxfId="8" priority="8">
      <formula>INDIRECT(ADDRESS(ROW(), COLUMN() - 1)) = FALSE</formula>
    </cfRule>
  </conditionalFormatting>
  <conditionalFormatting sqref="AL30">
    <cfRule type="expression" dxfId="7" priority="7">
      <formula>INDIRECT(ADDRESS(ROW(), COLUMN() - 1)) = FALSE</formula>
    </cfRule>
  </conditionalFormatting>
  <conditionalFormatting sqref="BE42">
    <cfRule type="expression" dxfId="6" priority="49">
      <formula>AND($BD42=FALSE,NOT(ISBLANK($BE42)))</formula>
    </cfRule>
    <cfRule type="expression" dxfId="5" priority="50">
      <formula>AND($BD42=TRUE, #REF!&gt;1,NOT(ISBLANK($BE42)))</formula>
    </cfRule>
  </conditionalFormatting>
  <conditionalFormatting sqref="N1">
    <cfRule type="aboveAverage" dxfId="4" priority="5" stdDev="2"/>
  </conditionalFormatting>
  <conditionalFormatting sqref="BF30">
    <cfRule type="expression" dxfId="3" priority="4">
      <formula>INDIRECT(ADDRESS(ROW(), COLUMN() - 1)) = FALSE</formula>
    </cfRule>
  </conditionalFormatting>
  <conditionalFormatting sqref="BG30">
    <cfRule type="expression" dxfId="2" priority="3">
      <formula>INDIRECT(ADDRESS(ROW(), COLUMN() - 1)) = FALSE</formula>
    </cfRule>
  </conditionalFormatting>
  <conditionalFormatting sqref="AD42">
    <cfRule type="expression" dxfId="1" priority="2">
      <formula>NOT(INDIRECT(AD42))</formula>
    </cfRule>
  </conditionalFormatting>
  <conditionalFormatting sqref="AR31:BG37">
    <cfRule type="containsText" dxfId="0" priority="1" operator="containsText" text="INVALID">
      <formula>NOT(ISERROR(SEARCH("INVALID",AR31)))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273-40AB-9843-A120-EAC50E38F21A}">
  <dimension ref="A1"/>
  <sheetViews>
    <sheetView zoomScaleNormal="100" workbookViewId="0">
      <selection activeCell="D22" sqref="D2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D981-3CED-794A-990B-754E08D74727}">
  <dimension ref="A1"/>
  <sheetViews>
    <sheetView workbookViewId="0">
      <selection activeCell="C27" sqref="C2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ED2A-14E1-E143-AF87-0145200DF7A4}">
  <dimension ref="A1"/>
  <sheetViews>
    <sheetView zoomScaleNormal="100" workbookViewId="0">
      <selection activeCell="B22" sqref="B2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A049-DB1F-EA41-A2C1-8843414EA648}">
  <dimension ref="A1"/>
  <sheetViews>
    <sheetView zoomScale="150" zoomScaleNormal="150" workbookViewId="0">
      <selection activeCell="H20" sqref="H20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3C5C-3086-0949-9C33-C0CD31F98453}">
  <dimension ref="A1"/>
  <sheetViews>
    <sheetView workbookViewId="0">
      <selection activeCell="D27" sqref="D2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BA65-92DC-124C-B2B2-FC5A3548189F}">
  <dimension ref="A1"/>
  <sheetViews>
    <sheetView zoomScaleNormal="100" workbookViewId="0">
      <selection activeCell="H7" sqref="H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6430-B688-5B43-9507-552FEE208073}">
  <dimension ref="A1"/>
  <sheetViews>
    <sheetView zoomScale="150" workbookViewId="0">
      <selection activeCell="G7" sqref="G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409D-8D63-6B4F-B804-364D884775E4}">
  <dimension ref="A1:AQ95"/>
  <sheetViews>
    <sheetView topLeftCell="A2" zoomScale="50" zoomScaleNormal="125" workbookViewId="0">
      <selection activeCell="O57" sqref="O57"/>
    </sheetView>
  </sheetViews>
  <sheetFormatPr baseColWidth="10" defaultRowHeight="16" x14ac:dyDescent="0.2"/>
  <cols>
    <col min="1" max="1" width="46.5" customWidth="1"/>
    <col min="2" max="2" width="9.6640625" customWidth="1"/>
    <col min="3" max="3" width="10.6640625" customWidth="1"/>
    <col min="4" max="4" width="7.83203125" bestFit="1" customWidth="1"/>
    <col min="5" max="5" width="10.5" style="8" bestFit="1" customWidth="1"/>
    <col min="6" max="6" width="6.1640625" bestFit="1" customWidth="1"/>
    <col min="7" max="7" width="17.5" bestFit="1" customWidth="1"/>
    <col min="8" max="8" width="15.6640625" customWidth="1"/>
    <col min="11" max="11" width="16.6640625" bestFit="1" customWidth="1"/>
    <col min="12" max="12" width="17" bestFit="1" customWidth="1"/>
    <col min="13" max="13" width="21.83203125" bestFit="1" customWidth="1"/>
    <col min="14" max="14" width="15.5" bestFit="1" customWidth="1"/>
    <col min="15" max="16" width="10.1640625" bestFit="1" customWidth="1"/>
    <col min="17" max="17" width="15.5" bestFit="1" customWidth="1"/>
    <col min="18" max="19" width="10.1640625" bestFit="1" customWidth="1"/>
    <col min="20" max="20" width="15.5" bestFit="1" customWidth="1"/>
    <col min="21" max="21" width="15.5" customWidth="1"/>
    <col min="22" max="22" width="21.6640625" customWidth="1"/>
    <col min="23" max="23" width="18" customWidth="1"/>
    <col min="24" max="24" width="17.1640625" customWidth="1"/>
    <col min="25" max="25" width="18.6640625" bestFit="1" customWidth="1"/>
    <col min="26" max="26" width="16.83203125" bestFit="1" customWidth="1"/>
    <col min="27" max="27" width="17" bestFit="1" customWidth="1"/>
    <col min="28" max="28" width="15.6640625" customWidth="1"/>
    <col min="29" max="29" width="11.5" bestFit="1" customWidth="1"/>
    <col min="30" max="30" width="13.33203125" bestFit="1" customWidth="1"/>
    <col min="31" max="32" width="13.33203125" customWidth="1"/>
    <col min="33" max="33" width="14.83203125" bestFit="1" customWidth="1"/>
    <col min="34" max="35" width="12.83203125" bestFit="1" customWidth="1"/>
    <col min="36" max="36" width="11.5" bestFit="1" customWidth="1"/>
    <col min="37" max="37" width="10.33203125" bestFit="1" customWidth="1"/>
    <col min="38" max="38" width="14.33203125" bestFit="1" customWidth="1"/>
    <col min="39" max="39" width="12.83203125" bestFit="1" customWidth="1"/>
  </cols>
  <sheetData>
    <row r="1" spans="1:43" x14ac:dyDescent="0.2">
      <c r="A1" t="s">
        <v>110</v>
      </c>
    </row>
    <row r="2" spans="1:43" ht="102" x14ac:dyDescent="0.2">
      <c r="A2" t="s">
        <v>0</v>
      </c>
      <c r="B2" t="s">
        <v>126</v>
      </c>
      <c r="C2" t="s">
        <v>127</v>
      </c>
      <c r="D2" t="s">
        <v>8</v>
      </c>
      <c r="E2" t="s">
        <v>86</v>
      </c>
      <c r="F2" t="s">
        <v>87</v>
      </c>
      <c r="G2" t="s">
        <v>88</v>
      </c>
      <c r="H2" t="s">
        <v>9</v>
      </c>
      <c r="I2" t="s">
        <v>10</v>
      </c>
      <c r="J2" t="s">
        <v>11</v>
      </c>
      <c r="K2" s="8" t="s">
        <v>12</v>
      </c>
      <c r="M2" s="9" t="s">
        <v>91</v>
      </c>
      <c r="N2" s="9" t="s">
        <v>90</v>
      </c>
      <c r="O2" s="8"/>
      <c r="P2" s="8"/>
      <c r="Q2" s="8"/>
      <c r="R2" s="8"/>
      <c r="S2" s="8"/>
      <c r="T2" s="8"/>
      <c r="W2" s="3" t="s">
        <v>117</v>
      </c>
      <c r="X2" s="3" t="s">
        <v>118</v>
      </c>
      <c r="Y2" s="3" t="s">
        <v>119</v>
      </c>
      <c r="Z2" s="3"/>
      <c r="AA2" s="3" t="s">
        <v>135</v>
      </c>
      <c r="AB2" s="3" t="s">
        <v>136</v>
      </c>
      <c r="AC2" s="3"/>
      <c r="AD2" s="3" t="s">
        <v>137</v>
      </c>
      <c r="AE2" s="3" t="s">
        <v>151</v>
      </c>
      <c r="AF2" s="3" t="s">
        <v>152</v>
      </c>
      <c r="AG2" s="3" t="s">
        <v>138</v>
      </c>
      <c r="AH2" s="3" t="s">
        <v>139</v>
      </c>
      <c r="AI2" s="3" t="s">
        <v>140</v>
      </c>
      <c r="AK2" s="3" t="s">
        <v>141</v>
      </c>
      <c r="AL2" s="3" t="s">
        <v>142</v>
      </c>
      <c r="AM2" s="3" t="s">
        <v>143</v>
      </c>
      <c r="AO2" s="3" t="s">
        <v>144</v>
      </c>
      <c r="AP2" s="3" t="s">
        <v>145</v>
      </c>
    </row>
    <row r="3" spans="1:43" x14ac:dyDescent="0.2">
      <c r="A3" t="s">
        <v>77</v>
      </c>
      <c r="B3" t="s">
        <v>98</v>
      </c>
      <c r="C3" t="s">
        <v>95</v>
      </c>
      <c r="D3" t="s">
        <v>30</v>
      </c>
      <c r="E3" t="s">
        <v>19</v>
      </c>
      <c r="F3">
        <v>1</v>
      </c>
      <c r="G3">
        <v>10</v>
      </c>
      <c r="H3">
        <v>1.118123</v>
      </c>
      <c r="I3">
        <v>5.7000000000000002E-3</v>
      </c>
      <c r="J3" t="s">
        <v>20</v>
      </c>
      <c r="K3" t="str">
        <f>_xlfn.CONCAT( C3, IF(D3&lt;&gt;"", "-", "" ), D3)</f>
        <v>jar-bytecode</v>
      </c>
      <c r="L3" t="s">
        <v>148</v>
      </c>
      <c r="M3" s="9" t="s">
        <v>89</v>
      </c>
      <c r="N3" s="8" t="s">
        <v>77</v>
      </c>
      <c r="O3" s="8" t="s">
        <v>92</v>
      </c>
      <c r="P3" s="8" t="s">
        <v>93</v>
      </c>
      <c r="Q3" s="8" t="s">
        <v>94</v>
      </c>
      <c r="R3" s="8" t="s">
        <v>111</v>
      </c>
      <c r="S3" s="8" t="s">
        <v>112</v>
      </c>
      <c r="T3" s="8" t="s">
        <v>113</v>
      </c>
      <c r="V3" s="40" t="s">
        <v>77</v>
      </c>
      <c r="W3" s="41">
        <f>GETPIVOTDATA("Score",$M$2,"Benchmark","Ackermann","engine","carac","Fullname","jar-bytecode")/GETPIVOTDATA("Score",$M$2,"Benchmark","Ackermann","engine","carac","Fullname","warm-bytecode")</f>
        <v>40.355253185115679</v>
      </c>
      <c r="X3" s="41">
        <f>GETPIVOTDATA("Score",$M$2,"Benchmark","Ackermann","engine","carac","Fullname","jar-lambda")/GETPIVOTDATA("Score",$M$2,"Benchmark","Ackermann","engine","carac","Fullname","warm-lambda")</f>
        <v>210.19880897847</v>
      </c>
      <c r="Y3" s="41">
        <f>GETPIVOTDATA("Score",$M$2,"Benchmark","Ackermann","engine","carac","Fullname","jar-quotes")/GETPIVOTDATA("Score",$M$2,"Benchmark","Ackermann","engine","carac","Fullname","warm-quotes")</f>
        <v>8.7740220177855637</v>
      </c>
      <c r="Z3" s="41"/>
      <c r="AA3" s="41">
        <f>GETPIVOTDATA("Score",$M$2,"Benchmark","Ackermann","engine","carac","Fullname","native-lambda")/GETPIVOTDATA("Score",$M$2,"Benchmark","Ackermann","engine","carac","Fullname","warm-lambda")</f>
        <v>11.092991296381127</v>
      </c>
      <c r="AB3" s="41">
        <f>GETPIVOTDATA("Score",$M$2,"Benchmark","Ackermann","engine","carac","Fullname","native-lambda")/GETPIVOTDATA("Score",$M$2,"Benchmark","Ackermann","engine","carac","Fullname","jar-lambda")</f>
        <v>5.2773806618082925E-2</v>
      </c>
      <c r="AC3" s="41"/>
      <c r="AD3" s="41">
        <f>GETPIVOTDATA("Score",$M$2,"Benchmark","Ackermann","engine","souffle","Fullname","profile-compile")/GETPIVOTDATA("Score",$M$2,"Benchmark","Ackermann","engine","carac","Fullname","jar-quotes")</f>
        <v>5.0570927893079674</v>
      </c>
      <c r="AE3" s="41">
        <f>GETPIVOTDATA("Score",$M$2,"Benchmark","Ackermann","engine","souffle","Fullname","-compile")/GETPIVOTDATA("Score",$M$2,"Benchmark","Ackermann","engine","carac","Fullname","jar-quotes")</f>
        <v>1.997260867862422</v>
      </c>
      <c r="AF3" s="41">
        <f>GETPIVOTDATA("Score",$M$2,"Benchmark","Ackermann","engine","souffle","Fullname","preprofiled-compile")/GETPIVOTDATA("Score",$M$2,"Benchmark","Ackermann","engine","carac","Fullname","jar-quotes")</f>
        <v>2.2248880857679709</v>
      </c>
      <c r="AG3" s="41">
        <f>GETPIVOTDATA("Score",$M$2,"Benchmark","Ackermann","engine","souffle","Fullname","profile-compile")/GETPIVOTDATA("Score",$M$2,"Benchmark","Ackermann","engine","carac","Fullname","warm-lambda")</f>
        <v>6358.6571232249198</v>
      </c>
      <c r="AH3" s="40">
        <f>GETPIVOTDATA("Score",$M$2,"Benchmark","Ackermann","engine","souffle","Fullname","-compile")/GETPIVOTDATA("Score",$M$2,"Benchmark","Ackermann","engine","carac","Fullname","warm-lambda")</f>
        <v>2511.3039395327528</v>
      </c>
      <c r="AI3" s="41">
        <f>GETPIVOTDATA("Score",$M$2,"Benchmark","Ackermann","engine","souffle","Fullname","preprofiled-compile")/GETPIVOTDATA("Score",$M$2,"Benchmark","Ackermann","engine","carac","Fullname","warm-lambda")</f>
        <v>2797.5164910673384</v>
      </c>
      <c r="AJ3" s="41"/>
      <c r="AK3" s="41">
        <f>GETPIVOTDATA("Score",$M$2,"Benchmark","Ackermann","engine","souffle","Fullname","profile-interp")/GETPIVOTDATA("Score",$M$2,"Benchmark","Ackermann","engine","carac","Fullname","warm-lambda")</f>
        <v>30.270957398076042</v>
      </c>
      <c r="AL3" s="41">
        <f>GETPIVOTDATA("Score",$M$2,"Benchmark","Ackermann","engine","souffle","Fullname","-interp")/GETPIVOTDATA("Score",$M$2,"Benchmark","Ackermann","engine","carac","Fullname","warm-lambda")</f>
        <v>10.472285845167201</v>
      </c>
      <c r="AM3" s="41">
        <f>GETPIVOTDATA("Score",$M$2,"Benchmark","Ackermann","engine","souffle","Fullname","preprofiled-interp")/GETPIVOTDATA("Score",$M$2,"Benchmark","Ackermann","engine","carac","Fullname","warm-lambda")</f>
        <v>14.27714154832799</v>
      </c>
      <c r="AN3" s="41"/>
      <c r="AO3" s="40">
        <f>GETPIVOTDATA("Score",$M$2,"Benchmark","Ackermann","engine","souffle","Fullname","-compile")/GETPIVOTDATA("Score",$M$2,"Benchmark","Ackermann","engine","souffle","Fullname","preprofiled-compile")</f>
        <v>0.89769048638373283</v>
      </c>
      <c r="AP3" s="40">
        <f>GETPIVOTDATA("Score",$M$2,"Benchmark","Ackermann","engine","souffle","Fullname","-interp")/GETPIVOTDATA("Score",$M$2,"Benchmark","Ackermann","engine","souffle","Fullname","preprofiled-interp")</f>
        <v>0.7335001764687008</v>
      </c>
    </row>
    <row r="4" spans="1:43" x14ac:dyDescent="0.2">
      <c r="A4" t="s">
        <v>77</v>
      </c>
      <c r="B4" t="s">
        <v>98</v>
      </c>
      <c r="C4" t="s">
        <v>95</v>
      </c>
      <c r="D4" t="s">
        <v>31</v>
      </c>
      <c r="E4" t="s">
        <v>19</v>
      </c>
      <c r="F4">
        <v>1</v>
      </c>
      <c r="G4">
        <v>10</v>
      </c>
      <c r="H4">
        <v>0.91772799999999999</v>
      </c>
      <c r="I4">
        <v>7.9760000000000005E-3</v>
      </c>
      <c r="J4" t="s">
        <v>20</v>
      </c>
      <c r="K4" t="str">
        <f t="shared" ref="K4:K67" si="0">_xlfn.CONCAT( C4, IF(D4&lt;&gt;"", "-", "" ), D4)</f>
        <v>jar-lambda</v>
      </c>
      <c r="M4" s="10" t="s">
        <v>98</v>
      </c>
      <c r="N4" s="8"/>
      <c r="O4" s="8"/>
      <c r="P4" s="8"/>
      <c r="Q4" s="8"/>
      <c r="R4" s="8"/>
      <c r="S4" s="8"/>
      <c r="T4" s="8"/>
      <c r="V4" s="40" t="s">
        <v>111</v>
      </c>
      <c r="W4" s="41">
        <f>GETPIVOTDATA("Score",$M$2,"Benchmark","CBA","engine","carac","Fullname","jar-bytecode")/GETPIVOTDATA("Score",$M$2,"Benchmark","CBA","engine","carac","Fullname","warm-bytecode")</f>
        <v>74.714921209379483</v>
      </c>
      <c r="X4" s="41">
        <f>GETPIVOTDATA("Score",$M$2,"Benchmark","CBA","engine","carac","Fullname","jar-lambda")/GETPIVOTDATA("Score",$M$2,"Benchmark","CBA","engine","carac","Fullname","warm-lambda")</f>
        <v>453.3261455525606</v>
      </c>
      <c r="Y4" s="41">
        <f>GETPIVOTDATA("Score",$M$2,"Benchmark","CBA","engine","carac","Fullname","jar-quotes")/GETPIVOTDATA("Score",$M$2,"Benchmark","CBA","engine","carac","Fullname","warm-quotes")</f>
        <v>14.424749711665108</v>
      </c>
      <c r="Z4" s="41"/>
      <c r="AA4" s="41">
        <f>GETPIVOTDATA("Score",$M$2,"Benchmark","CBA","engine","carac","Fullname","native-lambda")/GETPIVOTDATA("Score",$M$2,"Benchmark","CBA","engine","carac","Fullname","warm-lambda")</f>
        <v>17.623180592991911</v>
      </c>
      <c r="AB4" s="41">
        <f>GETPIVOTDATA("Score",$M$2,"Benchmark","CBA","engine","carac","Fullname","native-lambda")/GETPIVOTDATA("Score",$M$2,"Benchmark","CBA","engine","carac","Fullname","jar-lambda")</f>
        <v>3.8875279455834084E-2</v>
      </c>
      <c r="AC4" s="41"/>
      <c r="AD4" s="41">
        <f>GETPIVOTDATA("Score",$M$2,"Benchmark","CBA","engine","souffle","Fullname","profile-compile")/GETPIVOTDATA("Score",$M$2,"Benchmark","CBA","engine","carac","Fullname","jar-quotes")</f>
        <v>7.8812202739023496</v>
      </c>
      <c r="AE4" s="41">
        <f>GETPIVOTDATA("Score",$M$2,"Benchmark","CBA","engine","souffle","Fullname","-compile")/GETPIVOTDATA("Score",$M$2,"Benchmark","CBA","engine","carac","Fullname","jar-quotes")</f>
        <v>2.8307803524953954</v>
      </c>
      <c r="AF4" s="41">
        <f>GETPIVOTDATA("Score",$M$2,"Benchmark","CBA","engine","souffle","Fullname","preprofiled-compile")/GETPIVOTDATA("Score",$M$2,"Benchmark","CBA","engine","carac","Fullname","jar-quotes")</f>
        <v>3.4469052213847649</v>
      </c>
      <c r="AG4" s="41">
        <f>GETPIVOTDATA("Score",$M$2,"Benchmark","CBA","engine","souffle","Fullname","profile-compile")/GETPIVOTDATA("Score",$M$2,"Benchmark","CBA","engine","carac","Fullname","warm-lambda")</f>
        <v>17960.45552560647</v>
      </c>
      <c r="AH4" s="40">
        <f>GETPIVOTDATA("Score",$M$2,"Benchmark","CBA","engine","souffle","Fullname","-compile")/GETPIVOTDATA("Score",$M$2,"Benchmark","CBA","engine","carac","Fullname","warm-lambda")</f>
        <v>6451.0447439353093</v>
      </c>
      <c r="AI4" s="41">
        <f>GETPIVOTDATA("Score",$M$2,"Benchmark","CBA","engine","souffle","Fullname","preprofiled-compile")/GETPIVOTDATA("Score",$M$2,"Benchmark","CBA","engine","carac","Fullname","warm-lambda")</f>
        <v>7855.1272237196763</v>
      </c>
      <c r="AJ4" s="41"/>
      <c r="AK4" s="41">
        <f>GETPIVOTDATA("Score",$M$2,"Benchmark","CBA","engine","souffle","Fullname","profile-interp")/GETPIVOTDATA("Score",$M$2,"Benchmark","CBA","engine","carac","Fullname","warm-lambda")</f>
        <v>64.223180592991909</v>
      </c>
      <c r="AL4" s="41">
        <f>GETPIVOTDATA("Score",$M$2,"Benchmark","CBA","engine","souffle","Fullname","-interp")/GETPIVOTDATA("Score",$M$2,"Benchmark","CBA","engine","carac","Fullname","warm-lambda")</f>
        <v>26.28032345013477</v>
      </c>
      <c r="AM4" s="41">
        <f>GETPIVOTDATA("Score",$M$2,"Benchmark","CBA","engine","souffle","Fullname","preprofiled-interp")/GETPIVOTDATA("Score",$M$2,"Benchmark","CBA","engine","carac","Fullname","warm-lambda")</f>
        <v>31.677628032345012</v>
      </c>
      <c r="AN4" s="41"/>
      <c r="AO4" s="40">
        <f>GETPIVOTDATA("Score",$M$2,"Benchmark","CBA","engine","souffle","Fullname","-compile")/GETPIVOTDATA("Score",$M$2,"Benchmark","CBA","engine","souffle","Fullname","preprofiled-compile")</f>
        <v>0.82125273852414005</v>
      </c>
      <c r="AP4" s="40">
        <f>GETPIVOTDATA("Score",$M$2,"Benchmark","CBA","engine","souffle","Fullname","-interp")/GETPIVOTDATA("Score",$M$2,"Benchmark","CBA","engine","souffle","Fullname","preprofiled-interp")</f>
        <v>0.82961778019808718</v>
      </c>
    </row>
    <row r="5" spans="1:43" x14ac:dyDescent="0.2">
      <c r="A5" t="s">
        <v>77</v>
      </c>
      <c r="B5" t="s">
        <v>98</v>
      </c>
      <c r="C5" t="s">
        <v>95</v>
      </c>
      <c r="D5" t="s">
        <v>33</v>
      </c>
      <c r="E5" t="s">
        <v>19</v>
      </c>
      <c r="F5">
        <v>1</v>
      </c>
      <c r="G5">
        <v>10</v>
      </c>
      <c r="H5">
        <v>5.4896950000000002</v>
      </c>
      <c r="I5">
        <v>9.4532000000000005E-2</v>
      </c>
      <c r="J5" t="s">
        <v>20</v>
      </c>
      <c r="K5" t="str">
        <f t="shared" si="0"/>
        <v>jar-quotes</v>
      </c>
      <c r="M5" s="44" t="s">
        <v>104</v>
      </c>
      <c r="N5" s="8">
        <v>1.118123</v>
      </c>
      <c r="O5" s="8">
        <v>0.90010400000000002</v>
      </c>
      <c r="P5" s="8">
        <v>1.0073799999999999</v>
      </c>
      <c r="Q5" s="8">
        <v>0.90143600000000002</v>
      </c>
      <c r="R5" s="8">
        <v>0.99094400000000005</v>
      </c>
      <c r="S5" s="8">
        <v>3.8663159999999999</v>
      </c>
      <c r="T5" s="8">
        <v>4.5726149999999999</v>
      </c>
      <c r="V5" t="s">
        <v>92</v>
      </c>
      <c r="W5" s="8">
        <f>GETPIVOTDATA("Score",$M$2,"Benchmark","equal","engine","carac","Fullname","jar-bytecode")/GETPIVOTDATA("Score",$M$2,"Benchmark","equal","engine","carac","Fullname","warm-bytecode")</f>
        <v>135.1913487533794</v>
      </c>
      <c r="X5" s="8">
        <f>GETPIVOTDATA("Score",$M$2,"Benchmark","equal","engine","carac","Fullname","jar-lambda")/GETPIVOTDATA("Score",$M$2,"Benchmark","equal","engine","carac","Fullname","warm-lambda")</f>
        <v>2355.267267267267</v>
      </c>
      <c r="Y5" s="8">
        <f>GETPIVOTDATA("Score",$M$2,"Benchmark","equal","engine","carac","Fullname","jar-quotes")/GETPIVOTDATA("Score",$M$2,"Benchmark","equal","engine","carac","Fullname","warm-quotes")</f>
        <v>20.461102501902847</v>
      </c>
      <c r="Z5" s="8"/>
      <c r="AA5" s="8">
        <f>GETPIVOTDATA("Score",$M$2,"Benchmark","equal","engine","carac","Fullname","native-lambda")/GETPIVOTDATA("Score",$M$2,"Benchmark","equal","engine","carac","Fullname","warm-lambda")</f>
        <v>84.570570570570567</v>
      </c>
      <c r="AB5" s="8">
        <f>GETPIVOTDATA("Score",$M$2,"Benchmark","equal","engine","carac","Fullname","native-lambda")/GETPIVOTDATA("Score",$M$2,"Benchmark","equal","engine","carac","Fullname","jar-lambda")</f>
        <v>3.5906995246741062E-2</v>
      </c>
      <c r="AC5" s="8"/>
      <c r="AD5" s="8">
        <f>GETPIVOTDATA("Score",$M$2,"Benchmark","equal","engine","souffle","Fullname","profile-compile")/GETPIVOTDATA("Score",$M$2,"Benchmark","equal","engine","carac","Fullname","jar-quotes")</f>
        <v>6.8545262880132274</v>
      </c>
      <c r="AE5" s="8">
        <f>GETPIVOTDATA("Score",$M$2,"Benchmark","equal","engine","souffle","Fullname","-compile")/GETPIVOTDATA("Score",$M$2,"Benchmark","equal","engine","carac","Fullname","jar-quotes")</f>
        <v>2.8517898628897131</v>
      </c>
      <c r="AF5" s="8">
        <f>GETPIVOTDATA("Score",$M$2,"Benchmark","equal","engine","souffle","Fullname","preprofiled-compile")/GETPIVOTDATA("Score",$M$2,"Benchmark","equal","engine","carac","Fullname","jar-quotes")</f>
        <v>3.0110669328247108</v>
      </c>
      <c r="AG5" s="8">
        <f>GETPIVOTDATA("Score",$M$2,"Benchmark","equal","engine","souffle","Fullname","profile-compile")/GETPIVOTDATA("Score",$M$2,"Benchmark","equal","engine","carac","Fullname","warm-lambda")</f>
        <v>76915.339339339334</v>
      </c>
      <c r="AH5">
        <f>GETPIVOTDATA("Score",$M$2,"Benchmark","equal","engine","souffle","Fullname","-compile")/GETPIVOTDATA("Score",$M$2,"Benchmark","equal","engine","carac","Fullname","warm-lambda")</f>
        <v>32000.225225225222</v>
      </c>
      <c r="AI5" s="8">
        <f>GETPIVOTDATA("Score",$M$2,"Benchmark","equal","engine","souffle","Fullname","preprofiled-compile")/GETPIVOTDATA("Score",$M$2,"Benchmark","equal","engine","carac","Fullname","warm-lambda")</f>
        <v>33787.48948948949</v>
      </c>
      <c r="AJ5" s="8"/>
      <c r="AK5" s="8">
        <f>GETPIVOTDATA("Score",$M$2,"Benchmark","equal","engine","souffle","Fullname","profile-interp")/GETPIVOTDATA("Score",$M$2,"Benchmark","equal","engine","carac","Fullname","warm-lambda")</f>
        <v>280.38738738738738</v>
      </c>
      <c r="AL5" s="8">
        <f>GETPIVOTDATA("Score",$M$2,"Benchmark","equal","engine","souffle","Fullname","-interp")/GETPIVOTDATA("Score",$M$2,"Benchmark","equal","engine","carac","Fullname","warm-lambda")</f>
        <v>114.39939939939939</v>
      </c>
      <c r="AM5" s="8">
        <f>GETPIVOTDATA("Score",$M$2,"Benchmark","equal","engine","souffle","Fullname","preprofiled-interp")/GETPIVOTDATA("Score",$M$2,"Benchmark","equal","engine","carac","Fullname","warm-lambda")</f>
        <v>136.89789789789791</v>
      </c>
      <c r="AN5" s="8"/>
      <c r="AO5">
        <f>GETPIVOTDATA("Score",$M$2,"Benchmark","equal","engine","souffle","Fullname","-compile")/GETPIVOTDATA("Score",$M$2,"Benchmark","equal","engine","souffle","Fullname","preprofiled-compile")</f>
        <v>0.94710278001506321</v>
      </c>
      <c r="AP5">
        <f>GETPIVOTDATA("Score",$M$2,"Benchmark","equal","engine","souffle","Fullname","-interp")/GETPIVOTDATA("Score",$M$2,"Benchmark","equal","engine","souffle","Fullname","preprofiled-interp")</f>
        <v>0.83565490161668887</v>
      </c>
    </row>
    <row r="6" spans="1:43" x14ac:dyDescent="0.2">
      <c r="A6" t="s">
        <v>77</v>
      </c>
      <c r="B6" t="s">
        <v>98</v>
      </c>
      <c r="C6" t="s">
        <v>96</v>
      </c>
      <c r="D6" t="s">
        <v>31</v>
      </c>
      <c r="E6" t="s">
        <v>19</v>
      </c>
      <c r="F6">
        <v>1</v>
      </c>
      <c r="G6">
        <v>10</v>
      </c>
      <c r="H6">
        <v>4.8432000000000003E-2</v>
      </c>
      <c r="I6">
        <v>2.0799999999999999E-4</v>
      </c>
      <c r="J6" t="s">
        <v>20</v>
      </c>
      <c r="K6" t="str">
        <f t="shared" si="0"/>
        <v>native-lambda</v>
      </c>
      <c r="M6" s="44" t="s">
        <v>105</v>
      </c>
      <c r="N6" s="8">
        <v>0.91772799999999999</v>
      </c>
      <c r="O6" s="8">
        <v>0.784304</v>
      </c>
      <c r="P6" s="8">
        <v>0.86087400000000003</v>
      </c>
      <c r="Q6" s="8">
        <v>0.78787300000000005</v>
      </c>
      <c r="R6" s="8">
        <v>0.84092</v>
      </c>
      <c r="S6" s="8">
        <v>3.438129</v>
      </c>
      <c r="T6" s="8">
        <v>3.455104</v>
      </c>
      <c r="V6" t="s">
        <v>93</v>
      </c>
      <c r="W6" s="8">
        <f>GETPIVOTDATA("Score",$M$2,"Benchmark","fib","engine","carac","Fullname","jar-bytecode")/GETPIVOTDATA("Score",$M$2,"Benchmark","fib","engine","carac","Fullname","warm-bytecode")</f>
        <v>64.870886728057187</v>
      </c>
      <c r="X6" s="8">
        <f>GETPIVOTDATA("Score",$M$2,"Benchmark","fib","engine","carac","Fullname","jar-lambda")/GETPIVOTDATA("Score",$M$2,"Benchmark","fib","engine","carac","Fullname","warm-lambda")</f>
        <v>394.53437213565542</v>
      </c>
      <c r="Y6" s="8">
        <f>GETPIVOTDATA("Score",$M$2,"Benchmark","fib","engine","carac","Fullname","jar-quotes")/GETPIVOTDATA("Score",$M$2,"Benchmark","fib","engine","carac","Fullname","warm-quotes")</f>
        <v>14.264680626417944</v>
      </c>
      <c r="Z6" s="8"/>
      <c r="AA6" s="8">
        <f>GETPIVOTDATA("Score",$M$2,"Benchmark","fib","engine","carac","Fullname","native-lambda")/GETPIVOTDATA("Score",$M$2,"Benchmark","fib","engine","carac","Fullname","warm-lambda")</f>
        <v>17.468835930339139</v>
      </c>
      <c r="AB6" s="8">
        <f>GETPIVOTDATA("Score",$M$2,"Benchmark","fib","engine","carac","Fullname","native-lambda")/GETPIVOTDATA("Score",$M$2,"Benchmark","fib","engine","carac","Fullname","jar-lambda")</f>
        <v>4.4277095138196762E-2</v>
      </c>
      <c r="AC6" s="8"/>
      <c r="AD6" s="8">
        <f>GETPIVOTDATA("Score",$M$2,"Benchmark","fib","engine","souffle","Fullname","profile-compile")/GETPIVOTDATA("Score",$M$2,"Benchmark","fib","engine","carac","Fullname","jar-quotes")</f>
        <v>6.0227938692916947</v>
      </c>
      <c r="AE6" s="8">
        <f>GETPIVOTDATA("Score",$M$2,"Benchmark","fib","engine","souffle","Fullname","-compile")/GETPIVOTDATA("Score",$M$2,"Benchmark","fib","engine","carac","Fullname","jar-quotes")</f>
        <v>2.5353777772364401</v>
      </c>
      <c r="AF6" s="8">
        <f>GETPIVOTDATA("Score",$M$2,"Benchmark","fib","engine","souffle","Fullname","preprofiled-compile")/GETPIVOTDATA("Score",$M$2,"Benchmark","fib","engine","carac","Fullname","jar-quotes")</f>
        <v>2.7520098321442905</v>
      </c>
      <c r="AG6" s="8">
        <f>GETPIVOTDATA("Score",$M$2,"Benchmark","fib","engine","souffle","Fullname","profile-compile")/GETPIVOTDATA("Score",$M$2,"Benchmark","fib","engine","carac","Fullname","warm-lambda")</f>
        <v>11784.090284142989</v>
      </c>
      <c r="AH6">
        <f>GETPIVOTDATA("Score",$M$2,"Benchmark","fib","engine","souffle","Fullname","-compile")/GETPIVOTDATA("Score",$M$2,"Benchmark","fib","engine","carac","Fullname","warm-lambda")</f>
        <v>4960.6746104491294</v>
      </c>
      <c r="AI6" s="8">
        <f>GETPIVOTDATA("Score",$M$2,"Benchmark","fib","engine","souffle","Fullname","preprofiled-compile")/GETPIVOTDATA("Score",$M$2,"Benchmark","fib","engine","carac","Fullname","warm-lambda")</f>
        <v>5384.5329972502295</v>
      </c>
      <c r="AJ6" s="8"/>
      <c r="AK6" s="8">
        <f>GETPIVOTDATA("Score",$M$2,"Benchmark","fib","engine","souffle","Fullname","profile-interp")/GETPIVOTDATA("Score",$M$2,"Benchmark","fib","engine","carac","Fullname","warm-lambda")</f>
        <v>49.556828597616871</v>
      </c>
      <c r="AL6" s="8">
        <f>GETPIVOTDATA("Score",$M$2,"Benchmark","fib","engine","souffle","Fullname","-interp")/GETPIVOTDATA("Score",$M$2,"Benchmark","fib","engine","carac","Fullname","warm-lambda")</f>
        <v>18.325847846012834</v>
      </c>
      <c r="AM6" s="8">
        <f>GETPIVOTDATA("Score",$M$2,"Benchmark","fib","engine","souffle","Fullname","preprofiled-interp")/GETPIVOTDATA("Score",$M$2,"Benchmark","fib","engine","carac","Fullname","warm-lambda")</f>
        <v>24.08890925756187</v>
      </c>
      <c r="AN6" s="8"/>
      <c r="AO6">
        <f>GETPIVOTDATA("Score",$M$2,"Benchmark","fib","engine","souffle","Fullname","-compile")/GETPIVOTDATA("Score",$M$2,"Benchmark","fib","engine","souffle","Fullname","preprofiled-compile")</f>
        <v>0.92128223802926723</v>
      </c>
      <c r="AP6">
        <f>GETPIVOTDATA("Score",$M$2,"Benchmark","fib","engine","souffle","Fullname","-interp")/GETPIVOTDATA("Score",$M$2,"Benchmark","fib","engine","souffle","Fullname","preprofiled-interp")</f>
        <v>0.76075872303184822</v>
      </c>
    </row>
    <row r="7" spans="1:43" x14ac:dyDescent="0.2">
      <c r="A7" t="s">
        <v>77</v>
      </c>
      <c r="B7" t="s">
        <v>98</v>
      </c>
      <c r="C7" t="s">
        <v>101</v>
      </c>
      <c r="D7" t="s">
        <v>30</v>
      </c>
      <c r="E7" t="s">
        <v>19</v>
      </c>
      <c r="F7">
        <v>1</v>
      </c>
      <c r="G7">
        <v>10</v>
      </c>
      <c r="H7">
        <v>2.7706999999999999E-2</v>
      </c>
      <c r="I7">
        <v>6.11E-3</v>
      </c>
      <c r="J7" t="s">
        <v>20</v>
      </c>
      <c r="K7" t="str">
        <f t="shared" si="0"/>
        <v>warm-bytecode</v>
      </c>
      <c r="M7" s="44" t="s">
        <v>106</v>
      </c>
      <c r="N7" s="8">
        <v>5.4896950000000002</v>
      </c>
      <c r="O7" s="8">
        <v>3.7366269999999999</v>
      </c>
      <c r="P7" s="8">
        <v>4.2692620000000003</v>
      </c>
      <c r="Q7" s="8">
        <v>3.6039650000000001</v>
      </c>
      <c r="R7" s="8">
        <v>4.2273459999999998</v>
      </c>
      <c r="S7" s="8">
        <v>18.116986000000001</v>
      </c>
      <c r="T7" s="8">
        <v>18.385228000000001</v>
      </c>
      <c r="V7" t="s">
        <v>116</v>
      </c>
      <c r="W7" s="8">
        <f>GETPIVOTDATA("Score",$M$2,"Benchmark","prime","engine","carac","Fullname","jar-bytecode")/GETPIVOTDATA("Score",$M$2,"Benchmark","prime","engine","carac","Fullname","warm-bytecode")</f>
        <v>148.82549116724451</v>
      </c>
      <c r="X7" s="8">
        <f>GETPIVOTDATA("Score",$M$2,"Benchmark","prime","engine","carac","Fullname","jar-lambda")/GETPIVOTDATA("Score",$M$2,"Benchmark","prime","engine","carac","Fullname","warm-lambda")</f>
        <v>1550.9311023622049</v>
      </c>
      <c r="Y7" s="8">
        <f>GETPIVOTDATA("Score",$M$2,"Benchmark","prime","engine","carac","Fullname","jar-quotes")/GETPIVOTDATA("Score",$M$2,"Benchmark","prime","engine","carac","Fullname","warm-quotes")</f>
        <v>21.714687682639529</v>
      </c>
      <c r="Z7" s="8"/>
      <c r="AA7" s="8">
        <f>GETPIVOTDATA("Score",$M$2,"Benchmark","prime","engine","carac","Fullname","native-lambda")/GETPIVOTDATA("Score",$M$2,"Benchmark","prime","engine","carac","Fullname","warm-lambda")</f>
        <v>56.704724409448815</v>
      </c>
      <c r="AB7" s="8">
        <f>GETPIVOTDATA("Score",$M$2,"Benchmark","prime","engine","carac","Fullname","native-lambda")/GETPIVOTDATA("Score",$M$2,"Benchmark","prime","engine","carac","Fullname","jar-lambda")</f>
        <v>3.6561730126555926E-2</v>
      </c>
      <c r="AC7" s="8"/>
      <c r="AD7" s="8">
        <f>GETPIVOTDATA("Score",$M$2,"Benchmark","prime","engine","souffle","Fullname","profile-compile")/GETPIVOTDATA("Score",$M$2,"Benchmark","prime","engine","carac","Fullname","jar-quotes")</f>
        <v>6.5508965819590363</v>
      </c>
      <c r="AE7" s="8">
        <f>GETPIVOTDATA("Score",$M$2,"Benchmark","prime","engine","souffle","Fullname","-compile")/GETPIVOTDATA("Score",$M$2,"Benchmark","prime","engine","carac","Fullname","jar-quotes")</f>
        <v>2.8078899212395236</v>
      </c>
      <c r="AF7" s="8">
        <f>GETPIVOTDATA("Score",$M$2,"Benchmark","prime","engine","souffle","Fullname","preprofiled-compile")/GETPIVOTDATA("Score",$M$2,"Benchmark","prime","engine","carac","Fullname","jar-quotes")</f>
        <v>2.82458708672254</v>
      </c>
      <c r="AG7" s="8">
        <f>GETPIVOTDATA("Score",$M$2,"Benchmark","prime","engine","souffle","Fullname","profile-compile")/GETPIVOTDATA("Score",$M$2,"Benchmark","prime","engine","carac","Fullname","warm-lambda")</f>
        <v>46474.807086614172</v>
      </c>
      <c r="AH7">
        <f>GETPIVOTDATA("Score",$M$2,"Benchmark","prime","engine","souffle","Fullname","-compile")/GETPIVOTDATA("Score",$M$2,"Benchmark","prime","engine","carac","Fullname","warm-lambda")</f>
        <v>19920.348425196851</v>
      </c>
      <c r="AI7" s="8">
        <f>GETPIVOTDATA("Score",$M$2,"Benchmark","prime","engine","souffle","Fullname","preprofiled-compile")/GETPIVOTDATA("Score",$M$2,"Benchmark","prime","engine","carac","Fullname","warm-lambda")</f>
        <v>20038.805118110235</v>
      </c>
      <c r="AJ7" s="8"/>
      <c r="AK7" s="8">
        <f>GETPIVOTDATA("Score",$M$2,"Benchmark","prime","engine","souffle","Fullname","profile-interp")/GETPIVOTDATA("Score",$M$2,"Benchmark","prime","engine","carac","Fullname","warm-lambda")</f>
        <v>182.46456692913387</v>
      </c>
      <c r="AL7" s="8">
        <f>GETPIVOTDATA("Score",$M$2,"Benchmark","prime","engine","souffle","Fullname","-interp")/GETPIVOTDATA("Score",$M$2,"Benchmark","prime","engine","carac","Fullname","warm-lambda")</f>
        <v>76.427165354330711</v>
      </c>
      <c r="AM7" s="8">
        <f>GETPIVOTDATA("Score",$M$2,"Benchmark","prime","engine","souffle","Fullname","preprofiled-interp")/GETPIVOTDATA("Score",$M$2,"Benchmark","prime","engine","carac","Fullname","warm-lambda")</f>
        <v>91.110236220472444</v>
      </c>
      <c r="AN7" s="8"/>
      <c r="AO7">
        <f>GETPIVOTDATA("Score",$M$2,"Benchmark","prime","engine","souffle","Fullname","-compile")/GETPIVOTDATA("Score",$M$2,"Benchmark","prime","engine","souffle","Fullname","preprofiled-compile")</f>
        <v>0.99408863491534583</v>
      </c>
      <c r="AP7">
        <f>GETPIVOTDATA("Score",$M$2,"Benchmark","prime","engine","souffle","Fullname","-interp")/GETPIVOTDATA("Score",$M$2,"Benchmark","prime","engine","souffle","Fullname","preprofiled-interp")</f>
        <v>0.8388427966467894</v>
      </c>
    </row>
    <row r="8" spans="1:43" x14ac:dyDescent="0.2">
      <c r="A8" t="s">
        <v>77</v>
      </c>
      <c r="B8" t="s">
        <v>98</v>
      </c>
      <c r="C8" t="s">
        <v>101</v>
      </c>
      <c r="D8" t="s">
        <v>31</v>
      </c>
      <c r="E8" t="s">
        <v>19</v>
      </c>
      <c r="F8">
        <v>1</v>
      </c>
      <c r="G8">
        <v>10</v>
      </c>
      <c r="H8">
        <v>4.3660000000000001E-3</v>
      </c>
      <c r="I8">
        <v>6.4999999999999994E-5</v>
      </c>
      <c r="J8" t="s">
        <v>20</v>
      </c>
      <c r="K8" t="str">
        <f t="shared" si="0"/>
        <v>warm-lambda</v>
      </c>
      <c r="M8" s="44" t="s">
        <v>100</v>
      </c>
      <c r="N8" s="8">
        <v>4.8432000000000003E-2</v>
      </c>
      <c r="O8" s="8">
        <v>2.8162E-2</v>
      </c>
      <c r="P8" s="8">
        <v>3.8116999999999998E-2</v>
      </c>
      <c r="Q8" s="8">
        <v>2.8805999999999998E-2</v>
      </c>
      <c r="R8" s="8">
        <v>3.2690999999999998E-2</v>
      </c>
      <c r="S8" s="8">
        <v>4.5163229999999999</v>
      </c>
      <c r="T8" s="8">
        <v>4.5736220000000003</v>
      </c>
      <c r="V8" s="40" t="s">
        <v>112</v>
      </c>
      <c r="W8" s="41">
        <f>GETPIVOTDATA("Score",$M$2,"Benchmark","Points-To","engine","carac","Fullname","jar-bytecode")/GETPIVOTDATA("Score",$M$2,"Benchmark","Points-To","engine","carac","Fullname","warm-bytecode")</f>
        <v>3.8092759026339587</v>
      </c>
      <c r="X8" s="41">
        <f>GETPIVOTDATA("Score",$M$2,"Benchmark","Points-To","engine","carac","Fullname","jar-lambda")/GETPIVOTDATA("Score",$M$2,"Benchmark","Points-To","engine","carac","Fullname","warm-lambda")</f>
        <v>5.0532333306877604</v>
      </c>
      <c r="Y8" s="41">
        <f>GETPIVOTDATA("Score",$M$2,"Benchmark","Points-To","engine","carac","Fullname","jar-quotes")/GETPIVOTDATA("Score",$M$2,"Benchmark","Points-To","engine","carac","Fullname","warm-quotes")</f>
        <v>2.6928484210698422</v>
      </c>
      <c r="Z8" s="41"/>
      <c r="AA8" s="41">
        <f>GETPIVOTDATA("Score",$M$2,"Benchmark","Points-To","engine","carac","Fullname","native-lambda")/GETPIVOTDATA("Score",$M$2,"Benchmark","Points-To","engine","carac","Fullname","warm-lambda")</f>
        <v>6.6379225199961196</v>
      </c>
      <c r="AB8" s="41">
        <f>GETPIVOTDATA("Score",$M$2,"Benchmark","Points-To","engine","carac","Fullname","native-lambda")/GETPIVOTDATA("Score",$M$2,"Benchmark","Points-To","engine","carac","Fullname","jar-lambda")</f>
        <v>1.3135990534386581</v>
      </c>
      <c r="AC8" s="41"/>
      <c r="AD8" s="41">
        <f>GETPIVOTDATA("Score",$M$2,"Benchmark","Points-To","engine","souffle","Fullname","profile-compile")/GETPIVOTDATA("Score",$M$2,"Benchmark","Points-To","engine","carac","Fullname","jar-quotes")</f>
        <v>3.2474319955869038</v>
      </c>
      <c r="AE8" s="41">
        <f>GETPIVOTDATA("Score",$M$2,"Benchmark","Points-To","engine","souffle","Fullname","-compile")/GETPIVOTDATA("Score",$M$2,"Benchmark","Points-To","engine","carac","Fullname","jar-quotes")</f>
        <v>1.223142580117907</v>
      </c>
      <c r="AF8" s="41">
        <f>GETPIVOTDATA("Score",$M$2,"Benchmark","Points-To","engine","souffle","Fullname","preprofiled-compile")/GETPIVOTDATA("Score",$M$2,"Benchmark","Points-To","engine","carac","Fullname","jar-quotes")</f>
        <v>1.3705483351369814</v>
      </c>
      <c r="AG8" s="41">
        <f>GETPIVOTDATA("Score",$M$2,"Benchmark","Points-To","engine","souffle","Fullname","profile-compile")/GETPIVOTDATA("Score",$M$2,"Benchmark","Points-To","engine","carac","Fullname","warm-lambda")</f>
        <v>86.471540987268909</v>
      </c>
      <c r="AH8" s="40">
        <f>GETPIVOTDATA("Score",$M$2,"Benchmark","Points-To","engine","souffle","Fullname","-compile")/GETPIVOTDATA("Score",$M$2,"Benchmark","Points-To","engine","carac","Fullname","warm-lambda")</f>
        <v>32.569434523547066</v>
      </c>
      <c r="AI8" s="41">
        <f>GETPIVOTDATA("Score",$M$2,"Benchmark","Points-To","engine","souffle","Fullname","preprofiled-compile")/GETPIVOTDATA("Score",$M$2,"Benchmark","Points-To","engine","carac","Fullname","warm-lambda")</f>
        <v>36.494506027496314</v>
      </c>
      <c r="AJ8" s="41"/>
      <c r="AK8" s="41">
        <f>GETPIVOTDATA("Score",$M$2,"Benchmark","Points-To","engine","souffle","Fullname","profile-interp")/GETPIVOTDATA("Score",$M$2,"Benchmark","Points-To","engine","carac","Fullname","warm-lambda")</f>
        <v>0.72209435287823598</v>
      </c>
      <c r="AL8" s="41">
        <f>GETPIVOTDATA("Score",$M$2,"Benchmark","Points-To","engine","souffle","Fullname","-interp")/GETPIVOTDATA("Score",$M$2,"Benchmark","Points-To","engine","carac","Fullname","warm-lambda")</f>
        <v>0.19948499519387639</v>
      </c>
      <c r="AM8" s="41">
        <f>GETPIVOTDATA("Score",$M$2,"Benchmark","Points-To","engine","souffle","Fullname","preprofiled-interp")/GETPIVOTDATA("Score",$M$2,"Benchmark","Points-To","engine","carac","Fullname","warm-lambda")</f>
        <v>0.30343836256691092</v>
      </c>
      <c r="AN8" s="41"/>
      <c r="AO8" s="40">
        <f>GETPIVOTDATA("Score",$M$2,"Benchmark","Points-To","engine","souffle","Fullname","-compile")/GETPIVOTDATA("Score",$M$2,"Benchmark","Points-To","engine","souffle","Fullname","preprofiled-compile")</f>
        <v>0.89244760564804038</v>
      </c>
      <c r="AP8" s="40">
        <f>GETPIVOTDATA("Score",$M$2,"Benchmark","Points-To","engine","souffle","Fullname","-interp")/GETPIVOTDATA("Score",$M$2,"Benchmark","Points-To","engine","souffle","Fullname","preprofiled-interp")</f>
        <v>0.65741521113662127</v>
      </c>
    </row>
    <row r="9" spans="1:43" x14ac:dyDescent="0.2">
      <c r="A9" t="s">
        <v>77</v>
      </c>
      <c r="B9" t="s">
        <v>98</v>
      </c>
      <c r="C9" t="s">
        <v>101</v>
      </c>
      <c r="D9" t="s">
        <v>33</v>
      </c>
      <c r="E9" t="s">
        <v>19</v>
      </c>
      <c r="F9">
        <v>1</v>
      </c>
      <c r="G9">
        <v>10</v>
      </c>
      <c r="H9">
        <v>0.62567600000000001</v>
      </c>
      <c r="I9">
        <v>6.4167000000000002E-2</v>
      </c>
      <c r="J9" t="s">
        <v>20</v>
      </c>
      <c r="K9" t="str">
        <f t="shared" si="0"/>
        <v>warm-quotes</v>
      </c>
      <c r="M9" s="44" t="s">
        <v>107</v>
      </c>
      <c r="N9" s="8">
        <v>2.7706999999999999E-2</v>
      </c>
      <c r="O9" s="8">
        <v>6.6579999999999999E-3</v>
      </c>
      <c r="P9" s="8">
        <v>1.5528999999999999E-2</v>
      </c>
      <c r="Q9" s="8">
        <v>6.0569999999999999E-3</v>
      </c>
      <c r="R9" s="8">
        <v>1.3263E-2</v>
      </c>
      <c r="S9" s="8">
        <v>1.014974</v>
      </c>
      <c r="T9" s="8">
        <v>1.0331060000000001</v>
      </c>
      <c r="V9" s="40" t="s">
        <v>113</v>
      </c>
      <c r="W9" s="41">
        <f>GETPIVOTDATA("Score",$M$2,"Benchmark","Inverse Functions","engine","carac","Fullname","jar-bytecode")/GETPIVOTDATA("Score",$M$2,"Benchmark","Inverse Functions","engine","carac","Fullname","warm-bytecode")</f>
        <v>4.4260850290289664</v>
      </c>
      <c r="X9" s="41">
        <f>GETPIVOTDATA("Score",$M$2,"Benchmark","Inverse Functions","engine","carac","Fullname","jar-lambda")/GETPIVOTDATA("Score",$M$2,"Benchmark","Inverse Functions","engine","carac","Fullname","warm-lambda")</f>
        <v>4.2865806150654819</v>
      </c>
      <c r="Y9" s="41">
        <f>GETPIVOTDATA("Score",$M$2,"Benchmark","Inverse Functions","engine","carac","Fullname","jar-quotes")/GETPIVOTDATA("Score",$M$2,"Benchmark","Inverse Functions","engine","carac","Fullname","warm-quotes")</f>
        <v>2.7319864616406964</v>
      </c>
      <c r="Z9" s="41"/>
      <c r="AA9" s="41">
        <f>GETPIVOTDATA("Score",$M$2,"Benchmark","Inverse Functions","engine","carac","Fullname","native-lambda")/GETPIVOTDATA("Score",$M$2,"Benchmark","Inverse Functions","engine","carac","Fullname","warm-lambda")</f>
        <v>5.6742718615234216</v>
      </c>
      <c r="AB9" s="41">
        <f>GETPIVOTDATA("Score",$M$2,"Benchmark","Inverse Functions","engine","carac","Fullname","native-lambda")/GETPIVOTDATA("Score",$M$2,"Benchmark","Inverse Functions","engine","carac","Fullname","jar-lambda")</f>
        <v>1.3237291844181827</v>
      </c>
      <c r="AC9" s="41"/>
      <c r="AD9" s="41">
        <f>GETPIVOTDATA("Score",$M$2,"Benchmark","Inverse Functions","engine","souffle","Fullname","profile-compile")/GETPIVOTDATA("Score",$M$2,"Benchmark","Inverse Functions","engine","carac","Fullname","jar-quotes")</f>
        <v>3.431497830758476</v>
      </c>
      <c r="AE9" s="41">
        <f>GETPIVOTDATA("Score",$M$2,"Benchmark","Inverse Functions","engine","souffle","Fullname","-compile")/GETPIVOTDATA("Score",$M$2,"Benchmark","Inverse Functions","engine","carac","Fullname","jar-quotes")</f>
        <v>1.2383700653589935</v>
      </c>
      <c r="AF9" s="41">
        <f>GETPIVOTDATA("Score",$M$2,"Benchmark","Inverse Functions","engine","souffle","Fullname","preprofiled-compile")/GETPIVOTDATA("Score",$M$2,"Benchmark","Inverse Functions","engine","carac","Fullname","jar-quotes")</f>
        <v>1.4334499414421185</v>
      </c>
      <c r="AG9" s="41">
        <f>GETPIVOTDATA("Score",$M$2,"Benchmark","Inverse Functions","engine","souffle","Fullname","profile-compile")/GETPIVOTDATA("Score",$M$2,"Benchmark","Inverse Functions","engine","carac","Fullname","warm-lambda")</f>
        <v>78.271313155374258</v>
      </c>
      <c r="AH9" s="40">
        <f>GETPIVOTDATA("Score",$M$2,"Benchmark","Inverse Functions","engine","souffle","Fullname","-compile")/GETPIVOTDATA("Score",$M$2,"Benchmark","Inverse Functions","engine","carac","Fullname","warm-lambda")</f>
        <v>28.24680532189949</v>
      </c>
      <c r="AI9" s="41">
        <f>GETPIVOTDATA("Score",$M$2,"Benchmark","Inverse Functions","engine","souffle","Fullname","preprofiled-compile")/GETPIVOTDATA("Score",$M$2,"Benchmark","Inverse Functions","engine","carac","Fullname","warm-lambda")</f>
        <v>32.696511783709745</v>
      </c>
      <c r="AJ9" s="41"/>
      <c r="AK9" s="41">
        <f>GETPIVOTDATA("Score",$M$2,"Benchmark","Inverse Functions","engine","souffle","Fullname","profile-interp")/GETPIVOTDATA("Score",$M$2,"Benchmark","Inverse Functions","engine","carac","Fullname","warm-lambda")</f>
        <v>0.65358523525237344</v>
      </c>
      <c r="AL9" s="41">
        <f>GETPIVOTDATA("Score",$M$2,"Benchmark","Inverse Functions","engine","souffle","Fullname","-interp")/GETPIVOTDATA("Score",$M$2,"Benchmark","Inverse Functions","engine","carac","Fullname","warm-lambda")</f>
        <v>0.18121082642290343</v>
      </c>
      <c r="AM9" s="41">
        <f>GETPIVOTDATA("Score",$M$2,"Benchmark","Inverse Functions","engine","souffle","Fullname","preprofiled-interp")/GETPIVOTDATA("Score",$M$2,"Benchmark","Inverse Functions","engine","carac","Fullname","warm-lambda")</f>
        <v>0.27438376830581568</v>
      </c>
      <c r="AN9" s="41"/>
      <c r="AO9" s="40">
        <f>GETPIVOTDATA("Score",$M$2,"Benchmark","Inverse Functions","engine","souffle","Fullname","-compile")/GETPIVOTDATA("Score",$M$2,"Benchmark","Inverse Functions","engine","souffle","Fullname","preprofiled-compile")</f>
        <v>0.86390883250037642</v>
      </c>
      <c r="AP9" s="40">
        <f>GETPIVOTDATA("Score",$M$2,"Benchmark","Inverse Functions","engine","souffle","Fullname","-interp")/GETPIVOTDATA("Score",$M$2,"Benchmark","Inverse Functions","engine","souffle","Fullname","preprofiled-interp")</f>
        <v>0.66042837570819446</v>
      </c>
    </row>
    <row r="10" spans="1:43" x14ac:dyDescent="0.2">
      <c r="A10" t="s">
        <v>77</v>
      </c>
      <c r="B10" t="s">
        <v>99</v>
      </c>
      <c r="D10" t="s">
        <v>97</v>
      </c>
      <c r="E10" t="s">
        <v>19</v>
      </c>
      <c r="F10">
        <v>1</v>
      </c>
      <c r="G10">
        <v>10</v>
      </c>
      <c r="H10">
        <v>10.964352999999999</v>
      </c>
      <c r="I10">
        <v>4.1730999999999997E-2</v>
      </c>
      <c r="J10" t="s">
        <v>20</v>
      </c>
      <c r="K10" t="str">
        <f t="shared" si="0"/>
        <v>-compile</v>
      </c>
      <c r="M10" s="44" t="s">
        <v>108</v>
      </c>
      <c r="N10" s="8">
        <v>4.3660000000000001E-3</v>
      </c>
      <c r="O10" s="8">
        <v>3.3300000000000002E-4</v>
      </c>
      <c r="P10" s="8">
        <v>2.1819999999999999E-3</v>
      </c>
      <c r="Q10" s="8">
        <v>5.0799999999999999E-4</v>
      </c>
      <c r="R10" s="8">
        <v>1.8550000000000001E-3</v>
      </c>
      <c r="S10" s="8">
        <v>0.68038200000000004</v>
      </c>
      <c r="T10" s="8">
        <v>0.80602799999999997</v>
      </c>
      <c r="V10" s="1" t="s">
        <v>134</v>
      </c>
      <c r="W10" s="17">
        <f>AVERAGE(W3,W4,W8,W9)</f>
        <v>30.82638383153952</v>
      </c>
      <c r="X10" s="17">
        <f>AVERAGE(X3,X4,X8,X9)</f>
        <v>168.21619211919597</v>
      </c>
      <c r="Y10" s="17">
        <f>AVERAGE(Y3,Y4,Y8,Y9)</f>
        <v>7.1559016530403028</v>
      </c>
      <c r="Z10" s="17"/>
      <c r="AA10" s="17"/>
      <c r="AB10" s="17">
        <f>AVERAGE(AB3:AB7)</f>
        <v>4.1678981317082149E-2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  <c r="AP10" s="1"/>
    </row>
    <row r="11" spans="1:43" x14ac:dyDescent="0.2">
      <c r="A11" t="s">
        <v>77</v>
      </c>
      <c r="B11" t="s">
        <v>99</v>
      </c>
      <c r="D11" t="s">
        <v>68</v>
      </c>
      <c r="E11" t="s">
        <v>19</v>
      </c>
      <c r="F11">
        <v>1</v>
      </c>
      <c r="G11">
        <v>10</v>
      </c>
      <c r="H11">
        <v>4.5721999999999999E-2</v>
      </c>
      <c r="I11">
        <v>8.0999999999999996E-4</v>
      </c>
      <c r="J11" t="s">
        <v>20</v>
      </c>
      <c r="K11" t="str">
        <f t="shared" si="0"/>
        <v>-interp</v>
      </c>
      <c r="M11" s="44" t="s">
        <v>109</v>
      </c>
      <c r="N11" s="8">
        <v>0.62567600000000001</v>
      </c>
      <c r="O11" s="8">
        <v>0.18262100000000001</v>
      </c>
      <c r="P11" s="8">
        <v>0.29928900000000003</v>
      </c>
      <c r="Q11" s="8">
        <v>0.16596900000000001</v>
      </c>
      <c r="R11" s="8">
        <v>0.29306199999999999</v>
      </c>
      <c r="S11" s="8">
        <v>6.7278149999999997</v>
      </c>
      <c r="T11" s="8">
        <v>6.7296189999999996</v>
      </c>
    </row>
    <row r="12" spans="1:43" x14ac:dyDescent="0.2">
      <c r="A12" t="s">
        <v>77</v>
      </c>
      <c r="B12" t="s">
        <v>99</v>
      </c>
      <c r="C12" t="s">
        <v>131</v>
      </c>
      <c r="D12" t="s">
        <v>97</v>
      </c>
      <c r="E12" t="s">
        <v>19</v>
      </c>
      <c r="F12">
        <v>1</v>
      </c>
      <c r="G12">
        <v>10</v>
      </c>
      <c r="H12">
        <v>12.213957000000001</v>
      </c>
      <c r="I12">
        <v>5.8257000000000003E-2</v>
      </c>
      <c r="J12" t="s">
        <v>20</v>
      </c>
      <c r="K12" t="str">
        <f t="shared" si="0"/>
        <v>preprofiled-compile</v>
      </c>
      <c r="M12" s="10" t="s">
        <v>99</v>
      </c>
      <c r="N12" s="8"/>
      <c r="O12" s="8"/>
      <c r="P12" s="8"/>
      <c r="Q12" s="8"/>
      <c r="R12" s="8"/>
      <c r="S12" s="8"/>
      <c r="T12" s="8"/>
      <c r="AB12" t="s">
        <v>149</v>
      </c>
      <c r="AM12" t="s">
        <v>146</v>
      </c>
    </row>
    <row r="13" spans="1:43" x14ac:dyDescent="0.2">
      <c r="A13" t="s">
        <v>77</v>
      </c>
      <c r="B13" t="s">
        <v>99</v>
      </c>
      <c r="C13" t="s">
        <v>131</v>
      </c>
      <c r="D13" t="s">
        <v>68</v>
      </c>
      <c r="E13" t="s">
        <v>19</v>
      </c>
      <c r="F13">
        <v>1</v>
      </c>
      <c r="G13">
        <v>10</v>
      </c>
      <c r="H13">
        <v>6.2334000000000001E-2</v>
      </c>
      <c r="I13">
        <v>2.8600000000000001E-4</v>
      </c>
      <c r="J13" t="s">
        <v>20</v>
      </c>
      <c r="K13" t="str">
        <f t="shared" si="0"/>
        <v>preprofiled-interp</v>
      </c>
      <c r="M13" s="44" t="s">
        <v>129</v>
      </c>
      <c r="N13" s="8">
        <v>10.964352999999999</v>
      </c>
      <c r="O13" s="8">
        <v>10.656075</v>
      </c>
      <c r="P13" s="8">
        <v>10.824192</v>
      </c>
      <c r="Q13" s="8">
        <v>10.119536999999999</v>
      </c>
      <c r="R13" s="8">
        <v>11.966688</v>
      </c>
      <c r="S13" s="8">
        <v>22.159656999999999</v>
      </c>
      <c r="T13" s="8">
        <v>22.767716</v>
      </c>
      <c r="AB13">
        <f>1/AB3</f>
        <v>18.948794185662369</v>
      </c>
      <c r="AH13" s="8"/>
      <c r="AI13" s="8"/>
      <c r="AJ13" s="8"/>
      <c r="AK13" s="8">
        <f>1/AK8</f>
        <v>1.3848605739873805</v>
      </c>
      <c r="AL13" s="8"/>
      <c r="AM13" s="8">
        <f>1/AM8</f>
        <v>3.295562207561975</v>
      </c>
      <c r="AN13" s="8"/>
      <c r="AO13" s="8"/>
      <c r="AP13" s="8"/>
      <c r="AQ13" s="8"/>
    </row>
    <row r="14" spans="1:43" x14ac:dyDescent="0.2">
      <c r="A14" t="s">
        <v>77</v>
      </c>
      <c r="B14" t="s">
        <v>99</v>
      </c>
      <c r="C14" t="s">
        <v>128</v>
      </c>
      <c r="D14" t="s">
        <v>97</v>
      </c>
      <c r="E14" t="s">
        <v>19</v>
      </c>
      <c r="F14">
        <v>1</v>
      </c>
      <c r="G14">
        <v>10</v>
      </c>
      <c r="H14">
        <v>27.761897000000001</v>
      </c>
      <c r="I14">
        <v>7.5179999999999997E-2</v>
      </c>
      <c r="J14" t="s">
        <v>20</v>
      </c>
      <c r="K14" t="str">
        <f t="shared" si="0"/>
        <v>profile-compile</v>
      </c>
      <c r="M14" s="44" t="s">
        <v>130</v>
      </c>
      <c r="N14" s="8">
        <v>4.5721999999999999E-2</v>
      </c>
      <c r="O14" s="8">
        <v>3.8094999999999997E-2</v>
      </c>
      <c r="P14" s="8">
        <v>3.9987000000000002E-2</v>
      </c>
      <c r="Q14" s="8">
        <v>3.8824999999999998E-2</v>
      </c>
      <c r="R14" s="8">
        <v>4.8750000000000002E-2</v>
      </c>
      <c r="S14" s="8">
        <v>0.13572600000000001</v>
      </c>
      <c r="T14" s="8">
        <v>0.146061</v>
      </c>
      <c r="AB14">
        <f t="shared" ref="AB14:AB17" si="1">1/AB4</f>
        <v>25.723287755039614</v>
      </c>
      <c r="AH14" s="8"/>
      <c r="AI14" s="8"/>
      <c r="AJ14" s="8"/>
      <c r="AK14" s="8">
        <f>1/AK9</f>
        <v>1.5300223231234149</v>
      </c>
      <c r="AL14" s="8"/>
      <c r="AM14" s="8">
        <f>1/AM9</f>
        <v>3.6445304551887538</v>
      </c>
      <c r="AN14" s="8"/>
      <c r="AO14" s="8"/>
      <c r="AP14" s="8"/>
      <c r="AQ14" s="8"/>
    </row>
    <row r="15" spans="1:43" x14ac:dyDescent="0.2">
      <c r="A15" t="s">
        <v>77</v>
      </c>
      <c r="B15" t="s">
        <v>99</v>
      </c>
      <c r="C15" t="s">
        <v>128</v>
      </c>
      <c r="D15" t="s">
        <v>68</v>
      </c>
      <c r="E15" t="s">
        <v>19</v>
      </c>
      <c r="F15">
        <v>1</v>
      </c>
      <c r="G15">
        <v>10</v>
      </c>
      <c r="H15">
        <v>0.132163</v>
      </c>
      <c r="I15">
        <v>1.2459999999999999E-3</v>
      </c>
      <c r="J15" t="s">
        <v>20</v>
      </c>
      <c r="K15" t="str">
        <f t="shared" si="0"/>
        <v>profile-interp</v>
      </c>
      <c r="M15" s="44" t="s">
        <v>102</v>
      </c>
      <c r="N15" s="8">
        <v>27.761897000000001</v>
      </c>
      <c r="O15" s="8">
        <v>25.612808000000001</v>
      </c>
      <c r="P15" s="8">
        <v>25.712885</v>
      </c>
      <c r="Q15" s="8">
        <v>23.609202</v>
      </c>
      <c r="R15" s="8">
        <v>33.316645000000001</v>
      </c>
      <c r="S15" s="8">
        <v>58.833680000000001</v>
      </c>
      <c r="T15" s="8">
        <v>63.08887</v>
      </c>
      <c r="AB15">
        <f t="shared" si="1"/>
        <v>27.849726581918897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x14ac:dyDescent="0.2">
      <c r="A16" t="s">
        <v>111</v>
      </c>
      <c r="B16" t="s">
        <v>98</v>
      </c>
      <c r="C16" t="s">
        <v>95</v>
      </c>
      <c r="D16" t="s">
        <v>30</v>
      </c>
      <c r="E16" t="s">
        <v>19</v>
      </c>
      <c r="F16">
        <v>1</v>
      </c>
      <c r="G16">
        <v>10</v>
      </c>
      <c r="H16">
        <v>0.99094400000000005</v>
      </c>
      <c r="I16">
        <v>6.6020000000000002E-3</v>
      </c>
      <c r="J16" t="s">
        <v>20</v>
      </c>
      <c r="K16" t="str">
        <f t="shared" si="0"/>
        <v>jar-bytecode</v>
      </c>
      <c r="M16" s="44" t="s">
        <v>103</v>
      </c>
      <c r="N16" s="8">
        <v>0.132163</v>
      </c>
      <c r="O16" s="8">
        <v>9.3368999999999994E-2</v>
      </c>
      <c r="P16" s="8">
        <v>0.10813300000000001</v>
      </c>
      <c r="Q16" s="8">
        <v>9.2691999999999997E-2</v>
      </c>
      <c r="R16" s="8">
        <v>0.119134</v>
      </c>
      <c r="S16" s="8">
        <v>0.49130000000000001</v>
      </c>
      <c r="T16" s="8">
        <v>0.52680800000000005</v>
      </c>
      <c r="AB16">
        <f t="shared" si="1"/>
        <v>22.585040795445604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x14ac:dyDescent="0.2">
      <c r="A17" t="s">
        <v>111</v>
      </c>
      <c r="B17" t="s">
        <v>98</v>
      </c>
      <c r="C17" t="s">
        <v>95</v>
      </c>
      <c r="D17" t="s">
        <v>31</v>
      </c>
      <c r="E17" t="s">
        <v>19</v>
      </c>
      <c r="F17">
        <v>1</v>
      </c>
      <c r="G17">
        <v>10</v>
      </c>
      <c r="H17">
        <v>0.84092</v>
      </c>
      <c r="I17">
        <v>4.2859999999999999E-3</v>
      </c>
      <c r="J17" t="s">
        <v>20</v>
      </c>
      <c r="K17" t="str">
        <f t="shared" si="0"/>
        <v>jar-lambda</v>
      </c>
      <c r="M17" s="44" t="s">
        <v>132</v>
      </c>
      <c r="N17" s="8">
        <v>12.213957000000001</v>
      </c>
      <c r="O17" s="8">
        <v>11.251234</v>
      </c>
      <c r="P17" s="8">
        <v>11.749051</v>
      </c>
      <c r="Q17" s="8">
        <v>10.179713</v>
      </c>
      <c r="R17" s="8">
        <v>14.571261</v>
      </c>
      <c r="S17" s="8">
        <v>24.830204999999999</v>
      </c>
      <c r="T17" s="8">
        <v>26.354303999999999</v>
      </c>
      <c r="AB17">
        <f t="shared" si="1"/>
        <v>27.351003263209055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x14ac:dyDescent="0.2">
      <c r="A18" t="s">
        <v>111</v>
      </c>
      <c r="B18" t="s">
        <v>98</v>
      </c>
      <c r="C18" t="s">
        <v>95</v>
      </c>
      <c r="D18" t="s">
        <v>33</v>
      </c>
      <c r="E18" t="s">
        <v>19</v>
      </c>
      <c r="F18">
        <v>1</v>
      </c>
      <c r="G18">
        <v>10</v>
      </c>
      <c r="H18">
        <v>4.2273459999999998</v>
      </c>
      <c r="I18">
        <v>6.5579999999999999E-2</v>
      </c>
      <c r="J18" t="s">
        <v>20</v>
      </c>
      <c r="K18" t="str">
        <f t="shared" si="0"/>
        <v>jar-quotes</v>
      </c>
      <c r="M18" s="44" t="s">
        <v>133</v>
      </c>
      <c r="N18" s="8">
        <v>6.2334000000000001E-2</v>
      </c>
      <c r="O18" s="8">
        <v>4.5587000000000003E-2</v>
      </c>
      <c r="P18" s="8">
        <v>5.2561999999999998E-2</v>
      </c>
      <c r="Q18" s="8">
        <v>4.6283999999999999E-2</v>
      </c>
      <c r="R18" s="8">
        <v>5.8762000000000002E-2</v>
      </c>
      <c r="S18" s="8">
        <v>0.206454</v>
      </c>
      <c r="T18" s="8">
        <v>0.221161</v>
      </c>
      <c r="AB18">
        <f>1/AB8</f>
        <v>0.76126729642676128</v>
      </c>
      <c r="AH18" s="8"/>
      <c r="AI18" s="8"/>
      <c r="AJ18" s="8"/>
      <c r="AK18" s="8"/>
      <c r="AL18" s="8"/>
      <c r="AN18" s="8"/>
      <c r="AO18" s="8"/>
      <c r="AP18" s="8"/>
      <c r="AQ18" s="8"/>
    </row>
    <row r="19" spans="1:43" x14ac:dyDescent="0.2">
      <c r="A19" t="s">
        <v>111</v>
      </c>
      <c r="B19" t="s">
        <v>98</v>
      </c>
      <c r="C19" t="s">
        <v>96</v>
      </c>
      <c r="D19" t="s">
        <v>31</v>
      </c>
      <c r="E19" t="s">
        <v>19</v>
      </c>
      <c r="F19">
        <v>1</v>
      </c>
      <c r="G19">
        <v>10</v>
      </c>
      <c r="H19">
        <v>3.2690999999999998E-2</v>
      </c>
      <c r="I19">
        <v>1.76E-4</v>
      </c>
      <c r="J19" t="s">
        <v>20</v>
      </c>
      <c r="K19" t="str">
        <f t="shared" si="0"/>
        <v>native-lambda</v>
      </c>
      <c r="M19" s="44" t="s">
        <v>153</v>
      </c>
      <c r="N19" s="8" t="str">
        <f>INDEX($M5:$M11, MATCH(MIN(N5:N11), N5:N11, 0))</f>
        <v>warm-lambda</v>
      </c>
      <c r="O19" s="8" t="str">
        <f t="shared" ref="O19:T19" si="2">INDEX($M5:$M11, MATCH(MIN(O5:O11), O5:O11, 0))</f>
        <v>warm-lambda</v>
      </c>
      <c r="P19" s="8" t="str">
        <f t="shared" si="2"/>
        <v>warm-lambda</v>
      </c>
      <c r="Q19" s="8" t="str">
        <f t="shared" si="2"/>
        <v>warm-lambda</v>
      </c>
      <c r="R19" s="8" t="str">
        <f t="shared" si="2"/>
        <v>warm-lambda</v>
      </c>
      <c r="S19" s="8" t="str">
        <f t="shared" si="2"/>
        <v>warm-lambda</v>
      </c>
      <c r="T19" s="8" t="str">
        <f t="shared" si="2"/>
        <v>warm-lambda</v>
      </c>
      <c r="AB19">
        <f>1/AB9</f>
        <v>0.75544152971102541</v>
      </c>
      <c r="AH19" s="8"/>
      <c r="AI19" s="8"/>
      <c r="AJ19" s="8"/>
      <c r="AK19" s="8"/>
      <c r="AL19" s="8"/>
      <c r="AN19" s="8"/>
      <c r="AO19" s="8"/>
      <c r="AP19" s="8"/>
      <c r="AQ19" s="8"/>
    </row>
    <row r="20" spans="1:43" x14ac:dyDescent="0.2">
      <c r="A20" t="s">
        <v>111</v>
      </c>
      <c r="B20" t="s">
        <v>98</v>
      </c>
      <c r="C20" t="s">
        <v>101</v>
      </c>
      <c r="D20" t="s">
        <v>30</v>
      </c>
      <c r="E20" t="s">
        <v>19</v>
      </c>
      <c r="F20">
        <v>1</v>
      </c>
      <c r="G20">
        <v>10</v>
      </c>
      <c r="H20">
        <v>1.3263E-2</v>
      </c>
      <c r="I20">
        <v>4.0870000000000004E-3</v>
      </c>
      <c r="J20" t="s">
        <v>20</v>
      </c>
      <c r="K20" t="str">
        <f t="shared" si="0"/>
        <v>warm-bytecode</v>
      </c>
      <c r="M20" s="44" t="s">
        <v>154</v>
      </c>
      <c r="N20" s="8" t="str">
        <f>INDEX($M6:$M12, MATCH(MAX(N6:N12), N6:N12, 0))</f>
        <v>jar-quotes</v>
      </c>
      <c r="O20" s="8" t="str">
        <f t="shared" ref="O20:T20" si="3">INDEX($M6:$M12, MATCH(MAX(O6:O12), O6:O12, 0))</f>
        <v>jar-quotes</v>
      </c>
      <c r="P20" s="8" t="str">
        <f t="shared" si="3"/>
        <v>jar-quotes</v>
      </c>
      <c r="Q20" s="8" t="str">
        <f t="shared" si="3"/>
        <v>jar-quotes</v>
      </c>
      <c r="R20" s="8" t="str">
        <f t="shared" si="3"/>
        <v>jar-quotes</v>
      </c>
      <c r="S20" s="8" t="str">
        <f t="shared" si="3"/>
        <v>jar-quotes</v>
      </c>
      <c r="T20" s="8" t="str">
        <f t="shared" si="3"/>
        <v>jar-quotes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x14ac:dyDescent="0.2">
      <c r="A21" t="s">
        <v>111</v>
      </c>
      <c r="B21" t="s">
        <v>98</v>
      </c>
      <c r="C21" t="s">
        <v>101</v>
      </c>
      <c r="D21" t="s">
        <v>31</v>
      </c>
      <c r="E21" t="s">
        <v>19</v>
      </c>
      <c r="F21">
        <v>1</v>
      </c>
      <c r="G21">
        <v>10</v>
      </c>
      <c r="H21">
        <v>1.8550000000000001E-3</v>
      </c>
      <c r="I21">
        <v>3.0000000000000001E-5</v>
      </c>
      <c r="J21" t="s">
        <v>20</v>
      </c>
      <c r="K21" t="str">
        <f t="shared" si="0"/>
        <v>warm-lambda</v>
      </c>
      <c r="M21" s="44" t="s">
        <v>155</v>
      </c>
      <c r="N21" s="8" t="str">
        <f>INDEX($M13:$M18, MATCH(MIN(N13:N18), N13:N18, 0))</f>
        <v>-interp</v>
      </c>
      <c r="O21" s="8" t="str">
        <f t="shared" ref="O21:T21" si="4">INDEX($M13:$M18, MATCH(MIN(O13:O18), O13:O18, 0))</f>
        <v>-interp</v>
      </c>
      <c r="P21" s="8" t="str">
        <f t="shared" si="4"/>
        <v>-interp</v>
      </c>
      <c r="Q21" s="8" t="str">
        <f t="shared" si="4"/>
        <v>-interp</v>
      </c>
      <c r="R21" s="8" t="str">
        <f t="shared" si="4"/>
        <v>-interp</v>
      </c>
      <c r="S21" s="8" t="str">
        <f t="shared" si="4"/>
        <v>-interp</v>
      </c>
      <c r="T21" s="8" t="str">
        <f t="shared" si="4"/>
        <v>-interp</v>
      </c>
      <c r="AB21" t="s">
        <v>150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x14ac:dyDescent="0.2">
      <c r="A22" t="s">
        <v>111</v>
      </c>
      <c r="B22" t="s">
        <v>98</v>
      </c>
      <c r="C22" t="s">
        <v>101</v>
      </c>
      <c r="D22" t="s">
        <v>33</v>
      </c>
      <c r="E22" t="s">
        <v>19</v>
      </c>
      <c r="F22">
        <v>1</v>
      </c>
      <c r="G22">
        <v>10</v>
      </c>
      <c r="H22">
        <v>0.29306199999999999</v>
      </c>
      <c r="I22">
        <v>2.8573000000000001E-2</v>
      </c>
      <c r="J22" t="s">
        <v>20</v>
      </c>
      <c r="K22" t="str">
        <f t="shared" si="0"/>
        <v>warm-quotes</v>
      </c>
      <c r="M22" s="44" t="s">
        <v>156</v>
      </c>
      <c r="N22" s="8" t="str">
        <f>INDEX($M13:$M18, MATCH(MAX(N13:N18), N13:N18, 0))</f>
        <v>profile-compile</v>
      </c>
      <c r="O22" s="8" t="str">
        <f t="shared" ref="O22:T22" si="5">INDEX($M13:$M18, MATCH(MAX(O13:O18), O13:O18, 0))</f>
        <v>profile-compile</v>
      </c>
      <c r="P22" s="8" t="str">
        <f t="shared" si="5"/>
        <v>profile-compile</v>
      </c>
      <c r="Q22" s="8" t="str">
        <f t="shared" si="5"/>
        <v>profile-compile</v>
      </c>
      <c r="R22" s="8" t="str">
        <f t="shared" si="5"/>
        <v>profile-compile</v>
      </c>
      <c r="S22" s="8" t="str">
        <f t="shared" si="5"/>
        <v>profile-compile</v>
      </c>
      <c r="T22" s="8" t="str">
        <f t="shared" si="5"/>
        <v>profile-compile</v>
      </c>
      <c r="AB22">
        <f>AVERAGE(AB13,AB14)</f>
        <v>22.336040970350993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x14ac:dyDescent="0.2">
      <c r="A23" t="s">
        <v>111</v>
      </c>
      <c r="B23" t="s">
        <v>99</v>
      </c>
      <c r="D23" t="s">
        <v>97</v>
      </c>
      <c r="E23" t="s">
        <v>19</v>
      </c>
      <c r="F23">
        <v>1</v>
      </c>
      <c r="G23">
        <v>10</v>
      </c>
      <c r="H23">
        <v>11.966688</v>
      </c>
      <c r="I23">
        <v>4.1779999999999998E-2</v>
      </c>
      <c r="J23" t="s">
        <v>20</v>
      </c>
      <c r="K23" t="str">
        <f t="shared" si="0"/>
        <v>-compile</v>
      </c>
      <c r="N23" s="8"/>
      <c r="O23" s="8"/>
      <c r="P23" s="8"/>
      <c r="Q23" s="8"/>
      <c r="R23" s="8"/>
      <c r="T23" s="8"/>
      <c r="U23" s="8"/>
      <c r="V23" s="8"/>
      <c r="W23" s="8"/>
      <c r="X23" s="8"/>
      <c r="Y23" s="8"/>
      <c r="Z23" s="8"/>
      <c r="AA23" s="8"/>
      <c r="AB23" s="8"/>
      <c r="AC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x14ac:dyDescent="0.2">
      <c r="A24" t="s">
        <v>111</v>
      </c>
      <c r="B24" t="s">
        <v>99</v>
      </c>
      <c r="D24" t="s">
        <v>68</v>
      </c>
      <c r="E24" t="s">
        <v>19</v>
      </c>
      <c r="F24">
        <v>1</v>
      </c>
      <c r="G24">
        <v>10</v>
      </c>
      <c r="H24">
        <v>4.8750000000000002E-2</v>
      </c>
      <c r="I24">
        <v>4.2499999999999998E-4</v>
      </c>
      <c r="J24" t="s">
        <v>20</v>
      </c>
      <c r="K24" t="str">
        <f t="shared" si="0"/>
        <v>-interp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2">
      <c r="A25" t="s">
        <v>111</v>
      </c>
      <c r="B25" t="s">
        <v>99</v>
      </c>
      <c r="C25" t="s">
        <v>131</v>
      </c>
      <c r="D25" t="s">
        <v>97</v>
      </c>
      <c r="E25" t="s">
        <v>19</v>
      </c>
      <c r="F25">
        <v>1</v>
      </c>
      <c r="G25">
        <v>10</v>
      </c>
      <c r="H25">
        <v>14.571261</v>
      </c>
      <c r="I25">
        <v>2.7924000000000001E-2</v>
      </c>
      <c r="J25" t="s">
        <v>20</v>
      </c>
      <c r="K25" t="str">
        <f t="shared" si="0"/>
        <v>preprofiled-compile</v>
      </c>
      <c r="L25" t="s">
        <v>147</v>
      </c>
      <c r="M25" s="9" t="s">
        <v>91</v>
      </c>
      <c r="N25" s="9" t="s">
        <v>90</v>
      </c>
      <c r="O25" s="8"/>
      <c r="P25" s="8"/>
      <c r="Q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2">
      <c r="A26" t="s">
        <v>111</v>
      </c>
      <c r="B26" t="s">
        <v>99</v>
      </c>
      <c r="C26" t="s">
        <v>131</v>
      </c>
      <c r="D26" t="s">
        <v>68</v>
      </c>
      <c r="E26" t="s">
        <v>19</v>
      </c>
      <c r="F26">
        <v>1</v>
      </c>
      <c r="G26">
        <v>10</v>
      </c>
      <c r="H26">
        <v>5.8762000000000002E-2</v>
      </c>
      <c r="I26">
        <v>4.3399999999999998E-4</v>
      </c>
      <c r="J26" t="s">
        <v>20</v>
      </c>
      <c r="K26" t="str">
        <f t="shared" si="0"/>
        <v>preprofiled-interp</v>
      </c>
      <c r="M26" s="9" t="s">
        <v>89</v>
      </c>
      <c r="N26" s="8" t="s">
        <v>77</v>
      </c>
      <c r="O26" s="8" t="s">
        <v>111</v>
      </c>
      <c r="P26" s="8" t="s">
        <v>112</v>
      </c>
      <c r="Q26" s="8" t="s">
        <v>113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2">
      <c r="A27" t="s">
        <v>111</v>
      </c>
      <c r="B27" t="s">
        <v>99</v>
      </c>
      <c r="C27" t="s">
        <v>128</v>
      </c>
      <c r="D27" t="s">
        <v>97</v>
      </c>
      <c r="E27" t="s">
        <v>19</v>
      </c>
      <c r="F27">
        <v>1</v>
      </c>
      <c r="G27">
        <v>10</v>
      </c>
      <c r="H27">
        <v>33.316645000000001</v>
      </c>
      <c r="I27">
        <v>5.9617000000000003E-2</v>
      </c>
      <c r="J27" t="s">
        <v>20</v>
      </c>
      <c r="K27" t="str">
        <f t="shared" si="0"/>
        <v>profile-compile</v>
      </c>
      <c r="M27" s="10" t="s">
        <v>98</v>
      </c>
      <c r="N27" s="8"/>
      <c r="O27" s="8"/>
      <c r="P27" s="8"/>
      <c r="Q27" s="8"/>
    </row>
    <row r="28" spans="1:43" x14ac:dyDescent="0.2">
      <c r="A28" t="s">
        <v>111</v>
      </c>
      <c r="B28" t="s">
        <v>99</v>
      </c>
      <c r="C28" t="s">
        <v>128</v>
      </c>
      <c r="D28" t="s">
        <v>68</v>
      </c>
      <c r="E28" t="s">
        <v>19</v>
      </c>
      <c r="F28">
        <v>1</v>
      </c>
      <c r="G28">
        <v>10</v>
      </c>
      <c r="H28">
        <v>0.119134</v>
      </c>
      <c r="I28">
        <v>7.94E-4</v>
      </c>
      <c r="J28" t="s">
        <v>20</v>
      </c>
      <c r="K28" t="str">
        <f t="shared" si="0"/>
        <v>profile-interp</v>
      </c>
      <c r="M28" s="44" t="s">
        <v>104</v>
      </c>
      <c r="N28" s="8">
        <v>1.118123</v>
      </c>
      <c r="O28" s="8">
        <v>0.99094400000000005</v>
      </c>
      <c r="P28" s="8">
        <v>3.8663159999999999</v>
      </c>
      <c r="Q28" s="8">
        <v>4.5726149999999999</v>
      </c>
    </row>
    <row r="29" spans="1:43" x14ac:dyDescent="0.2">
      <c r="A29" t="s">
        <v>92</v>
      </c>
      <c r="B29" t="s">
        <v>98</v>
      </c>
      <c r="C29" t="s">
        <v>95</v>
      </c>
      <c r="D29" t="s">
        <v>30</v>
      </c>
      <c r="E29" t="s">
        <v>19</v>
      </c>
      <c r="F29">
        <v>1</v>
      </c>
      <c r="G29">
        <v>10</v>
      </c>
      <c r="H29">
        <v>0.90010400000000002</v>
      </c>
      <c r="I29">
        <v>4.2009999999999999E-3</v>
      </c>
      <c r="J29" t="s">
        <v>20</v>
      </c>
      <c r="K29" t="str">
        <f t="shared" si="0"/>
        <v>jar-bytecode</v>
      </c>
      <c r="M29" s="44" t="s">
        <v>105</v>
      </c>
      <c r="N29" s="8">
        <v>0.91772799999999999</v>
      </c>
      <c r="O29" s="8">
        <v>0.84092</v>
      </c>
      <c r="P29" s="8">
        <v>3.438129</v>
      </c>
      <c r="Q29" s="8">
        <v>3.455104</v>
      </c>
    </row>
    <row r="30" spans="1:43" x14ac:dyDescent="0.2">
      <c r="A30" t="s">
        <v>92</v>
      </c>
      <c r="B30" t="s">
        <v>98</v>
      </c>
      <c r="C30" t="s">
        <v>95</v>
      </c>
      <c r="D30" t="s">
        <v>31</v>
      </c>
      <c r="E30" t="s">
        <v>19</v>
      </c>
      <c r="F30">
        <v>1</v>
      </c>
      <c r="G30">
        <v>10</v>
      </c>
      <c r="H30">
        <v>0.784304</v>
      </c>
      <c r="I30">
        <v>4.0610000000000004E-3</v>
      </c>
      <c r="J30" t="s">
        <v>20</v>
      </c>
      <c r="K30" t="str">
        <f t="shared" si="0"/>
        <v>jar-lambda</v>
      </c>
      <c r="M30" s="44" t="s">
        <v>106</v>
      </c>
      <c r="N30" s="8">
        <v>5.4896950000000002</v>
      </c>
      <c r="O30" s="8">
        <v>4.2273459999999998</v>
      </c>
      <c r="P30" s="8">
        <v>18.116986000000001</v>
      </c>
      <c r="Q30" s="8">
        <v>18.385228000000001</v>
      </c>
      <c r="V30" s="43"/>
      <c r="W30" s="43"/>
      <c r="X30" s="43"/>
      <c r="Y30" s="43"/>
      <c r="Z30" s="42"/>
    </row>
    <row r="31" spans="1:43" x14ac:dyDescent="0.2">
      <c r="A31" t="s">
        <v>92</v>
      </c>
      <c r="B31" t="s">
        <v>98</v>
      </c>
      <c r="C31" t="s">
        <v>95</v>
      </c>
      <c r="D31" t="s">
        <v>33</v>
      </c>
      <c r="E31" t="s">
        <v>19</v>
      </c>
      <c r="F31">
        <v>1</v>
      </c>
      <c r="G31">
        <v>10</v>
      </c>
      <c r="H31">
        <v>3.7366269999999999</v>
      </c>
      <c r="I31">
        <v>5.7711999999999999E-2</v>
      </c>
      <c r="J31" t="s">
        <v>20</v>
      </c>
      <c r="K31" t="str">
        <f t="shared" si="0"/>
        <v>jar-quotes</v>
      </c>
      <c r="M31" s="44" t="s">
        <v>100</v>
      </c>
      <c r="N31" s="8">
        <v>4.8432000000000003E-2</v>
      </c>
      <c r="O31" s="8">
        <v>3.2690999999999998E-2</v>
      </c>
      <c r="P31" s="8">
        <v>4.5163229999999999</v>
      </c>
      <c r="Q31" s="8">
        <v>4.5736220000000003</v>
      </c>
      <c r="V31" s="43"/>
      <c r="W31" s="43"/>
      <c r="X31" s="43"/>
      <c r="Y31" s="43"/>
      <c r="Z31" s="42"/>
    </row>
    <row r="32" spans="1:43" x14ac:dyDescent="0.2">
      <c r="A32" t="s">
        <v>92</v>
      </c>
      <c r="B32" t="s">
        <v>98</v>
      </c>
      <c r="C32" t="s">
        <v>96</v>
      </c>
      <c r="D32" t="s">
        <v>31</v>
      </c>
      <c r="E32" t="s">
        <v>19</v>
      </c>
      <c r="F32">
        <v>1</v>
      </c>
      <c r="G32">
        <v>10</v>
      </c>
      <c r="H32">
        <v>2.8162E-2</v>
      </c>
      <c r="I32">
        <v>2.2000000000000001E-4</v>
      </c>
      <c r="J32" t="s">
        <v>20</v>
      </c>
      <c r="K32" t="str">
        <f t="shared" si="0"/>
        <v>native-lambda</v>
      </c>
      <c r="M32" s="44" t="s">
        <v>107</v>
      </c>
      <c r="N32" s="8">
        <v>2.7706999999999999E-2</v>
      </c>
      <c r="O32" s="8">
        <v>1.3263E-2</v>
      </c>
      <c r="P32" s="8">
        <v>1.014974</v>
      </c>
      <c r="Q32" s="8">
        <v>1.0331060000000001</v>
      </c>
      <c r="V32" s="43"/>
      <c r="W32" s="43"/>
      <c r="X32" s="43"/>
      <c r="Y32" s="43"/>
      <c r="Z32" s="42"/>
    </row>
    <row r="33" spans="1:26" x14ac:dyDescent="0.2">
      <c r="A33" t="s">
        <v>92</v>
      </c>
      <c r="B33" t="s">
        <v>98</v>
      </c>
      <c r="C33" t="s">
        <v>101</v>
      </c>
      <c r="D33" t="s">
        <v>30</v>
      </c>
      <c r="E33" t="s">
        <v>19</v>
      </c>
      <c r="F33">
        <v>1</v>
      </c>
      <c r="G33">
        <v>10</v>
      </c>
      <c r="H33">
        <v>6.6579999999999999E-3</v>
      </c>
      <c r="I33">
        <v>3.2560000000000002E-3</v>
      </c>
      <c r="J33" t="s">
        <v>20</v>
      </c>
      <c r="K33" t="str">
        <f t="shared" si="0"/>
        <v>warm-bytecode</v>
      </c>
      <c r="M33" s="44" t="s">
        <v>108</v>
      </c>
      <c r="N33" s="8">
        <v>4.3660000000000001E-3</v>
      </c>
      <c r="O33" s="8">
        <v>1.8550000000000001E-3</v>
      </c>
      <c r="P33" s="8">
        <v>0.68038200000000004</v>
      </c>
      <c r="Q33" s="8">
        <v>0.80602799999999997</v>
      </c>
      <c r="V33" s="43"/>
      <c r="W33" s="43"/>
      <c r="X33" s="43"/>
      <c r="Y33" s="43"/>
      <c r="Z33" s="42"/>
    </row>
    <row r="34" spans="1:26" x14ac:dyDescent="0.2">
      <c r="A34" t="s">
        <v>92</v>
      </c>
      <c r="B34" t="s">
        <v>98</v>
      </c>
      <c r="C34" t="s">
        <v>101</v>
      </c>
      <c r="D34" t="s">
        <v>31</v>
      </c>
      <c r="E34" t="s">
        <v>19</v>
      </c>
      <c r="F34">
        <v>1</v>
      </c>
      <c r="G34">
        <v>10</v>
      </c>
      <c r="H34">
        <v>3.3300000000000002E-4</v>
      </c>
      <c r="I34">
        <v>5.0000000000000004E-6</v>
      </c>
      <c r="J34" t="s">
        <v>20</v>
      </c>
      <c r="K34" t="str">
        <f t="shared" si="0"/>
        <v>warm-lambda</v>
      </c>
      <c r="M34" s="44" t="s">
        <v>109</v>
      </c>
      <c r="N34" s="8">
        <v>0.62567600000000001</v>
      </c>
      <c r="O34" s="8">
        <v>0.29306199999999999</v>
      </c>
      <c r="P34" s="8">
        <v>6.7278149999999997</v>
      </c>
      <c r="Q34" s="8">
        <v>6.7296189999999996</v>
      </c>
      <c r="V34" s="43"/>
      <c r="W34" s="43"/>
      <c r="X34" s="43"/>
      <c r="Y34" s="43"/>
      <c r="Z34" s="42"/>
    </row>
    <row r="35" spans="1:26" x14ac:dyDescent="0.2">
      <c r="A35" t="s">
        <v>92</v>
      </c>
      <c r="B35" t="s">
        <v>98</v>
      </c>
      <c r="C35" t="s">
        <v>101</v>
      </c>
      <c r="D35" t="s">
        <v>33</v>
      </c>
      <c r="E35" t="s">
        <v>19</v>
      </c>
      <c r="F35">
        <v>1</v>
      </c>
      <c r="G35">
        <v>10</v>
      </c>
      <c r="H35">
        <v>0.18262100000000001</v>
      </c>
      <c r="I35">
        <v>1.7066999999999999E-2</v>
      </c>
      <c r="J35" t="s">
        <v>20</v>
      </c>
      <c r="K35" t="str">
        <f t="shared" si="0"/>
        <v>warm-quotes</v>
      </c>
      <c r="M35" s="10" t="s">
        <v>99</v>
      </c>
      <c r="N35" s="8"/>
      <c r="O35" s="8"/>
      <c r="P35" s="8"/>
      <c r="Q35" s="8"/>
      <c r="U35" s="43"/>
      <c r="V35" s="43"/>
      <c r="W35" s="43"/>
      <c r="X35" s="43"/>
      <c r="Y35" s="43"/>
      <c r="Z35" s="42"/>
    </row>
    <row r="36" spans="1:26" x14ac:dyDescent="0.2">
      <c r="A36" t="s">
        <v>92</v>
      </c>
      <c r="B36" t="s">
        <v>99</v>
      </c>
      <c r="D36" t="s">
        <v>97</v>
      </c>
      <c r="E36" t="s">
        <v>19</v>
      </c>
      <c r="F36">
        <v>1</v>
      </c>
      <c r="G36">
        <v>10</v>
      </c>
      <c r="H36">
        <v>10.656075</v>
      </c>
      <c r="I36">
        <v>4.7767999999999998E-2</v>
      </c>
      <c r="J36" t="s">
        <v>20</v>
      </c>
      <c r="K36" t="str">
        <f t="shared" si="0"/>
        <v>-compile</v>
      </c>
      <c r="M36" s="44" t="s">
        <v>102</v>
      </c>
      <c r="N36" s="8">
        <v>27.761897000000001</v>
      </c>
      <c r="O36" s="8">
        <v>33.316645000000001</v>
      </c>
      <c r="P36" s="8">
        <v>58.833680000000001</v>
      </c>
      <c r="Q36" s="8">
        <v>63.08887</v>
      </c>
      <c r="U36" s="8"/>
      <c r="V36" s="8"/>
      <c r="W36" s="8"/>
      <c r="X36" s="8"/>
      <c r="Y36" s="8"/>
    </row>
    <row r="37" spans="1:26" x14ac:dyDescent="0.2">
      <c r="A37" t="s">
        <v>92</v>
      </c>
      <c r="B37" t="s">
        <v>99</v>
      </c>
      <c r="D37" t="s">
        <v>68</v>
      </c>
      <c r="E37" t="s">
        <v>19</v>
      </c>
      <c r="F37">
        <v>1</v>
      </c>
      <c r="G37">
        <v>10</v>
      </c>
      <c r="H37">
        <v>3.8094999999999997E-2</v>
      </c>
      <c r="I37">
        <v>3.7500000000000001E-4</v>
      </c>
      <c r="J37" t="s">
        <v>20</v>
      </c>
      <c r="K37" t="str">
        <f t="shared" si="0"/>
        <v>-interp</v>
      </c>
      <c r="M37" s="44" t="s">
        <v>103</v>
      </c>
      <c r="N37" s="8">
        <v>0.132163</v>
      </c>
      <c r="O37" s="8">
        <v>0.119134</v>
      </c>
      <c r="P37" s="8">
        <v>0.49130000000000001</v>
      </c>
      <c r="Q37" s="8">
        <v>0.52680800000000005</v>
      </c>
      <c r="U37" s="8"/>
      <c r="V37" s="8"/>
      <c r="W37" s="8"/>
      <c r="X37" s="8"/>
      <c r="Y37" s="8"/>
    </row>
    <row r="38" spans="1:26" x14ac:dyDescent="0.2">
      <c r="A38" t="s">
        <v>92</v>
      </c>
      <c r="B38" t="s">
        <v>99</v>
      </c>
      <c r="C38" t="s">
        <v>131</v>
      </c>
      <c r="D38" t="s">
        <v>97</v>
      </c>
      <c r="E38" t="s">
        <v>19</v>
      </c>
      <c r="F38">
        <v>1</v>
      </c>
      <c r="G38">
        <v>10</v>
      </c>
      <c r="H38">
        <v>11.251234</v>
      </c>
      <c r="I38">
        <v>0.14021900000000001</v>
      </c>
      <c r="J38" t="s">
        <v>20</v>
      </c>
      <c r="K38" t="str">
        <f t="shared" si="0"/>
        <v>preprofiled-compile</v>
      </c>
      <c r="M38" s="44" t="s">
        <v>132</v>
      </c>
      <c r="N38" s="8">
        <v>12.213957000000001</v>
      </c>
      <c r="O38" s="8">
        <v>14.571261</v>
      </c>
      <c r="P38" s="8">
        <v>24.830204999999999</v>
      </c>
      <c r="Q38" s="8">
        <v>26.354303999999999</v>
      </c>
    </row>
    <row r="39" spans="1:26" x14ac:dyDescent="0.2">
      <c r="A39" t="s">
        <v>92</v>
      </c>
      <c r="B39" t="s">
        <v>99</v>
      </c>
      <c r="C39" t="s">
        <v>131</v>
      </c>
      <c r="D39" t="s">
        <v>68</v>
      </c>
      <c r="E39" t="s">
        <v>19</v>
      </c>
      <c r="F39">
        <v>1</v>
      </c>
      <c r="G39">
        <v>10</v>
      </c>
      <c r="H39">
        <v>4.5587000000000003E-2</v>
      </c>
      <c r="I39">
        <v>3.5599999999999998E-4</v>
      </c>
      <c r="J39" t="s">
        <v>20</v>
      </c>
      <c r="K39" t="str">
        <f t="shared" si="0"/>
        <v>preprofiled-interp</v>
      </c>
      <c r="M39" s="44" t="s">
        <v>133</v>
      </c>
      <c r="N39" s="8">
        <v>6.2334000000000001E-2</v>
      </c>
      <c r="O39" s="8">
        <v>5.8762000000000002E-2</v>
      </c>
      <c r="P39" s="8">
        <v>0.206454</v>
      </c>
      <c r="Q39" s="8">
        <v>0.221161</v>
      </c>
    </row>
    <row r="40" spans="1:26" x14ac:dyDescent="0.2">
      <c r="A40" t="s">
        <v>92</v>
      </c>
      <c r="B40" t="s">
        <v>99</v>
      </c>
      <c r="C40" t="s">
        <v>128</v>
      </c>
      <c r="D40" t="s">
        <v>97</v>
      </c>
      <c r="E40" t="s">
        <v>19</v>
      </c>
      <c r="F40">
        <v>1</v>
      </c>
      <c r="G40">
        <v>10</v>
      </c>
      <c r="H40">
        <v>25.612808000000001</v>
      </c>
      <c r="I40">
        <v>8.4862000000000007E-2</v>
      </c>
      <c r="J40" t="s">
        <v>20</v>
      </c>
      <c r="K40" t="str">
        <f t="shared" si="0"/>
        <v>profile-compile</v>
      </c>
    </row>
    <row r="41" spans="1:26" x14ac:dyDescent="0.2">
      <c r="A41" t="s">
        <v>92</v>
      </c>
      <c r="B41" t="s">
        <v>99</v>
      </c>
      <c r="C41" t="s">
        <v>128</v>
      </c>
      <c r="D41" t="s">
        <v>68</v>
      </c>
      <c r="E41" t="s">
        <v>19</v>
      </c>
      <c r="F41">
        <v>1</v>
      </c>
      <c r="G41">
        <v>10</v>
      </c>
      <c r="H41">
        <v>9.3368999999999994E-2</v>
      </c>
      <c r="I41">
        <v>4.9399999999999997E-4</v>
      </c>
      <c r="J41" t="s">
        <v>20</v>
      </c>
      <c r="K41" t="str">
        <f t="shared" si="0"/>
        <v>profile-interp</v>
      </c>
    </row>
    <row r="42" spans="1:26" x14ac:dyDescent="0.2">
      <c r="A42" t="s">
        <v>93</v>
      </c>
      <c r="B42" t="s">
        <v>98</v>
      </c>
      <c r="C42" t="s">
        <v>95</v>
      </c>
      <c r="D42" t="s">
        <v>30</v>
      </c>
      <c r="E42" t="s">
        <v>19</v>
      </c>
      <c r="F42">
        <v>1</v>
      </c>
      <c r="G42">
        <v>10</v>
      </c>
      <c r="H42">
        <v>1.0073799999999999</v>
      </c>
      <c r="I42">
        <v>6.3400000000000001E-3</v>
      </c>
      <c r="J42" t="s">
        <v>20</v>
      </c>
      <c r="K42" t="str">
        <f t="shared" si="0"/>
        <v>jar-bytecode</v>
      </c>
    </row>
    <row r="43" spans="1:26" x14ac:dyDescent="0.2">
      <c r="A43" t="s">
        <v>93</v>
      </c>
      <c r="B43" t="s">
        <v>98</v>
      </c>
      <c r="C43" t="s">
        <v>95</v>
      </c>
      <c r="D43" t="s">
        <v>31</v>
      </c>
      <c r="E43" t="s">
        <v>19</v>
      </c>
      <c r="F43">
        <v>1</v>
      </c>
      <c r="G43">
        <v>10</v>
      </c>
      <c r="H43">
        <v>0.86087400000000003</v>
      </c>
      <c r="I43">
        <v>6.8339999999999998E-3</v>
      </c>
      <c r="J43" t="s">
        <v>20</v>
      </c>
      <c r="K43" t="str">
        <f t="shared" si="0"/>
        <v>jar-lambda</v>
      </c>
    </row>
    <row r="44" spans="1:26" x14ac:dyDescent="0.2">
      <c r="A44" t="s">
        <v>93</v>
      </c>
      <c r="B44" t="s">
        <v>98</v>
      </c>
      <c r="C44" t="s">
        <v>95</v>
      </c>
      <c r="D44" t="s">
        <v>33</v>
      </c>
      <c r="E44" t="s">
        <v>19</v>
      </c>
      <c r="F44">
        <v>1</v>
      </c>
      <c r="G44">
        <v>10</v>
      </c>
      <c r="H44">
        <v>4.2692620000000003</v>
      </c>
      <c r="I44">
        <v>5.3913000000000003E-2</v>
      </c>
      <c r="J44" t="s">
        <v>20</v>
      </c>
      <c r="K44" t="str">
        <f t="shared" si="0"/>
        <v>jar-quotes</v>
      </c>
    </row>
    <row r="45" spans="1:26" x14ac:dyDescent="0.2">
      <c r="A45" t="s">
        <v>93</v>
      </c>
      <c r="B45" t="s">
        <v>98</v>
      </c>
      <c r="C45" t="s">
        <v>96</v>
      </c>
      <c r="D45" t="s">
        <v>31</v>
      </c>
      <c r="E45" t="s">
        <v>19</v>
      </c>
      <c r="F45">
        <v>1</v>
      </c>
      <c r="G45">
        <v>10</v>
      </c>
      <c r="H45">
        <v>3.8116999999999998E-2</v>
      </c>
      <c r="I45">
        <v>4.0000000000000002E-4</v>
      </c>
      <c r="J45" t="s">
        <v>20</v>
      </c>
      <c r="K45" t="str">
        <f t="shared" si="0"/>
        <v>native-lambda</v>
      </c>
    </row>
    <row r="46" spans="1:26" x14ac:dyDescent="0.2">
      <c r="A46" t="s">
        <v>93</v>
      </c>
      <c r="B46" t="s">
        <v>98</v>
      </c>
      <c r="C46" t="s">
        <v>101</v>
      </c>
      <c r="D46" t="s">
        <v>30</v>
      </c>
      <c r="E46" t="s">
        <v>19</v>
      </c>
      <c r="F46">
        <v>1</v>
      </c>
      <c r="G46">
        <v>10</v>
      </c>
      <c r="H46">
        <v>1.5528999999999999E-2</v>
      </c>
      <c r="I46">
        <v>5.5789999999999998E-3</v>
      </c>
      <c r="J46" t="s">
        <v>20</v>
      </c>
      <c r="K46" t="str">
        <f t="shared" si="0"/>
        <v>warm-bytecode</v>
      </c>
    </row>
    <row r="47" spans="1:26" x14ac:dyDescent="0.2">
      <c r="A47" t="s">
        <v>93</v>
      </c>
      <c r="B47" t="s">
        <v>98</v>
      </c>
      <c r="C47" t="s">
        <v>101</v>
      </c>
      <c r="D47" t="s">
        <v>31</v>
      </c>
      <c r="E47" t="s">
        <v>19</v>
      </c>
      <c r="F47">
        <v>1</v>
      </c>
      <c r="G47">
        <v>10</v>
      </c>
      <c r="H47">
        <v>2.1819999999999999E-3</v>
      </c>
      <c r="I47">
        <v>3.6000000000000001E-5</v>
      </c>
      <c r="J47" t="s">
        <v>20</v>
      </c>
      <c r="K47" t="str">
        <f t="shared" si="0"/>
        <v>warm-lambda</v>
      </c>
    </row>
    <row r="48" spans="1:26" x14ac:dyDescent="0.2">
      <c r="A48" t="s">
        <v>93</v>
      </c>
      <c r="B48" t="s">
        <v>98</v>
      </c>
      <c r="C48" t="s">
        <v>101</v>
      </c>
      <c r="D48" t="s">
        <v>33</v>
      </c>
      <c r="E48" t="s">
        <v>19</v>
      </c>
      <c r="F48">
        <v>1</v>
      </c>
      <c r="G48">
        <v>10</v>
      </c>
      <c r="H48">
        <v>0.29928900000000003</v>
      </c>
      <c r="I48">
        <v>3.6414000000000002E-2</v>
      </c>
      <c r="J48" t="s">
        <v>20</v>
      </c>
      <c r="K48" t="str">
        <f t="shared" si="0"/>
        <v>warm-quotes</v>
      </c>
    </row>
    <row r="49" spans="1:11" x14ac:dyDescent="0.2">
      <c r="A49" t="s">
        <v>93</v>
      </c>
      <c r="B49" t="s">
        <v>99</v>
      </c>
      <c r="D49" t="s">
        <v>97</v>
      </c>
      <c r="E49" t="s">
        <v>19</v>
      </c>
      <c r="F49">
        <v>1</v>
      </c>
      <c r="G49">
        <v>10</v>
      </c>
      <c r="H49">
        <v>10.824192</v>
      </c>
      <c r="I49">
        <v>5.1794E-2</v>
      </c>
      <c r="J49" t="s">
        <v>20</v>
      </c>
      <c r="K49" t="str">
        <f t="shared" si="0"/>
        <v>-compile</v>
      </c>
    </row>
    <row r="50" spans="1:11" x14ac:dyDescent="0.2">
      <c r="A50" t="s">
        <v>93</v>
      </c>
      <c r="B50" t="s">
        <v>99</v>
      </c>
      <c r="D50" t="s">
        <v>68</v>
      </c>
      <c r="E50" t="s">
        <v>19</v>
      </c>
      <c r="F50">
        <v>1</v>
      </c>
      <c r="G50">
        <v>10</v>
      </c>
      <c r="H50">
        <v>3.9987000000000002E-2</v>
      </c>
      <c r="I50">
        <v>3.8400000000000001E-4</v>
      </c>
      <c r="J50" t="s">
        <v>20</v>
      </c>
      <c r="K50" t="str">
        <f t="shared" si="0"/>
        <v>-interp</v>
      </c>
    </row>
    <row r="51" spans="1:11" x14ac:dyDescent="0.2">
      <c r="A51" t="s">
        <v>93</v>
      </c>
      <c r="B51" t="s">
        <v>99</v>
      </c>
      <c r="C51" t="s">
        <v>131</v>
      </c>
      <c r="D51" t="s">
        <v>97</v>
      </c>
      <c r="E51" t="s">
        <v>19</v>
      </c>
      <c r="F51">
        <v>1</v>
      </c>
      <c r="G51">
        <v>10</v>
      </c>
      <c r="H51">
        <v>11.749051</v>
      </c>
      <c r="I51">
        <v>5.0685000000000001E-2</v>
      </c>
      <c r="J51" t="s">
        <v>20</v>
      </c>
      <c r="K51" t="str">
        <f t="shared" si="0"/>
        <v>preprofiled-compile</v>
      </c>
    </row>
    <row r="52" spans="1:11" x14ac:dyDescent="0.2">
      <c r="A52" t="s">
        <v>93</v>
      </c>
      <c r="B52" t="s">
        <v>99</v>
      </c>
      <c r="C52" t="s">
        <v>131</v>
      </c>
      <c r="D52" t="s">
        <v>68</v>
      </c>
      <c r="E52" t="s">
        <v>19</v>
      </c>
      <c r="F52">
        <v>1</v>
      </c>
      <c r="G52">
        <v>10</v>
      </c>
      <c r="H52">
        <v>5.2561999999999998E-2</v>
      </c>
      <c r="I52">
        <v>6.1799999999999995E-4</v>
      </c>
      <c r="J52" t="s">
        <v>20</v>
      </c>
      <c r="K52" t="str">
        <f t="shared" si="0"/>
        <v>preprofiled-interp</v>
      </c>
    </row>
    <row r="53" spans="1:11" x14ac:dyDescent="0.2">
      <c r="A53" t="s">
        <v>93</v>
      </c>
      <c r="B53" t="s">
        <v>99</v>
      </c>
      <c r="C53" t="s">
        <v>128</v>
      </c>
      <c r="D53" t="s">
        <v>97</v>
      </c>
      <c r="E53" t="s">
        <v>19</v>
      </c>
      <c r="F53">
        <v>1</v>
      </c>
      <c r="G53">
        <v>10</v>
      </c>
      <c r="H53">
        <v>25.712885</v>
      </c>
      <c r="I53">
        <v>6.0566000000000002E-2</v>
      </c>
      <c r="J53" t="s">
        <v>20</v>
      </c>
      <c r="K53" t="str">
        <f t="shared" si="0"/>
        <v>profile-compile</v>
      </c>
    </row>
    <row r="54" spans="1:11" x14ac:dyDescent="0.2">
      <c r="A54" t="s">
        <v>93</v>
      </c>
      <c r="B54" t="s">
        <v>99</v>
      </c>
      <c r="C54" t="s">
        <v>128</v>
      </c>
      <c r="D54" t="s">
        <v>68</v>
      </c>
      <c r="E54" t="s">
        <v>19</v>
      </c>
      <c r="F54">
        <v>1</v>
      </c>
      <c r="G54">
        <v>10</v>
      </c>
      <c r="H54">
        <v>0.10813300000000001</v>
      </c>
      <c r="I54">
        <v>1.1709999999999999E-3</v>
      </c>
      <c r="J54" t="s">
        <v>20</v>
      </c>
      <c r="K54" t="str">
        <f t="shared" si="0"/>
        <v>profile-interp</v>
      </c>
    </row>
    <row r="55" spans="1:11" x14ac:dyDescent="0.2">
      <c r="A55" t="s">
        <v>94</v>
      </c>
      <c r="B55" t="s">
        <v>98</v>
      </c>
      <c r="C55" t="s">
        <v>95</v>
      </c>
      <c r="D55" t="s">
        <v>30</v>
      </c>
      <c r="E55" t="s">
        <v>19</v>
      </c>
      <c r="F55">
        <v>1</v>
      </c>
      <c r="G55">
        <v>10</v>
      </c>
      <c r="H55">
        <v>0.90143600000000002</v>
      </c>
      <c r="I55">
        <v>4.8129999999999996E-3</v>
      </c>
      <c r="J55" t="s">
        <v>20</v>
      </c>
      <c r="K55" t="str">
        <f t="shared" si="0"/>
        <v>jar-bytecode</v>
      </c>
    </row>
    <row r="56" spans="1:11" x14ac:dyDescent="0.2">
      <c r="A56" t="s">
        <v>94</v>
      </c>
      <c r="B56" t="s">
        <v>98</v>
      </c>
      <c r="C56" t="s">
        <v>95</v>
      </c>
      <c r="D56" t="s">
        <v>31</v>
      </c>
      <c r="E56" t="s">
        <v>19</v>
      </c>
      <c r="F56">
        <v>1</v>
      </c>
      <c r="G56">
        <v>10</v>
      </c>
      <c r="H56">
        <v>0.78787300000000005</v>
      </c>
      <c r="I56">
        <v>5.2849999999999998E-3</v>
      </c>
      <c r="J56" t="s">
        <v>20</v>
      </c>
      <c r="K56" t="str">
        <f t="shared" si="0"/>
        <v>jar-lambda</v>
      </c>
    </row>
    <row r="57" spans="1:11" x14ac:dyDescent="0.2">
      <c r="A57" t="s">
        <v>94</v>
      </c>
      <c r="B57" t="s">
        <v>98</v>
      </c>
      <c r="C57" t="s">
        <v>95</v>
      </c>
      <c r="D57" t="s">
        <v>33</v>
      </c>
      <c r="E57" t="s">
        <v>19</v>
      </c>
      <c r="F57">
        <v>1</v>
      </c>
      <c r="G57">
        <v>10</v>
      </c>
      <c r="H57">
        <v>3.6039650000000001</v>
      </c>
      <c r="I57">
        <v>5.6471E-2</v>
      </c>
      <c r="J57" t="s">
        <v>20</v>
      </c>
      <c r="K57" t="str">
        <f t="shared" si="0"/>
        <v>jar-quotes</v>
      </c>
    </row>
    <row r="58" spans="1:11" x14ac:dyDescent="0.2">
      <c r="A58" t="s">
        <v>94</v>
      </c>
      <c r="B58" t="s">
        <v>98</v>
      </c>
      <c r="C58" t="s">
        <v>96</v>
      </c>
      <c r="D58" t="s">
        <v>31</v>
      </c>
      <c r="E58" t="s">
        <v>19</v>
      </c>
      <c r="F58">
        <v>1</v>
      </c>
      <c r="G58">
        <v>10</v>
      </c>
      <c r="H58">
        <v>2.8805999999999998E-2</v>
      </c>
      <c r="I58">
        <v>1.95E-4</v>
      </c>
      <c r="J58" t="s">
        <v>20</v>
      </c>
      <c r="K58" t="str">
        <f t="shared" si="0"/>
        <v>native-lambda</v>
      </c>
    </row>
    <row r="59" spans="1:11" x14ac:dyDescent="0.2">
      <c r="A59" t="s">
        <v>94</v>
      </c>
      <c r="B59" t="s">
        <v>98</v>
      </c>
      <c r="C59" t="s">
        <v>101</v>
      </c>
      <c r="D59" t="s">
        <v>30</v>
      </c>
      <c r="E59" t="s">
        <v>19</v>
      </c>
      <c r="F59">
        <v>1</v>
      </c>
      <c r="G59">
        <v>10</v>
      </c>
      <c r="H59">
        <v>6.0569999999999999E-3</v>
      </c>
      <c r="I59">
        <v>2.078E-3</v>
      </c>
      <c r="J59" t="s">
        <v>20</v>
      </c>
      <c r="K59" t="str">
        <f t="shared" si="0"/>
        <v>warm-bytecode</v>
      </c>
    </row>
    <row r="60" spans="1:11" x14ac:dyDescent="0.2">
      <c r="A60" t="s">
        <v>94</v>
      </c>
      <c r="B60" t="s">
        <v>98</v>
      </c>
      <c r="C60" t="s">
        <v>101</v>
      </c>
      <c r="D60" t="s">
        <v>31</v>
      </c>
      <c r="E60" t="s">
        <v>19</v>
      </c>
      <c r="F60">
        <v>1</v>
      </c>
      <c r="G60">
        <v>10</v>
      </c>
      <c r="H60">
        <v>5.0799999999999999E-4</v>
      </c>
      <c r="I60">
        <v>3.9999999999999998E-6</v>
      </c>
      <c r="J60" t="s">
        <v>20</v>
      </c>
      <c r="K60" t="str">
        <f t="shared" si="0"/>
        <v>warm-lambda</v>
      </c>
    </row>
    <row r="61" spans="1:11" x14ac:dyDescent="0.2">
      <c r="A61" t="s">
        <v>94</v>
      </c>
      <c r="B61" t="s">
        <v>98</v>
      </c>
      <c r="C61" t="s">
        <v>101</v>
      </c>
      <c r="D61" t="s">
        <v>33</v>
      </c>
      <c r="E61" t="s">
        <v>19</v>
      </c>
      <c r="F61">
        <v>1</v>
      </c>
      <c r="G61">
        <v>10</v>
      </c>
      <c r="H61">
        <v>0.16596900000000001</v>
      </c>
      <c r="I61">
        <v>1.6036999999999999E-2</v>
      </c>
      <c r="J61" t="s">
        <v>20</v>
      </c>
      <c r="K61" t="str">
        <f t="shared" si="0"/>
        <v>warm-quotes</v>
      </c>
    </row>
    <row r="62" spans="1:11" x14ac:dyDescent="0.2">
      <c r="A62" t="s">
        <v>94</v>
      </c>
      <c r="B62" t="s">
        <v>99</v>
      </c>
      <c r="D62" t="s">
        <v>97</v>
      </c>
      <c r="E62" t="s">
        <v>19</v>
      </c>
      <c r="F62">
        <v>1</v>
      </c>
      <c r="G62">
        <v>10</v>
      </c>
      <c r="H62">
        <v>10.119536999999999</v>
      </c>
      <c r="I62">
        <v>3.1586000000000003E-2</v>
      </c>
      <c r="J62" t="s">
        <v>20</v>
      </c>
      <c r="K62" t="str">
        <f t="shared" si="0"/>
        <v>-compile</v>
      </c>
    </row>
    <row r="63" spans="1:11" x14ac:dyDescent="0.2">
      <c r="A63" t="s">
        <v>94</v>
      </c>
      <c r="B63" t="s">
        <v>99</v>
      </c>
      <c r="D63" t="s">
        <v>68</v>
      </c>
      <c r="E63" t="s">
        <v>19</v>
      </c>
      <c r="F63">
        <v>1</v>
      </c>
      <c r="G63">
        <v>10</v>
      </c>
      <c r="H63">
        <v>3.8824999999999998E-2</v>
      </c>
      <c r="I63">
        <v>3.1599999999999998E-4</v>
      </c>
      <c r="J63" t="s">
        <v>20</v>
      </c>
      <c r="K63" t="str">
        <f t="shared" si="0"/>
        <v>-interp</v>
      </c>
    </row>
    <row r="64" spans="1:11" x14ac:dyDescent="0.2">
      <c r="A64" t="s">
        <v>94</v>
      </c>
      <c r="B64" t="s">
        <v>99</v>
      </c>
      <c r="C64" t="s">
        <v>131</v>
      </c>
      <c r="D64" t="s">
        <v>97</v>
      </c>
      <c r="E64" t="s">
        <v>19</v>
      </c>
      <c r="F64">
        <v>1</v>
      </c>
      <c r="G64">
        <v>10</v>
      </c>
      <c r="H64">
        <v>10.179713</v>
      </c>
      <c r="I64">
        <v>3.6857000000000001E-2</v>
      </c>
      <c r="J64" t="s">
        <v>20</v>
      </c>
      <c r="K64" t="str">
        <f t="shared" si="0"/>
        <v>preprofiled-compile</v>
      </c>
    </row>
    <row r="65" spans="1:11" x14ac:dyDescent="0.2">
      <c r="A65" t="s">
        <v>94</v>
      </c>
      <c r="B65" t="s">
        <v>99</v>
      </c>
      <c r="C65" t="s">
        <v>131</v>
      </c>
      <c r="D65" t="s">
        <v>68</v>
      </c>
      <c r="E65" t="s">
        <v>19</v>
      </c>
      <c r="F65">
        <v>1</v>
      </c>
      <c r="G65">
        <v>10</v>
      </c>
      <c r="H65">
        <v>4.6283999999999999E-2</v>
      </c>
      <c r="I65">
        <v>3.7800000000000003E-4</v>
      </c>
      <c r="J65" t="s">
        <v>20</v>
      </c>
      <c r="K65" t="str">
        <f t="shared" si="0"/>
        <v>preprofiled-interp</v>
      </c>
    </row>
    <row r="66" spans="1:11" x14ac:dyDescent="0.2">
      <c r="A66" t="s">
        <v>94</v>
      </c>
      <c r="B66" t="s">
        <v>99</v>
      </c>
      <c r="C66" t="s">
        <v>128</v>
      </c>
      <c r="D66" t="s">
        <v>97</v>
      </c>
      <c r="E66" t="s">
        <v>19</v>
      </c>
      <c r="F66">
        <v>1</v>
      </c>
      <c r="G66">
        <v>10</v>
      </c>
      <c r="H66">
        <v>23.609202</v>
      </c>
      <c r="I66">
        <v>6.6269999999999996E-2</v>
      </c>
      <c r="J66" t="s">
        <v>20</v>
      </c>
      <c r="K66" t="str">
        <f t="shared" si="0"/>
        <v>profile-compile</v>
      </c>
    </row>
    <row r="67" spans="1:11" x14ac:dyDescent="0.2">
      <c r="A67" t="s">
        <v>94</v>
      </c>
      <c r="B67" t="s">
        <v>99</v>
      </c>
      <c r="C67" t="s">
        <v>128</v>
      </c>
      <c r="D67" t="s">
        <v>68</v>
      </c>
      <c r="E67" t="s">
        <v>19</v>
      </c>
      <c r="F67">
        <v>1</v>
      </c>
      <c r="G67">
        <v>10</v>
      </c>
      <c r="H67">
        <v>9.2691999999999997E-2</v>
      </c>
      <c r="I67">
        <v>7.7399999999999995E-4</v>
      </c>
      <c r="J67" t="s">
        <v>20</v>
      </c>
      <c r="K67" t="str">
        <f t="shared" si="0"/>
        <v>profile-interp</v>
      </c>
    </row>
    <row r="68" spans="1:11" x14ac:dyDescent="0.2">
      <c r="A68" t="s">
        <v>112</v>
      </c>
      <c r="B68" t="s">
        <v>98</v>
      </c>
      <c r="C68" t="s">
        <v>95</v>
      </c>
      <c r="D68" t="s">
        <v>30</v>
      </c>
      <c r="E68" t="s">
        <v>19</v>
      </c>
      <c r="F68">
        <v>1</v>
      </c>
      <c r="G68">
        <v>10</v>
      </c>
      <c r="H68">
        <v>3.8663159999999999</v>
      </c>
      <c r="I68">
        <v>0.46958299999999997</v>
      </c>
      <c r="J68" t="s">
        <v>20</v>
      </c>
      <c r="K68" t="str">
        <f t="shared" ref="K68:K93" si="6">_xlfn.CONCAT( C68, IF(D68&lt;&gt;"", "-", "" ), D68)</f>
        <v>jar-bytecode</v>
      </c>
    </row>
    <row r="69" spans="1:11" x14ac:dyDescent="0.2">
      <c r="A69" t="s">
        <v>112</v>
      </c>
      <c r="B69" t="s">
        <v>98</v>
      </c>
      <c r="C69" t="s">
        <v>95</v>
      </c>
      <c r="D69" t="s">
        <v>31</v>
      </c>
      <c r="E69" t="s">
        <v>19</v>
      </c>
      <c r="F69">
        <v>1</v>
      </c>
      <c r="G69">
        <v>10</v>
      </c>
      <c r="H69">
        <v>3.438129</v>
      </c>
      <c r="I69">
        <v>9.6368999999999996E-2</v>
      </c>
      <c r="J69" t="s">
        <v>20</v>
      </c>
      <c r="K69" t="str">
        <f t="shared" si="6"/>
        <v>jar-lambda</v>
      </c>
    </row>
    <row r="70" spans="1:11" x14ac:dyDescent="0.2">
      <c r="A70" t="s">
        <v>112</v>
      </c>
      <c r="B70" t="s">
        <v>98</v>
      </c>
      <c r="C70" t="s">
        <v>95</v>
      </c>
      <c r="D70" t="s">
        <v>33</v>
      </c>
      <c r="E70" t="s">
        <v>19</v>
      </c>
      <c r="F70">
        <v>1</v>
      </c>
      <c r="G70">
        <v>10</v>
      </c>
      <c r="H70">
        <v>18.116986000000001</v>
      </c>
      <c r="I70">
        <v>0.62967600000000001</v>
      </c>
      <c r="J70" t="s">
        <v>20</v>
      </c>
      <c r="K70" t="str">
        <f t="shared" si="6"/>
        <v>jar-quotes</v>
      </c>
    </row>
    <row r="71" spans="1:11" x14ac:dyDescent="0.2">
      <c r="A71" t="s">
        <v>112</v>
      </c>
      <c r="B71" t="s">
        <v>98</v>
      </c>
      <c r="C71" t="s">
        <v>96</v>
      </c>
      <c r="D71" t="s">
        <v>31</v>
      </c>
      <c r="E71" t="s">
        <v>19</v>
      </c>
      <c r="F71">
        <v>1</v>
      </c>
      <c r="G71">
        <v>10</v>
      </c>
      <c r="H71">
        <v>4.5163229999999999</v>
      </c>
      <c r="I71">
        <v>8.175E-3</v>
      </c>
      <c r="J71" t="s">
        <v>20</v>
      </c>
      <c r="K71" t="str">
        <f t="shared" si="6"/>
        <v>native-lambda</v>
      </c>
    </row>
    <row r="72" spans="1:11" x14ac:dyDescent="0.2">
      <c r="A72" t="s">
        <v>112</v>
      </c>
      <c r="B72" t="s">
        <v>98</v>
      </c>
      <c r="C72" t="s">
        <v>101</v>
      </c>
      <c r="D72" t="s">
        <v>30</v>
      </c>
      <c r="E72" t="s">
        <v>19</v>
      </c>
      <c r="F72">
        <v>1</v>
      </c>
      <c r="G72">
        <v>10</v>
      </c>
      <c r="H72">
        <v>1.014974</v>
      </c>
      <c r="I72">
        <v>7.4326000000000003E-2</v>
      </c>
      <c r="J72" t="s">
        <v>20</v>
      </c>
      <c r="K72" t="str">
        <f t="shared" si="6"/>
        <v>warm-bytecode</v>
      </c>
    </row>
    <row r="73" spans="1:11" x14ac:dyDescent="0.2">
      <c r="A73" t="s">
        <v>112</v>
      </c>
      <c r="B73" t="s">
        <v>98</v>
      </c>
      <c r="C73" t="s">
        <v>101</v>
      </c>
      <c r="D73" t="s">
        <v>31</v>
      </c>
      <c r="E73" t="s">
        <v>19</v>
      </c>
      <c r="F73">
        <v>1</v>
      </c>
      <c r="G73">
        <v>10</v>
      </c>
      <c r="H73">
        <v>0.68038200000000004</v>
      </c>
      <c r="I73">
        <v>7.4409999999999997E-3</v>
      </c>
      <c r="J73" t="s">
        <v>20</v>
      </c>
      <c r="K73" t="str">
        <f t="shared" si="6"/>
        <v>warm-lambda</v>
      </c>
    </row>
    <row r="74" spans="1:11" x14ac:dyDescent="0.2">
      <c r="A74" t="s">
        <v>112</v>
      </c>
      <c r="B74" t="s">
        <v>98</v>
      </c>
      <c r="C74" t="s">
        <v>101</v>
      </c>
      <c r="D74" t="s">
        <v>33</v>
      </c>
      <c r="E74" t="s">
        <v>19</v>
      </c>
      <c r="F74">
        <v>1</v>
      </c>
      <c r="G74">
        <v>10</v>
      </c>
      <c r="H74">
        <v>6.7278149999999997</v>
      </c>
      <c r="I74">
        <v>0.61003700000000005</v>
      </c>
      <c r="J74" t="s">
        <v>20</v>
      </c>
      <c r="K74" t="str">
        <f t="shared" si="6"/>
        <v>warm-quotes</v>
      </c>
    </row>
    <row r="75" spans="1:11" x14ac:dyDescent="0.2">
      <c r="A75" t="s">
        <v>112</v>
      </c>
      <c r="B75" t="s">
        <v>99</v>
      </c>
      <c r="D75" t="s">
        <v>97</v>
      </c>
      <c r="E75" t="s">
        <v>19</v>
      </c>
      <c r="F75">
        <v>1</v>
      </c>
      <c r="G75">
        <v>10</v>
      </c>
      <c r="H75">
        <v>22.159656999999999</v>
      </c>
      <c r="I75">
        <v>5.8845000000000001E-2</v>
      </c>
      <c r="J75" t="s">
        <v>20</v>
      </c>
      <c r="K75" t="str">
        <f t="shared" si="6"/>
        <v>-compile</v>
      </c>
    </row>
    <row r="76" spans="1:11" x14ac:dyDescent="0.2">
      <c r="A76" t="s">
        <v>112</v>
      </c>
      <c r="B76" t="s">
        <v>99</v>
      </c>
      <c r="D76" t="s">
        <v>68</v>
      </c>
      <c r="E76" t="s">
        <v>19</v>
      </c>
      <c r="F76">
        <v>1</v>
      </c>
      <c r="G76">
        <v>10</v>
      </c>
      <c r="H76">
        <v>0.13572600000000001</v>
      </c>
      <c r="I76">
        <v>5.9900000000000003E-4</v>
      </c>
      <c r="J76" t="s">
        <v>20</v>
      </c>
      <c r="K76" t="str">
        <f t="shared" si="6"/>
        <v>-interp</v>
      </c>
    </row>
    <row r="77" spans="1:11" x14ac:dyDescent="0.2">
      <c r="A77" t="s">
        <v>112</v>
      </c>
      <c r="B77" t="s">
        <v>99</v>
      </c>
      <c r="C77" t="s">
        <v>131</v>
      </c>
      <c r="D77" t="s">
        <v>97</v>
      </c>
      <c r="E77" t="s">
        <v>19</v>
      </c>
      <c r="F77">
        <v>1</v>
      </c>
      <c r="G77">
        <v>10</v>
      </c>
      <c r="H77">
        <v>24.830204999999999</v>
      </c>
      <c r="I77">
        <v>9.0885999999999995E-2</v>
      </c>
      <c r="J77" t="s">
        <v>20</v>
      </c>
      <c r="K77" t="str">
        <f t="shared" si="6"/>
        <v>preprofiled-compile</v>
      </c>
    </row>
    <row r="78" spans="1:11" x14ac:dyDescent="0.2">
      <c r="A78" t="s">
        <v>112</v>
      </c>
      <c r="B78" t="s">
        <v>99</v>
      </c>
      <c r="C78" t="s">
        <v>131</v>
      </c>
      <c r="D78" t="s">
        <v>68</v>
      </c>
      <c r="E78" t="s">
        <v>19</v>
      </c>
      <c r="F78">
        <v>1</v>
      </c>
      <c r="G78">
        <v>10</v>
      </c>
      <c r="H78">
        <v>0.206454</v>
      </c>
      <c r="I78">
        <v>9.59E-4</v>
      </c>
      <c r="J78" t="s">
        <v>20</v>
      </c>
      <c r="K78" t="str">
        <f t="shared" si="6"/>
        <v>preprofiled-interp</v>
      </c>
    </row>
    <row r="79" spans="1:11" x14ac:dyDescent="0.2">
      <c r="A79" t="s">
        <v>112</v>
      </c>
      <c r="B79" t="s">
        <v>99</v>
      </c>
      <c r="C79" t="s">
        <v>128</v>
      </c>
      <c r="D79" t="s">
        <v>97</v>
      </c>
      <c r="E79" t="s">
        <v>19</v>
      </c>
      <c r="F79">
        <v>1</v>
      </c>
      <c r="G79">
        <v>10</v>
      </c>
      <c r="H79">
        <v>58.833680000000001</v>
      </c>
      <c r="I79">
        <v>0.14668900000000001</v>
      </c>
      <c r="J79" t="s">
        <v>20</v>
      </c>
      <c r="K79" t="str">
        <f t="shared" si="6"/>
        <v>profile-compile</v>
      </c>
    </row>
    <row r="80" spans="1:11" x14ac:dyDescent="0.2">
      <c r="A80" t="s">
        <v>112</v>
      </c>
      <c r="B80" t="s">
        <v>99</v>
      </c>
      <c r="C80" t="s">
        <v>128</v>
      </c>
      <c r="D80" t="s">
        <v>68</v>
      </c>
      <c r="E80" t="s">
        <v>19</v>
      </c>
      <c r="F80">
        <v>1</v>
      </c>
      <c r="G80">
        <v>10</v>
      </c>
      <c r="H80">
        <v>0.49130000000000001</v>
      </c>
      <c r="I80">
        <v>2.8319999999999999E-3</v>
      </c>
      <c r="J80" t="s">
        <v>20</v>
      </c>
      <c r="K80" t="str">
        <f t="shared" si="6"/>
        <v>profile-interp</v>
      </c>
    </row>
    <row r="81" spans="1:11" x14ac:dyDescent="0.2">
      <c r="A81" t="s">
        <v>113</v>
      </c>
      <c r="B81" t="s">
        <v>98</v>
      </c>
      <c r="C81" t="s">
        <v>95</v>
      </c>
      <c r="D81" t="s">
        <v>30</v>
      </c>
      <c r="E81" t="s">
        <v>19</v>
      </c>
      <c r="F81">
        <v>1</v>
      </c>
      <c r="G81">
        <v>10</v>
      </c>
      <c r="H81">
        <v>4.5726149999999999</v>
      </c>
      <c r="I81">
        <v>0.31332500000000002</v>
      </c>
      <c r="J81" t="s">
        <v>20</v>
      </c>
      <c r="K81" t="str">
        <f t="shared" si="6"/>
        <v>jar-bytecode</v>
      </c>
    </row>
    <row r="82" spans="1:11" x14ac:dyDescent="0.2">
      <c r="A82" t="s">
        <v>113</v>
      </c>
      <c r="B82" t="s">
        <v>98</v>
      </c>
      <c r="C82" t="s">
        <v>95</v>
      </c>
      <c r="D82" t="s">
        <v>31</v>
      </c>
      <c r="E82" t="s">
        <v>19</v>
      </c>
      <c r="F82">
        <v>1</v>
      </c>
      <c r="G82">
        <v>10</v>
      </c>
      <c r="H82">
        <v>3.455104</v>
      </c>
      <c r="I82">
        <v>0.16347400000000001</v>
      </c>
      <c r="J82" t="s">
        <v>20</v>
      </c>
      <c r="K82" t="str">
        <f t="shared" si="6"/>
        <v>jar-lambda</v>
      </c>
    </row>
    <row r="83" spans="1:11" x14ac:dyDescent="0.2">
      <c r="A83" t="s">
        <v>113</v>
      </c>
      <c r="B83" t="s">
        <v>98</v>
      </c>
      <c r="C83" t="s">
        <v>95</v>
      </c>
      <c r="D83" t="s">
        <v>33</v>
      </c>
      <c r="E83" t="s">
        <v>19</v>
      </c>
      <c r="F83">
        <v>1</v>
      </c>
      <c r="G83">
        <v>10</v>
      </c>
      <c r="H83">
        <v>18.385228000000001</v>
      </c>
      <c r="I83">
        <v>0.65254699999999999</v>
      </c>
      <c r="J83" t="s">
        <v>20</v>
      </c>
      <c r="K83" t="str">
        <f t="shared" si="6"/>
        <v>jar-quotes</v>
      </c>
    </row>
    <row r="84" spans="1:11" x14ac:dyDescent="0.2">
      <c r="A84" t="s">
        <v>113</v>
      </c>
      <c r="B84" t="s">
        <v>98</v>
      </c>
      <c r="C84" t="s">
        <v>96</v>
      </c>
      <c r="D84" t="s">
        <v>31</v>
      </c>
      <c r="E84" t="s">
        <v>19</v>
      </c>
      <c r="F84">
        <v>1</v>
      </c>
      <c r="G84">
        <v>10</v>
      </c>
      <c r="H84">
        <v>4.5736220000000003</v>
      </c>
      <c r="I84">
        <v>6.4075999999999994E-2</v>
      </c>
      <c r="J84" t="s">
        <v>20</v>
      </c>
      <c r="K84" t="str">
        <f t="shared" si="6"/>
        <v>native-lambda</v>
      </c>
    </row>
    <row r="85" spans="1:11" x14ac:dyDescent="0.2">
      <c r="A85" t="s">
        <v>113</v>
      </c>
      <c r="B85" t="s">
        <v>98</v>
      </c>
      <c r="C85" t="s">
        <v>101</v>
      </c>
      <c r="D85" t="s">
        <v>30</v>
      </c>
      <c r="E85" t="s">
        <v>19</v>
      </c>
      <c r="F85">
        <v>1</v>
      </c>
      <c r="G85">
        <v>10</v>
      </c>
      <c r="H85">
        <v>1.0331060000000001</v>
      </c>
      <c r="I85">
        <v>8.4845000000000004E-2</v>
      </c>
      <c r="J85" t="s">
        <v>20</v>
      </c>
      <c r="K85" t="str">
        <f t="shared" si="6"/>
        <v>warm-bytecode</v>
      </c>
    </row>
    <row r="86" spans="1:11" x14ac:dyDescent="0.2">
      <c r="A86" t="s">
        <v>113</v>
      </c>
      <c r="B86" t="s">
        <v>98</v>
      </c>
      <c r="C86" t="s">
        <v>101</v>
      </c>
      <c r="D86" t="s">
        <v>31</v>
      </c>
      <c r="E86" t="s">
        <v>19</v>
      </c>
      <c r="F86">
        <v>1</v>
      </c>
      <c r="G86">
        <v>10</v>
      </c>
      <c r="H86">
        <v>0.80602799999999997</v>
      </c>
      <c r="I86">
        <v>1.4597000000000001E-2</v>
      </c>
      <c r="J86" t="s">
        <v>20</v>
      </c>
      <c r="K86" t="str">
        <f t="shared" si="6"/>
        <v>warm-lambda</v>
      </c>
    </row>
    <row r="87" spans="1:11" x14ac:dyDescent="0.2">
      <c r="A87" t="s">
        <v>113</v>
      </c>
      <c r="B87" t="s">
        <v>98</v>
      </c>
      <c r="C87" t="s">
        <v>101</v>
      </c>
      <c r="D87" t="s">
        <v>33</v>
      </c>
      <c r="E87" t="s">
        <v>19</v>
      </c>
      <c r="F87">
        <v>1</v>
      </c>
      <c r="G87">
        <v>10</v>
      </c>
      <c r="H87">
        <v>6.7296189999999996</v>
      </c>
      <c r="I87">
        <v>0.533335</v>
      </c>
      <c r="J87" t="s">
        <v>20</v>
      </c>
      <c r="K87" t="str">
        <f t="shared" si="6"/>
        <v>warm-quotes</v>
      </c>
    </row>
    <row r="88" spans="1:11" x14ac:dyDescent="0.2">
      <c r="A88" t="s">
        <v>113</v>
      </c>
      <c r="B88" t="s">
        <v>99</v>
      </c>
      <c r="D88" t="s">
        <v>97</v>
      </c>
      <c r="E88" t="s">
        <v>19</v>
      </c>
      <c r="F88">
        <v>1</v>
      </c>
      <c r="G88">
        <v>10</v>
      </c>
      <c r="H88">
        <v>22.767716</v>
      </c>
      <c r="I88">
        <v>6.7512000000000003E-2</v>
      </c>
      <c r="J88" t="s">
        <v>20</v>
      </c>
      <c r="K88" t="str">
        <f t="shared" si="6"/>
        <v>-compile</v>
      </c>
    </row>
    <row r="89" spans="1:11" x14ac:dyDescent="0.2">
      <c r="A89" t="s">
        <v>113</v>
      </c>
      <c r="B89" t="s">
        <v>99</v>
      </c>
      <c r="D89" t="s">
        <v>68</v>
      </c>
      <c r="E89" t="s">
        <v>19</v>
      </c>
      <c r="F89">
        <v>1</v>
      </c>
      <c r="G89">
        <v>10</v>
      </c>
      <c r="H89">
        <v>0.146061</v>
      </c>
      <c r="I89">
        <v>7.7999999999999999E-4</v>
      </c>
      <c r="J89" t="s">
        <v>20</v>
      </c>
      <c r="K89" t="str">
        <f t="shared" si="6"/>
        <v>-interp</v>
      </c>
    </row>
    <row r="90" spans="1:11" x14ac:dyDescent="0.2">
      <c r="A90" t="s">
        <v>113</v>
      </c>
      <c r="B90" t="s">
        <v>99</v>
      </c>
      <c r="C90" t="s">
        <v>131</v>
      </c>
      <c r="D90" t="s">
        <v>97</v>
      </c>
      <c r="E90" t="s">
        <v>19</v>
      </c>
      <c r="F90">
        <v>1</v>
      </c>
      <c r="G90">
        <v>10</v>
      </c>
      <c r="H90">
        <v>26.354303999999999</v>
      </c>
      <c r="I90">
        <v>8.2498000000000002E-2</v>
      </c>
      <c r="J90" t="s">
        <v>20</v>
      </c>
      <c r="K90" t="str">
        <f t="shared" si="6"/>
        <v>preprofiled-compile</v>
      </c>
    </row>
    <row r="91" spans="1:11" x14ac:dyDescent="0.2">
      <c r="A91" t="s">
        <v>113</v>
      </c>
      <c r="B91" t="s">
        <v>99</v>
      </c>
      <c r="C91" t="s">
        <v>131</v>
      </c>
      <c r="D91" t="s">
        <v>68</v>
      </c>
      <c r="E91" t="s">
        <v>19</v>
      </c>
      <c r="F91">
        <v>1</v>
      </c>
      <c r="G91">
        <v>10</v>
      </c>
      <c r="H91">
        <v>0.221161</v>
      </c>
      <c r="I91">
        <v>7.3099999999999999E-4</v>
      </c>
      <c r="J91" t="s">
        <v>20</v>
      </c>
      <c r="K91" t="str">
        <f t="shared" si="6"/>
        <v>preprofiled-interp</v>
      </c>
    </row>
    <row r="92" spans="1:11" x14ac:dyDescent="0.2">
      <c r="A92" t="s">
        <v>113</v>
      </c>
      <c r="B92" t="s">
        <v>99</v>
      </c>
      <c r="C92" t="s">
        <v>128</v>
      </c>
      <c r="D92" t="s">
        <v>97</v>
      </c>
      <c r="E92" t="s">
        <v>19</v>
      </c>
      <c r="F92">
        <v>1</v>
      </c>
      <c r="G92">
        <v>10</v>
      </c>
      <c r="H92">
        <v>63.08887</v>
      </c>
      <c r="I92">
        <v>0.215528</v>
      </c>
      <c r="J92" t="s">
        <v>20</v>
      </c>
      <c r="K92" t="str">
        <f t="shared" si="6"/>
        <v>profile-compile</v>
      </c>
    </row>
    <row r="93" spans="1:11" x14ac:dyDescent="0.2">
      <c r="A93" t="s">
        <v>113</v>
      </c>
      <c r="B93" t="s">
        <v>99</v>
      </c>
      <c r="C93" t="s">
        <v>128</v>
      </c>
      <c r="D93" t="s">
        <v>68</v>
      </c>
      <c r="E93" t="s">
        <v>19</v>
      </c>
      <c r="F93">
        <v>1</v>
      </c>
      <c r="G93">
        <v>10</v>
      </c>
      <c r="H93">
        <v>0.52680800000000005</v>
      </c>
      <c r="I93">
        <v>2.4020000000000001E-3</v>
      </c>
      <c r="J93" t="s">
        <v>20</v>
      </c>
      <c r="K93" t="str">
        <f t="shared" si="6"/>
        <v>profile-interp</v>
      </c>
    </row>
    <row r="94" spans="1:11" x14ac:dyDescent="0.2">
      <c r="G94" s="8"/>
    </row>
    <row r="95" spans="1:11" x14ac:dyDescent="0.2">
      <c r="G95" s="8"/>
    </row>
  </sheetData>
  <autoFilter ref="A1:D79" xr:uid="{7B3A409D-8D63-6B4F-B804-364D884775E4}"/>
  <pageMargins left="0.7" right="0.7" top="0.75" bottom="0.75" header="0.3" footer="0.3"/>
  <pageSetup paperSize="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aug13-all-fpj  FIGURES </vt:lpstr>
      <vt:lpstr>Async-Tasty-Worst</vt:lpstr>
      <vt:lpstr>Blocking-Tasty-Worst</vt:lpstr>
      <vt:lpstr>Async-small-worst</vt:lpstr>
      <vt:lpstr>Blocking-small-worst</vt:lpstr>
      <vt:lpstr>Async-All-best</vt:lpstr>
      <vt:lpstr>Blocking-all-best</vt:lpstr>
      <vt:lpstr>sota-chart</vt:lpstr>
      <vt:lpstr>sota-compare</vt:lpstr>
      <vt:lpstr>'aug13-all-fpj  FIGURES '!aug13_fpj46_clean</vt:lpstr>
      <vt:lpstr>'aug13-all-fpj  FIGURES '!aug13_fpj46_clean_1</vt:lpstr>
      <vt:lpstr>'sota-compare'!aug23_souffle46</vt:lpstr>
      <vt:lpstr>'aug13-all-fpj  FIGURES '!aug24_rerun46_bs1046_clean</vt:lpstr>
      <vt:lpstr>'aug13-all-fpj  FIGURES '!aug24_rerun46_bs1046_clean_1</vt:lpstr>
      <vt:lpstr>'sota-compare'!sep1_souf_preprofile46_clean</vt:lpstr>
      <vt:lpstr>'sota-compare'!sep1_souf_preprofile46_clean_1</vt:lpstr>
      <vt:lpstr>'sota-compare'!sep1_souf_preprofile46_clean_2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Herlihy</dc:creator>
  <cp:lastModifiedBy>Anna Herlihy</cp:lastModifiedBy>
  <cp:lastPrinted>2023-09-01T11:46:03Z</cp:lastPrinted>
  <dcterms:created xsi:type="dcterms:W3CDTF">2023-08-13T15:06:30Z</dcterms:created>
  <dcterms:modified xsi:type="dcterms:W3CDTF">2023-09-01T12:54:20Z</dcterms:modified>
</cp:coreProperties>
</file>