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90" windowWidth="15480" windowHeight="7695" tabRatio="926" firstSheet="1" activeTab="1"/>
  </bookViews>
  <sheets>
    <sheet name="P &amp; F Progress Phase-II" sheetId="11" state="hidden" r:id="rId1"/>
    <sheet name="ABSTRACT HVDS Phase-I" sheetId="27" r:id="rId2"/>
    <sheet name="ABSTRACT-HVDS P-II" sheetId="22" r:id="rId3"/>
    <sheet name="Kanaka USD" sheetId="17" state="hidden" r:id="rId4"/>
    <sheet name="Kanaka RSD" sheetId="18" state="hidden" r:id="rId5"/>
    <sheet name="Harohally" sheetId="19" state="hidden" r:id="rId6"/>
    <sheet name="Sathanur" sheetId="20" state="hidden" r:id="rId7"/>
    <sheet name="Huliyur Durga" sheetId="21" state="hidden" r:id="rId8"/>
    <sheet name="P &amp; F Progress Phase-III" sheetId="13" state="hidden" r:id="rId9"/>
    <sheet name="ABSTRACT-HVDS P-III" sheetId="23" r:id="rId10"/>
    <sheet name="Ramanagar RSD" sheetId="24" state="hidden" r:id="rId11"/>
    <sheet name="Channapatna RSD" sheetId="25" state="hidden" r:id="rId12"/>
    <sheet name="CN Patna USD &amp; Bidadi" sheetId="26" state="hidden" r:id="rId13"/>
  </sheets>
  <externalReferences>
    <externalReference r:id="rId14"/>
  </externalReferences>
  <definedNames>
    <definedName name="_xlnm.Print_Area" localSheetId="1">'ABSTRACT HVDS Phase-I'!$A$1:$J$13</definedName>
    <definedName name="_xlnm.Print_Area" localSheetId="11">'Channapatna RSD'!$A$1:$K$16</definedName>
    <definedName name="_xlnm.Print_Area" localSheetId="5">Harohally!$A$1:$K$16</definedName>
    <definedName name="_xlnm.Print_Area" localSheetId="0">'P &amp; F Progress Phase-II'!$A$1:$Q$12</definedName>
    <definedName name="_xlnm.Print_Area" localSheetId="8">'P &amp; F Progress Phase-III'!$A$1:$P$11</definedName>
    <definedName name="_xlnm.Print_Area" localSheetId="10">'Ramanagar RSD'!$A$1:$K$16</definedName>
  </definedNames>
  <calcPr calcId="145621"/>
</workbook>
</file>

<file path=xl/calcChain.xml><?xml version="1.0" encoding="utf-8"?>
<calcChain xmlns="http://schemas.openxmlformats.org/spreadsheetml/2006/main">
  <c r="H13" i="27" l="1"/>
  <c r="G13" i="27"/>
  <c r="F13" i="27"/>
  <c r="E13" i="27"/>
  <c r="H11" i="26" l="1"/>
  <c r="F11" i="26"/>
  <c r="E11" i="26"/>
  <c r="H11" i="25"/>
  <c r="F11" i="25"/>
  <c r="F10" i="19" l="1"/>
  <c r="F11" i="20"/>
  <c r="E10" i="26" l="1"/>
  <c r="D11" i="26"/>
  <c r="D10" i="26"/>
  <c r="E11" i="25"/>
  <c r="D11" i="25"/>
  <c r="E10" i="25"/>
  <c r="D10" i="25"/>
  <c r="F11" i="24"/>
  <c r="E11" i="24"/>
  <c r="D11" i="24"/>
  <c r="F10" i="24"/>
  <c r="E10" i="24"/>
  <c r="D10" i="24"/>
  <c r="E10" i="19" l="1"/>
  <c r="D11" i="19"/>
  <c r="D10" i="19"/>
  <c r="E11" i="20" l="1"/>
  <c r="D11" i="20"/>
  <c r="F10" i="20"/>
  <c r="E10" i="20"/>
  <c r="D10" i="20"/>
  <c r="J12" i="19"/>
  <c r="F11" i="18" l="1"/>
  <c r="E11" i="18"/>
  <c r="F11" i="21"/>
  <c r="E11" i="21"/>
  <c r="F10" i="21"/>
  <c r="D11" i="21"/>
  <c r="E10" i="21"/>
  <c r="D10" i="21"/>
  <c r="D11" i="18"/>
  <c r="E10" i="18"/>
  <c r="D10" i="18"/>
  <c r="E11" i="17"/>
  <c r="E10" i="17"/>
  <c r="D11" i="17"/>
  <c r="D10" i="17"/>
  <c r="N10" i="11" l="1"/>
  <c r="M10" i="11"/>
  <c r="M8" i="11"/>
  <c r="M9" i="11"/>
  <c r="N7" i="11"/>
  <c r="M7" i="11"/>
  <c r="I13" i="21" l="1"/>
  <c r="J11" i="13" l="1"/>
  <c r="N8" i="13" l="1"/>
  <c r="N11" i="11"/>
  <c r="M11" i="11"/>
  <c r="N8" i="11"/>
  <c r="N9" i="11"/>
  <c r="A16" i="21"/>
  <c r="A16" i="20"/>
  <c r="A16" i="19"/>
  <c r="A16" i="18"/>
  <c r="A16" i="17"/>
  <c r="N7" i="13" l="1"/>
  <c r="L11" i="11"/>
  <c r="L10" i="11"/>
  <c r="L9" i="11"/>
  <c r="L8" i="11"/>
  <c r="L7" i="11"/>
  <c r="R12" i="11" l="1"/>
  <c r="Q11" i="13" l="1"/>
  <c r="Q12" i="13" s="1"/>
  <c r="I6" i="21" l="1"/>
  <c r="I6" i="20"/>
  <c r="I6" i="19"/>
  <c r="I6" i="24" s="1"/>
  <c r="I5" i="25" s="1"/>
  <c r="I5" i="26" s="1"/>
  <c r="I6" i="18"/>
  <c r="I6" i="17"/>
  <c r="G9" i="23" l="1"/>
  <c r="H9" i="23"/>
  <c r="I9" i="23"/>
  <c r="J9" i="23"/>
  <c r="K9" i="23"/>
  <c r="F9" i="23"/>
  <c r="D11" i="23"/>
  <c r="E11" i="23"/>
  <c r="F11" i="23"/>
  <c r="H11" i="23"/>
  <c r="D12" i="23"/>
  <c r="E12" i="23"/>
  <c r="F12" i="23"/>
  <c r="H12" i="23"/>
  <c r="D13" i="23"/>
  <c r="E13" i="23"/>
  <c r="F13" i="23"/>
  <c r="H13" i="23"/>
  <c r="D14" i="23"/>
  <c r="E14" i="23"/>
  <c r="F14" i="23"/>
  <c r="H14" i="23"/>
  <c r="E10" i="23"/>
  <c r="F10" i="23"/>
  <c r="D10" i="23"/>
  <c r="D13" i="26" l="1"/>
  <c r="D14" i="26" l="1"/>
  <c r="I14" i="26"/>
  <c r="I13" i="26"/>
  <c r="I12" i="26"/>
  <c r="G12" i="26"/>
  <c r="I11" i="26"/>
  <c r="I10" i="26"/>
  <c r="K9" i="26"/>
  <c r="J9" i="26"/>
  <c r="I9" i="26"/>
  <c r="H9" i="26"/>
  <c r="G9" i="26"/>
  <c r="F9" i="26"/>
  <c r="I14" i="25"/>
  <c r="I13" i="25"/>
  <c r="I12" i="25"/>
  <c r="G12" i="25"/>
  <c r="I11" i="25"/>
  <c r="K9" i="25"/>
  <c r="J9" i="25"/>
  <c r="I9" i="25"/>
  <c r="H9" i="25"/>
  <c r="G9" i="25"/>
  <c r="F9" i="25"/>
  <c r="J13" i="26" l="1"/>
  <c r="K13" i="26"/>
  <c r="J14" i="26"/>
  <c r="K14" i="26"/>
  <c r="J11" i="26"/>
  <c r="K11" i="26"/>
  <c r="K10" i="26"/>
  <c r="J10" i="26"/>
  <c r="J14" i="25"/>
  <c r="J13" i="25"/>
  <c r="J11" i="25"/>
  <c r="K14" i="25"/>
  <c r="K11" i="25"/>
  <c r="K13" i="25"/>
  <c r="I14" i="24" l="1"/>
  <c r="M14" i="24" s="1"/>
  <c r="G14" i="23"/>
  <c r="I13" i="24"/>
  <c r="M13" i="24" s="1"/>
  <c r="G13" i="23"/>
  <c r="I12" i="24"/>
  <c r="I12" i="23" s="1"/>
  <c r="G12" i="24"/>
  <c r="G12" i="23" s="1"/>
  <c r="I11" i="24"/>
  <c r="M11" i="24" s="1"/>
  <c r="G11" i="23"/>
  <c r="I10" i="24"/>
  <c r="G10" i="23"/>
  <c r="K9" i="24"/>
  <c r="J9" i="24"/>
  <c r="I9" i="24"/>
  <c r="H9" i="24"/>
  <c r="G9" i="24"/>
  <c r="F9" i="24"/>
  <c r="K13" i="24" l="1"/>
  <c r="I13" i="23"/>
  <c r="K13" i="23" s="1"/>
  <c r="K10" i="24"/>
  <c r="K11" i="24"/>
  <c r="I11" i="23"/>
  <c r="J11" i="23" s="1"/>
  <c r="K14" i="24"/>
  <c r="I14" i="23"/>
  <c r="K14" i="23" s="1"/>
  <c r="J10" i="24"/>
  <c r="J11" i="24"/>
  <c r="J13" i="24"/>
  <c r="J14" i="24"/>
  <c r="J13" i="23"/>
  <c r="J14" i="23" l="1"/>
  <c r="K11" i="23"/>
  <c r="K11" i="13"/>
  <c r="P9" i="11" l="1"/>
  <c r="P10" i="11"/>
  <c r="P11" i="11"/>
  <c r="P7" i="11"/>
  <c r="G9" i="21" l="1"/>
  <c r="H9" i="21"/>
  <c r="I9" i="21"/>
  <c r="J9" i="21"/>
  <c r="K9" i="21"/>
  <c r="F9" i="21"/>
  <c r="G9" i="20"/>
  <c r="H9" i="20"/>
  <c r="I9" i="20"/>
  <c r="J9" i="20"/>
  <c r="K9" i="20"/>
  <c r="F9" i="20"/>
  <c r="G9" i="19"/>
  <c r="H9" i="19"/>
  <c r="I9" i="19"/>
  <c r="J9" i="19"/>
  <c r="K9" i="19"/>
  <c r="F9" i="19"/>
  <c r="G9" i="18"/>
  <c r="H9" i="18"/>
  <c r="I9" i="18"/>
  <c r="J9" i="18"/>
  <c r="K9" i="18"/>
  <c r="F9" i="18"/>
  <c r="G9" i="17"/>
  <c r="H9" i="17"/>
  <c r="I9" i="17"/>
  <c r="J9" i="17"/>
  <c r="K9" i="17"/>
  <c r="F9" i="17"/>
  <c r="H14" i="22"/>
  <c r="I14" i="21"/>
  <c r="D14" i="21"/>
  <c r="H13" i="22"/>
  <c r="F13" i="22"/>
  <c r="E13" i="22"/>
  <c r="D13" i="21"/>
  <c r="D13" i="22" s="1"/>
  <c r="H12" i="22"/>
  <c r="F12" i="22"/>
  <c r="E12" i="22"/>
  <c r="D12" i="21"/>
  <c r="D12" i="22" s="1"/>
  <c r="H11" i="22"/>
  <c r="F11" i="22"/>
  <c r="E11" i="22"/>
  <c r="D11" i="22"/>
  <c r="H10" i="22"/>
  <c r="E10" i="22"/>
  <c r="D10" i="22"/>
  <c r="G13" i="20"/>
  <c r="I11" i="20"/>
  <c r="I13" i="19"/>
  <c r="K13" i="19" s="1"/>
  <c r="I12" i="20"/>
  <c r="I12" i="19"/>
  <c r="K12" i="19" s="1"/>
  <c r="G12" i="19"/>
  <c r="G10" i="17"/>
  <c r="E14" i="22" l="1"/>
  <c r="D14" i="22"/>
  <c r="G13" i="22"/>
  <c r="I11" i="22"/>
  <c r="K11" i="22" s="1"/>
  <c r="G12" i="22"/>
  <c r="I12" i="22"/>
  <c r="K12" i="22" s="1"/>
  <c r="I13" i="22"/>
  <c r="K13" i="22" s="1"/>
  <c r="G10" i="21"/>
  <c r="F10" i="22"/>
  <c r="G10" i="22" s="1"/>
  <c r="F14" i="22"/>
  <c r="G11" i="22"/>
  <c r="J14" i="21"/>
  <c r="G14" i="21"/>
  <c r="K14" i="21"/>
  <c r="K13" i="21"/>
  <c r="I12" i="21"/>
  <c r="J12" i="21" s="1"/>
  <c r="G12" i="21"/>
  <c r="I11" i="21"/>
  <c r="G11" i="21"/>
  <c r="I10" i="21"/>
  <c r="J10" i="21" s="1"/>
  <c r="I14" i="20"/>
  <c r="J14" i="20" s="1"/>
  <c r="G14" i="20"/>
  <c r="I13" i="20"/>
  <c r="K13" i="20" s="1"/>
  <c r="G12" i="20"/>
  <c r="K12" i="20"/>
  <c r="J11" i="20"/>
  <c r="G11" i="20"/>
  <c r="K11" i="20"/>
  <c r="I10" i="20"/>
  <c r="J10" i="20" s="1"/>
  <c r="G10" i="20"/>
  <c r="I14" i="19"/>
  <c r="J14" i="19" s="1"/>
  <c r="G14" i="19"/>
  <c r="K14" i="19"/>
  <c r="G13" i="19"/>
  <c r="I11" i="19"/>
  <c r="J11" i="19" s="1"/>
  <c r="G11" i="19"/>
  <c r="K11" i="19"/>
  <c r="I10" i="19"/>
  <c r="K10" i="19" s="1"/>
  <c r="G10" i="19"/>
  <c r="J13" i="19"/>
  <c r="I14" i="18"/>
  <c r="K14" i="18" s="1"/>
  <c r="G14" i="18"/>
  <c r="I13" i="18"/>
  <c r="J13" i="18" s="1"/>
  <c r="G13" i="18"/>
  <c r="K13" i="18"/>
  <c r="I12" i="18"/>
  <c r="K12" i="18" s="1"/>
  <c r="G12" i="18"/>
  <c r="I11" i="18"/>
  <c r="J11" i="18" s="1"/>
  <c r="G11" i="18"/>
  <c r="I10" i="18"/>
  <c r="J10" i="18" s="1"/>
  <c r="G10" i="18"/>
  <c r="J12" i="18"/>
  <c r="I10" i="17"/>
  <c r="J10" i="17" s="1"/>
  <c r="I11" i="17"/>
  <c r="J11" i="17" s="1"/>
  <c r="I14" i="17"/>
  <c r="J14" i="17" s="1"/>
  <c r="G14" i="17"/>
  <c r="I13" i="17"/>
  <c r="J13" i="17" s="1"/>
  <c r="G13" i="17"/>
  <c r="I12" i="17"/>
  <c r="G12" i="17"/>
  <c r="G11" i="17"/>
  <c r="J10" i="19" l="1"/>
  <c r="K11" i="21"/>
  <c r="J11" i="21"/>
  <c r="K11" i="18"/>
  <c r="K11" i="17"/>
  <c r="J13" i="22"/>
  <c r="I10" i="22"/>
  <c r="K10" i="22" s="1"/>
  <c r="K10" i="18"/>
  <c r="J14" i="18"/>
  <c r="J13" i="21"/>
  <c r="J11" i="22"/>
  <c r="G14" i="22"/>
  <c r="I14" i="22"/>
  <c r="K10" i="21"/>
  <c r="J12" i="22"/>
  <c r="K12" i="21"/>
  <c r="K14" i="20"/>
  <c r="J13" i="20"/>
  <c r="K10" i="20"/>
  <c r="K10" i="17"/>
  <c r="J12" i="17"/>
  <c r="K12" i="17"/>
  <c r="K13" i="17"/>
  <c r="K14" i="17"/>
  <c r="J10" i="22" l="1"/>
  <c r="K14" i="22"/>
  <c r="J14" i="22"/>
  <c r="O8" i="13" l="1"/>
  <c r="O9" i="13"/>
  <c r="O7" i="13"/>
  <c r="I11" i="13"/>
  <c r="F11" i="13"/>
  <c r="E11" i="13"/>
  <c r="G9" i="13"/>
  <c r="G8" i="13"/>
  <c r="G7" i="13"/>
  <c r="M11" i="13"/>
  <c r="L11" i="13"/>
  <c r="N11" i="13"/>
  <c r="P8" i="11"/>
  <c r="G11" i="13" l="1"/>
  <c r="L12" i="11"/>
  <c r="O11" i="13"/>
  <c r="G8" i="11"/>
  <c r="G9" i="11"/>
  <c r="G10" i="11"/>
  <c r="G11" i="11"/>
  <c r="G7" i="11"/>
  <c r="E12" i="11"/>
  <c r="I12" i="11"/>
  <c r="J12" i="11"/>
  <c r="K12" i="11"/>
  <c r="M12" i="11"/>
  <c r="N12" i="11"/>
  <c r="P12" i="11" s="1"/>
  <c r="F12" i="11"/>
  <c r="O8" i="11"/>
  <c r="O9" i="11"/>
  <c r="O10" i="11"/>
  <c r="O11" i="11"/>
  <c r="O7" i="11"/>
  <c r="G12" i="11" l="1"/>
  <c r="O12" i="11"/>
  <c r="I10" i="25" l="1"/>
  <c r="H10" i="23"/>
  <c r="K10" i="25" l="1"/>
  <c r="M10" i="25"/>
  <c r="I10" i="23"/>
  <c r="J10" i="25"/>
  <c r="K10" i="23" l="1"/>
  <c r="J10" i="23"/>
</calcChain>
</file>

<file path=xl/sharedStrings.xml><?xml version="1.0" encoding="utf-8"?>
<sst xmlns="http://schemas.openxmlformats.org/spreadsheetml/2006/main" count="335" uniqueCount="126">
  <si>
    <t>HIGH VOLTAGE DISTRIBUTION SYSTEM (HVDS)</t>
  </si>
  <si>
    <t>Total</t>
  </si>
  <si>
    <t>Kanakapura Urban</t>
  </si>
  <si>
    <t>Kanakapura Rural</t>
  </si>
  <si>
    <t>Harohally</t>
  </si>
  <si>
    <t xml:space="preserve">Sathnur </t>
  </si>
  <si>
    <t>Name of the Sub Division</t>
  </si>
  <si>
    <t>Name of the firm</t>
  </si>
  <si>
    <t xml:space="preserve">DWA issued on </t>
  </si>
  <si>
    <t>No. of feeders work under progress</t>
  </si>
  <si>
    <t>04.12.2015</t>
  </si>
  <si>
    <t>20.11.2015</t>
  </si>
  <si>
    <t>06.10.2015</t>
  </si>
  <si>
    <t>Remarks</t>
  </si>
  <si>
    <t>BESCOM Portion</t>
  </si>
  <si>
    <t>Agency Portion</t>
  </si>
  <si>
    <t xml:space="preserve">Total </t>
  </si>
  <si>
    <t>M/s. Raja Electricals, Tumkur</t>
  </si>
  <si>
    <t>M/s. Sri. Lakshmi narasimha Electricals, Tumkur</t>
  </si>
  <si>
    <t>No. of feeders Proposed</t>
  </si>
  <si>
    <t>Expenditure Incurred 
(Rs. in Crores)</t>
  </si>
  <si>
    <t>BESCOM portion</t>
  </si>
  <si>
    <t>BANGALORE ELECTRICITY SUPPLY COMPANY LIMITED</t>
  </si>
  <si>
    <t>No. of Feeders Completed &amp; Commissioned</t>
  </si>
  <si>
    <t>M/s. Sri Manju Electricals, Tumkur</t>
  </si>
  <si>
    <t xml:space="preserve">M/s. Shivachetana Electricals, Sindhanur </t>
  </si>
  <si>
    <t>Sl. No.</t>
  </si>
  <si>
    <t>Work under Progress</t>
  </si>
  <si>
    <t>M/s. SPR Construction,
Hyderabad</t>
  </si>
  <si>
    <t>DWA Cost (Agency)</t>
  </si>
  <si>
    <t>Ramanagar Rural</t>
  </si>
  <si>
    <t>03.06.2017</t>
  </si>
  <si>
    <t>Channapatna Rural</t>
  </si>
  <si>
    <t>Channapatna Urban</t>
  </si>
  <si>
    <t>Bidadi</t>
  </si>
  <si>
    <t>M/s. Ramalingam Constructions Co. Pvt Ltd
in JV with 
M/s Integrated Lighting
Technologies Pvt., Ltd.,</t>
  </si>
  <si>
    <t>M/s. KGN Electricals, Tumkur</t>
  </si>
  <si>
    <t>No. of feeders work to be taken up</t>
  </si>
  <si>
    <t>Name of Division</t>
  </si>
  <si>
    <t>Kanaka pura</t>
  </si>
  <si>
    <t>Tumkur</t>
  </si>
  <si>
    <t>Name of the Work</t>
  </si>
  <si>
    <t>Unit</t>
  </si>
  <si>
    <t>Qty as per DWA</t>
  </si>
  <si>
    <t>Qty as per Survey</t>
  </si>
  <si>
    <t>% Physical progress against Survey Qty</t>
  </si>
  <si>
    <t>No's</t>
  </si>
  <si>
    <t>Name of Executing Agency: M/s. SPR Construction, Hyderabad</t>
  </si>
  <si>
    <t>Name of Sub Division: Kanakapura Urban</t>
  </si>
  <si>
    <t>Conversion of Existing LT line into HT line</t>
  </si>
  <si>
    <t>KM's</t>
  </si>
  <si>
    <t>Running of New LT line using LT AB size of 3X35+1X25 Sq mm</t>
  </si>
  <si>
    <t>Running of New of 11KV line using AB cable</t>
  </si>
  <si>
    <t>Extension of new 11KV line</t>
  </si>
  <si>
    <t>% Physical progress against DWA Qty</t>
  </si>
  <si>
    <t>DWA Cost (Agency Portion): Rs. 24.14 Crores</t>
  </si>
  <si>
    <t>Name of Sub Division: Kanakapura Rural</t>
  </si>
  <si>
    <t>Name of Executing Agency: M/s. Raja Electricals, Tumkur</t>
  </si>
  <si>
    <t>DWA Cost (Agency Portion): Rs. 20.37 Crores</t>
  </si>
  <si>
    <t>Name of Executing Agency: M/s. Shivachetana Electricals, Sindhanur</t>
  </si>
  <si>
    <t>Name of Sub Division: Harohally</t>
  </si>
  <si>
    <t>DWA Cost (Agency Portion): Rs. 20.03 Crores</t>
  </si>
  <si>
    <t>Name of Sub Division: Sathanur</t>
  </si>
  <si>
    <t>Name of Executing Agency: M/s. Sri Manju Electricals, Tumkur</t>
  </si>
  <si>
    <t>DWA Cost (Agency Portion): Rs. 17.05 Crores</t>
  </si>
  <si>
    <t>Erection &amp; Commissioning of 3Star 25kVA DTC’s</t>
  </si>
  <si>
    <t>Name of Sub Division: Huliyurdurga</t>
  </si>
  <si>
    <t>Name of Executing Agency: M/s. Sri. Lakshminarasimha Electricals, Tumkur</t>
  </si>
  <si>
    <t>DWA Cost (Agency Portion): Rs. 16.65 Crores</t>
  </si>
  <si>
    <t>% Progress of Agency portion</t>
  </si>
  <si>
    <t>Ramanagara</t>
  </si>
  <si>
    <t>No. of Feeders Completed</t>
  </si>
  <si>
    <t>No. of Feeders Commissioned</t>
  </si>
  <si>
    <t>HIGH VOLTAGE DISTRIBUTION SYSTEM (HVDS) PHASE-II</t>
  </si>
  <si>
    <t>HIGH VOLTAGE DISTRIBUTION SYSTEM (HVDS) PHASE-III</t>
  </si>
  <si>
    <t>Name of Executing Agency: M/s. K.G.N Electricals, Tumkur</t>
  </si>
  <si>
    <t>DWA Cost (Agency Portion): Rs. 46.25 Crores</t>
  </si>
  <si>
    <t xml:space="preserve">Huliyurdurga </t>
  </si>
  <si>
    <t>Note: The target date fixed for completion of the project is 12 months from the date of issue of DWA. The DWA is issued on 03.06.2017</t>
  </si>
  <si>
    <t>DWA Cost (Agency Portion): Rs. 62.25 Crores</t>
  </si>
  <si>
    <t>Name of Sub Division: Channapatna Rural S/D</t>
  </si>
  <si>
    <t>Name of Sub Division: Ramanagara Rural S/D</t>
  </si>
  <si>
    <t>Name of Sub Division: Channapatna Urban &amp; Bidadi S/D</t>
  </si>
  <si>
    <t>Name of Executing Agency: M/s. Ramalingam Constructions Co. Pvt Ltdin JV with M/s Integrated Lighting Technologies Pvt., Ltd.,</t>
  </si>
  <si>
    <t>Name of Executing Agency: M/s. Rajashree Electricals, Davanagere
in JV with
 M/s. BVG India Ltd.</t>
  </si>
  <si>
    <t>M/s. Rajashree Electricals, Davanagere
in JV with
M/s. BVG India Ltd.</t>
  </si>
  <si>
    <t>DWA Cost (Agency Portion): Rs. 53.53 Crores</t>
  </si>
  <si>
    <t>Note: The target date fixed for completion of the project is 12 months from the date of issue of DWA.</t>
  </si>
  <si>
    <t xml:space="preserve">CUMULATIVE PHYSICAL PROGRESS OF HVDS WORKS </t>
  </si>
  <si>
    <t>26.10.2017</t>
  </si>
  <si>
    <t>Note: The target date fixed for completion of the project is 12 months from the date of issue of DWA. Due to delay in submission of CPG by agency, the DWA have been issued on 26.10.2017</t>
  </si>
  <si>
    <t>Awarded Cost
(Rs. in Crores)</t>
  </si>
  <si>
    <t>Note: The target date fixed for completion of the project is 18 months from the date of issue of DWA. Further, the completion period is extended up to 31.03.2018 &amp; works are under progress.</t>
  </si>
  <si>
    <r>
      <t xml:space="preserve">Progress as on prev month
</t>
    </r>
    <r>
      <rPr>
        <b/>
        <sz val="11"/>
        <color rgb="FFFF0000"/>
        <rFont val="Bookman Old Style"/>
        <family val="1"/>
      </rPr>
      <t>(Dec-2017)</t>
    </r>
  </si>
  <si>
    <r>
      <t xml:space="preserve">Target fixed for the month of </t>
    </r>
    <r>
      <rPr>
        <b/>
        <sz val="11"/>
        <color rgb="FFFF0000"/>
        <rFont val="Bookman Old Style"/>
        <family val="1"/>
      </rPr>
      <t>Jan-2018</t>
    </r>
  </si>
  <si>
    <r>
      <t xml:space="preserve">Progress for the month of </t>
    </r>
    <r>
      <rPr>
        <b/>
        <sz val="11"/>
        <color rgb="FFFF0000"/>
        <rFont val="Bookman Old Style"/>
        <family val="1"/>
      </rPr>
      <t>Jan-2018</t>
    </r>
  </si>
  <si>
    <r>
      <t xml:space="preserve">Physical &amp; Financial Progress of HVDS Phase-II works awarded on PTK basis </t>
    </r>
    <r>
      <rPr>
        <b/>
        <sz val="12"/>
        <color rgb="FFFF0000"/>
        <rFont val="Bookman Old Style"/>
        <family val="1"/>
      </rPr>
      <t>as on 31.01.2018</t>
    </r>
  </si>
  <si>
    <t>As on 31.01.2018</t>
  </si>
  <si>
    <r>
      <t xml:space="preserve">Physical &amp; Financial Progress of HVDS Phase-III works awarded on TTK basis </t>
    </r>
    <r>
      <rPr>
        <b/>
        <sz val="12"/>
        <color rgb="FFFF0000"/>
        <rFont val="Bookman Old Style"/>
        <family val="1"/>
      </rPr>
      <t>as on 31.01.2018</t>
    </r>
  </si>
  <si>
    <r>
      <t xml:space="preserve">CUMULATIVE PHYSICAL PROGRESS OF HVDS WORKS </t>
    </r>
    <r>
      <rPr>
        <b/>
        <sz val="14"/>
        <color rgb="FFFF0000"/>
        <rFont val="Bookman Old Style"/>
        <family val="1"/>
      </rPr>
      <t>AS ON 31.01.2018</t>
    </r>
  </si>
  <si>
    <r>
      <t>Cumulative Progress as on</t>
    </r>
    <r>
      <rPr>
        <b/>
        <sz val="11"/>
        <color rgb="FFFF0000"/>
        <rFont val="Bookman Old Style"/>
        <family val="1"/>
      </rPr>
      <t xml:space="preserve"> Jan-2018</t>
    </r>
  </si>
  <si>
    <r>
      <t xml:space="preserve"> Physical Progress in respect of HVDS works entrusted on TTK basis under Rate Contract as on </t>
    </r>
    <r>
      <rPr>
        <b/>
        <sz val="16"/>
        <color rgb="FFFF0000"/>
        <rFont val="Bookman Old Style"/>
        <family val="1"/>
      </rPr>
      <t>31.01.2018</t>
    </r>
  </si>
  <si>
    <t>Sl No</t>
  </si>
  <si>
    <t xml:space="preserve">Name of the Sub-division </t>
  </si>
  <si>
    <t xml:space="preserve">R.C issued on </t>
  </si>
  <si>
    <t xml:space="preserve">LOI issued on </t>
  </si>
  <si>
    <t xml:space="preserve">No. of Proposed HVDS feeders  </t>
  </si>
  <si>
    <t xml:space="preserve">Project (LOI)  Cost in Cr. </t>
  </si>
  <si>
    <t>Revised Project cost as per RC in Crs.</t>
  </si>
  <si>
    <t>Cummulative expenditure booked in crs</t>
  </si>
  <si>
    <t>Work Status</t>
  </si>
  <si>
    <t xml:space="preserve">Tumkur RSD–1   </t>
  </si>
  <si>
    <t xml:space="preserve">08.05.2013 </t>
  </si>
  <si>
    <t>21.03.2013</t>
  </si>
  <si>
    <t>Completed &amp; commissioned</t>
  </si>
  <si>
    <t xml:space="preserve">Tumkur RSD-2    </t>
  </si>
  <si>
    <t>Chikkaballapura</t>
  </si>
  <si>
    <t>08.05.2013</t>
  </si>
  <si>
    <t>Doddaballapura</t>
  </si>
  <si>
    <t>20.02.2014</t>
  </si>
  <si>
    <t>08.01.2014</t>
  </si>
  <si>
    <t>Tumkur RSD-1</t>
  </si>
  <si>
    <t>-</t>
  </si>
  <si>
    <t>28 no's of feeders Re-designated from D.B pura &amp; Kengeri</t>
  </si>
  <si>
    <t>Tumkur RSD-2</t>
  </si>
  <si>
    <t>CSD-3 Kyathsandra</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</si>
</sst>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b/>
      <sz val="12"/>
      <color theme="1"/>
      <name val="Bookman Old Style"/>
      <family val="1"/>
    </font>
    <font>
      <sz val="11"/>
      <color theme="1"/>
      <name val="Bookman Old Style"/>
      <family val="1"/>
    </font>
    <font>
      <b/>
      <sz val="18"/>
      <color theme="1"/>
      <name val="Bookman Old Style"/>
      <family val="1"/>
    </font>
    <font>
      <b/>
      <sz val="14"/>
      <color theme="1"/>
      <name val="Bookman Old Style"/>
      <family val="1"/>
    </font>
    <font>
      <sz val="11"/>
      <name val="Bookman Old Style"/>
      <family val="1"/>
    </font>
    <font>
      <b/>
      <sz val="12"/>
      <name val="Bookman Old Style"/>
      <family val="1"/>
    </font>
    <font>
      <sz val="12"/>
      <name val="Bookman Old Style"/>
      <family val="1"/>
    </font>
    <font>
      <b/>
      <sz val="10"/>
      <color rgb="FF000000"/>
      <name val="Bookman Old Style"/>
      <family val="1"/>
    </font>
    <font>
      <b/>
      <sz val="11"/>
      <color theme="1"/>
      <name val="Calibri"/>
      <family val="2"/>
      <scheme val="minor"/>
    </font>
    <font>
      <sz val="10"/>
      <color rgb="FF000000"/>
      <name val="Bookman Old Style"/>
      <family val="1"/>
    </font>
    <font>
      <b/>
      <sz val="12"/>
      <color rgb="FFFF0000"/>
      <name val="Bookman Old Style"/>
      <family val="1"/>
    </font>
    <font>
      <b/>
      <sz val="11"/>
      <color rgb="FFFF0000"/>
      <name val="Calibri"/>
      <family val="2"/>
      <scheme val="minor"/>
    </font>
    <font>
      <b/>
      <sz val="11"/>
      <color rgb="FF000000"/>
      <name val="Bookman Old Style"/>
      <family val="1"/>
    </font>
    <font>
      <b/>
      <sz val="11"/>
      <color theme="1"/>
      <name val="Bookman Old Style"/>
      <family val="1"/>
    </font>
    <font>
      <b/>
      <sz val="12"/>
      <color rgb="FF000000"/>
      <name val="Bookman Old Style"/>
      <family val="1"/>
    </font>
    <font>
      <b/>
      <sz val="11"/>
      <color rgb="FF000000"/>
      <name val="Bookman Old Style"/>
      <family val="1"/>
    </font>
    <font>
      <sz val="12"/>
      <color theme="1"/>
      <name val="Bookman Old Style"/>
      <family val="1"/>
    </font>
    <font>
      <b/>
      <sz val="14"/>
      <color rgb="FF000000"/>
      <name val="Bookman Old Style"/>
      <family val="1"/>
    </font>
    <font>
      <sz val="11"/>
      <color rgb="FF000000"/>
      <name val="Bookman Old Style"/>
      <family val="1"/>
    </font>
    <font>
      <b/>
      <sz val="11"/>
      <name val="Bookman Old Style"/>
      <family val="1"/>
    </font>
    <font>
      <b/>
      <sz val="16"/>
      <color theme="1"/>
      <name val="Bookman Old Style"/>
      <family val="1"/>
    </font>
    <font>
      <b/>
      <sz val="14"/>
      <color rgb="FFFF0000"/>
      <name val="Bookman Old Style"/>
      <family val="1"/>
    </font>
    <font>
      <b/>
      <sz val="11"/>
      <color rgb="FFFF0000"/>
      <name val="Bookman Old Style"/>
      <family val="1"/>
    </font>
    <font>
      <sz val="10"/>
      <name val="Bookman Old Style"/>
      <family val="1"/>
    </font>
    <font>
      <b/>
      <sz val="10"/>
      <name val="Bookman Old Style"/>
      <family val="1"/>
    </font>
    <font>
      <b/>
      <sz val="11"/>
      <name val="Calibri"/>
      <family val="2"/>
      <scheme val="minor"/>
    </font>
    <font>
      <b/>
      <sz val="20"/>
      <color theme="1"/>
      <name val="Bookman Old Style"/>
      <family val="1"/>
    </font>
    <font>
      <sz val="14"/>
      <color theme="1"/>
      <name val="Bookman Old Style"/>
      <family val="1"/>
    </font>
    <font>
      <b/>
      <sz val="16"/>
      <color rgb="FFFF0000"/>
      <name val="Bookman Old Style"/>
      <family val="1"/>
    </font>
    <font>
      <sz val="14"/>
      <name val="Bookman Old Style"/>
      <family val="1"/>
    </font>
    <font>
      <b/>
      <sz val="14"/>
      <name val="Bookman Old Style"/>
      <family val="1"/>
    </font>
    <font>
      <sz val="14"/>
      <color rgb="FFFF0000"/>
      <name val="Bookman Old Style"/>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133">
    <xf numFmtId="0" fontId="0" fillId="0" borderId="0" xfId="0"/>
    <xf numFmtId="0" fontId="8" fillId="0" borderId="1" xfId="0" applyFont="1" applyBorder="1" applyAlignment="1">
      <alignment horizontal="center" vertical="center" wrapText="1" readingOrder="1"/>
    </xf>
    <xf numFmtId="0" fontId="9" fillId="0" borderId="0" xfId="0" applyFont="1"/>
    <xf numFmtId="0" fontId="10" fillId="0" borderId="1" xfId="0" applyFont="1" applyBorder="1" applyAlignment="1">
      <alignment horizontal="center" vertical="center" wrapText="1" readingOrder="1"/>
    </xf>
    <xf numFmtId="0" fontId="8" fillId="0" borderId="2" xfId="0" applyFont="1" applyBorder="1" applyAlignment="1">
      <alignment horizontal="center" vertical="center" wrapText="1" readingOrder="1"/>
    </xf>
    <xf numFmtId="2"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readingOrder="1"/>
    </xf>
    <xf numFmtId="0" fontId="9" fillId="0" borderId="0" xfId="0" applyFont="1" applyFill="1"/>
    <xf numFmtId="2" fontId="10" fillId="0" borderId="1" xfId="0" applyNumberFormat="1" applyFont="1" applyFill="1" applyBorder="1" applyAlignment="1">
      <alignment horizontal="center" vertical="center" wrapText="1"/>
    </xf>
    <xf numFmtId="2" fontId="10" fillId="0" borderId="1" xfId="0" applyNumberFormat="1" applyFont="1" applyFill="1" applyBorder="1" applyAlignment="1">
      <alignment horizontal="center" vertical="center" wrapText="1" readingOrder="1"/>
    </xf>
    <xf numFmtId="0" fontId="10" fillId="0" borderId="1" xfId="0" applyFont="1" applyFill="1" applyBorder="1" applyAlignment="1">
      <alignment horizontal="center" vertical="center" wrapText="1" readingOrder="1"/>
    </xf>
    <xf numFmtId="0" fontId="9" fillId="0" borderId="0" xfId="0" applyFont="1" applyAlignment="1">
      <alignment vertical="center"/>
    </xf>
    <xf numFmtId="2" fontId="12" fillId="0" borderId="0" xfId="0" applyNumberFormat="1" applyFont="1" applyAlignment="1">
      <alignment vertical="center"/>
    </xf>
    <xf numFmtId="0" fontId="8" fillId="0" borderId="1" xfId="0" applyFont="1" applyBorder="1" applyAlignment="1">
      <alignment horizontal="center" vertical="center" wrapText="1" readingOrder="1"/>
    </xf>
    <xf numFmtId="0" fontId="8" fillId="0" borderId="1" xfId="0" applyFont="1" applyFill="1" applyBorder="1" applyAlignment="1">
      <alignment horizontal="center" vertical="center" wrapText="1" readingOrder="1"/>
    </xf>
    <xf numFmtId="0" fontId="8" fillId="0" borderId="2" xfId="0" applyFont="1" applyBorder="1" applyAlignment="1">
      <alignment horizontal="center" vertical="center" wrapText="1" readingOrder="1"/>
    </xf>
    <xf numFmtId="2" fontId="10" fillId="0" borderId="1" xfId="0" applyNumberFormat="1" applyFont="1" applyBorder="1" applyAlignment="1">
      <alignment horizontal="center" vertical="center" wrapText="1" readingOrder="1"/>
    </xf>
    <xf numFmtId="2" fontId="8" fillId="0" borderId="1" xfId="0" applyNumberFormat="1" applyFont="1" applyBorder="1" applyAlignment="1">
      <alignment horizontal="center" vertical="center" wrapText="1" readingOrder="1"/>
    </xf>
    <xf numFmtId="0" fontId="8" fillId="0" borderId="1" xfId="0" applyFont="1" applyBorder="1" applyAlignment="1">
      <alignment horizontal="center" vertical="center" wrapText="1" readingOrder="1"/>
    </xf>
    <xf numFmtId="0" fontId="8" fillId="0" borderId="1" xfId="0" applyFont="1" applyFill="1" applyBorder="1" applyAlignment="1">
      <alignment horizontal="center" vertical="center" wrapText="1" readingOrder="1"/>
    </xf>
    <xf numFmtId="0" fontId="4" fillId="0" borderId="0" xfId="0" applyFont="1" applyAlignment="1">
      <alignment horizontal="center" vertical="center"/>
    </xf>
    <xf numFmtId="0" fontId="8" fillId="0" borderId="1" xfId="0" applyFont="1" applyFill="1" applyBorder="1" applyAlignment="1">
      <alignment horizontal="center" vertical="center" wrapText="1" readingOrder="1"/>
    </xf>
    <xf numFmtId="0" fontId="15" fillId="0" borderId="0" xfId="0" applyFont="1" applyBorder="1" applyAlignment="1">
      <alignment vertical="center" readingOrder="1"/>
    </xf>
    <xf numFmtId="0" fontId="7" fillId="0" borderId="0" xfId="0" applyFont="1" applyBorder="1" applyAlignment="1">
      <alignment vertical="center" wrapText="1"/>
    </xf>
    <xf numFmtId="0" fontId="18" fillId="0" borderId="0" xfId="0" applyFont="1" applyBorder="1" applyAlignment="1">
      <alignment vertical="center" readingOrder="1"/>
    </xf>
    <xf numFmtId="0" fontId="18" fillId="0" borderId="0" xfId="0" applyFont="1" applyAlignment="1">
      <alignment vertical="center" readingOrder="1"/>
    </xf>
    <xf numFmtId="0" fontId="16"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2" fontId="16" fillId="0" borderId="1" xfId="0" applyNumberFormat="1" applyFont="1" applyBorder="1" applyAlignment="1">
      <alignment horizontal="center" vertical="center" wrapText="1" readingOrder="1"/>
    </xf>
    <xf numFmtId="2" fontId="19" fillId="0" borderId="1" xfId="0" applyNumberFormat="1" applyFont="1" applyBorder="1" applyAlignment="1">
      <alignment horizontal="center" vertical="center" wrapText="1" readingOrder="1"/>
    </xf>
    <xf numFmtId="10" fontId="16" fillId="0" borderId="1" xfId="0" applyNumberFormat="1" applyFont="1" applyBorder="1" applyAlignment="1">
      <alignment horizontal="center" vertical="center" wrapText="1" readingOrder="1"/>
    </xf>
    <xf numFmtId="10" fontId="14" fillId="0" borderId="1" xfId="0" applyNumberFormat="1" applyFont="1" applyBorder="1" applyAlignment="1">
      <alignment horizontal="center" vertical="center"/>
    </xf>
    <xf numFmtId="0" fontId="16" fillId="0" borderId="1" xfId="0" applyFont="1" applyBorder="1" applyAlignment="1">
      <alignment horizontal="justify" vertical="center" wrapText="1" readingOrder="1"/>
    </xf>
    <xf numFmtId="2" fontId="20"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0" fontId="16" fillId="0" borderId="1" xfId="0" applyFont="1" applyFill="1" applyBorder="1" applyAlignment="1">
      <alignment horizontal="justify" vertical="center" wrapText="1" readingOrder="1"/>
    </xf>
    <xf numFmtId="1" fontId="14"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1" fontId="19" fillId="0" borderId="1" xfId="0" applyNumberFormat="1" applyFont="1" applyBorder="1" applyAlignment="1">
      <alignment horizontal="center" vertical="center" wrapText="1" readingOrder="1"/>
    </xf>
    <xf numFmtId="1" fontId="16" fillId="0" borderId="1" xfId="0" applyNumberFormat="1" applyFont="1" applyBorder="1" applyAlignment="1">
      <alignment horizontal="center" vertical="center" wrapText="1" readingOrder="1"/>
    </xf>
    <xf numFmtId="0" fontId="17" fillId="0" borderId="0" xfId="0" applyFont="1" applyAlignment="1">
      <alignment vertical="center"/>
    </xf>
    <xf numFmtId="10" fontId="8" fillId="0" borderId="1" xfId="0" applyNumberFormat="1" applyFont="1" applyFill="1" applyBorder="1" applyAlignment="1">
      <alignment horizontal="center" vertical="center" wrapText="1"/>
    </xf>
    <xf numFmtId="0" fontId="4" fillId="0" borderId="0" xfId="0" applyFont="1" applyAlignment="1">
      <alignment horizontal="center" vertical="center"/>
    </xf>
    <xf numFmtId="0" fontId="8" fillId="0" borderId="1" xfId="0" applyFont="1" applyBorder="1" applyAlignment="1">
      <alignment horizontal="center" vertical="center" wrapText="1" readingOrder="1"/>
    </xf>
    <xf numFmtId="2" fontId="17" fillId="0" borderId="0" xfId="0" applyNumberFormat="1" applyFont="1" applyAlignment="1">
      <alignment vertical="center"/>
    </xf>
    <xf numFmtId="1" fontId="17" fillId="0" borderId="0" xfId="0" applyNumberFormat="1" applyFont="1" applyAlignment="1">
      <alignment vertical="center"/>
    </xf>
    <xf numFmtId="0" fontId="22" fillId="0" borderId="0" xfId="0" applyFont="1" applyAlignment="1">
      <alignment vertical="center" readingOrder="1"/>
    </xf>
    <xf numFmtId="0" fontId="24" fillId="0" borderId="1" xfId="0" applyFont="1" applyFill="1" applyBorder="1" applyAlignment="1">
      <alignment horizontal="center" vertical="center" wrapText="1" readingOrder="1"/>
    </xf>
    <xf numFmtId="0" fontId="25" fillId="0" borderId="1" xfId="0" applyFont="1" applyFill="1" applyBorder="1" applyAlignment="1">
      <alignment horizontal="center" vertical="center" wrapText="1" readingOrder="1"/>
    </xf>
    <xf numFmtId="2" fontId="25" fillId="0" borderId="1" xfId="0" applyNumberFormat="1" applyFont="1" applyFill="1" applyBorder="1" applyAlignment="1">
      <alignment horizontal="center" vertical="center" wrapText="1" readingOrder="1"/>
    </xf>
    <xf numFmtId="2" fontId="25" fillId="0" borderId="1" xfId="0" applyNumberFormat="1" applyFont="1" applyFill="1" applyBorder="1" applyAlignment="1">
      <alignment horizontal="center" vertical="center" wrapText="1"/>
    </xf>
    <xf numFmtId="10" fontId="25" fillId="0" borderId="1" xfId="0" applyNumberFormat="1" applyFont="1" applyFill="1" applyBorder="1" applyAlignment="1">
      <alignment horizontal="center" vertical="center" wrapText="1"/>
    </xf>
    <xf numFmtId="2" fontId="24" fillId="0" borderId="1" xfId="0" applyNumberFormat="1" applyFont="1" applyFill="1" applyBorder="1" applyAlignment="1">
      <alignment horizontal="center" vertical="center" wrapText="1"/>
    </xf>
    <xf numFmtId="0" fontId="26" fillId="2" borderId="0" xfId="0" applyFont="1" applyFill="1"/>
    <xf numFmtId="2" fontId="26" fillId="2" borderId="0" xfId="0" applyNumberFormat="1" applyFont="1" applyFill="1" applyAlignment="1">
      <alignment vertical="center"/>
    </xf>
    <xf numFmtId="2" fontId="9" fillId="0" borderId="0" xfId="0" applyNumberFormat="1" applyFont="1" applyAlignment="1">
      <alignment vertical="center"/>
    </xf>
    <xf numFmtId="0" fontId="26" fillId="2" borderId="0" xfId="0" applyFont="1" applyFill="1" applyAlignment="1">
      <alignment vertical="center"/>
    </xf>
    <xf numFmtId="0" fontId="8" fillId="0" borderId="1" xfId="0" applyFont="1" applyFill="1" applyBorder="1" applyAlignment="1">
      <alignment horizontal="center" vertical="center" wrapText="1" readingOrder="1"/>
    </xf>
    <xf numFmtId="0" fontId="22" fillId="0" borderId="0" xfId="0" applyFont="1" applyAlignment="1">
      <alignment vertical="center"/>
    </xf>
    <xf numFmtId="0" fontId="13" fillId="0" borderId="1" xfId="0" applyFont="1" applyBorder="1" applyAlignment="1">
      <alignment horizontal="center" vertical="center" wrapText="1" readingOrder="1"/>
    </xf>
    <xf numFmtId="2" fontId="13" fillId="0" borderId="1" xfId="0" applyNumberFormat="1" applyFont="1" applyBorder="1" applyAlignment="1">
      <alignment horizontal="center" vertical="center" wrapText="1" readingOrder="1"/>
    </xf>
    <xf numFmtId="0" fontId="13" fillId="0" borderId="1" xfId="0" applyFont="1" applyBorder="1" applyAlignment="1">
      <alignment horizontal="center" vertical="center" wrapText="1" readingOrder="1"/>
    </xf>
    <xf numFmtId="2" fontId="20" fillId="0" borderId="1" xfId="0" applyNumberFormat="1" applyFont="1" applyBorder="1" applyAlignment="1">
      <alignment horizontal="center" vertical="center" wrapText="1" readingOrder="1"/>
    </xf>
    <xf numFmtId="1" fontId="20" fillId="0" borderId="1" xfId="0" applyNumberFormat="1" applyFont="1" applyBorder="1" applyAlignment="1">
      <alignment horizontal="center" vertical="center"/>
    </xf>
    <xf numFmtId="0" fontId="8" fillId="0" borderId="1" xfId="0" applyFont="1" applyBorder="1" applyAlignment="1">
      <alignment horizontal="center" vertical="center" wrapText="1" readingOrder="1"/>
    </xf>
    <xf numFmtId="0" fontId="8" fillId="0" borderId="6" xfId="0" applyFont="1" applyBorder="1" applyAlignment="1">
      <alignment horizontal="center" vertical="center" wrapText="1" readingOrder="1"/>
    </xf>
    <xf numFmtId="0" fontId="8" fillId="0" borderId="7" xfId="0" applyFont="1" applyBorder="1" applyAlignment="1">
      <alignment horizontal="center" vertical="center" wrapText="1" readingOrder="1"/>
    </xf>
    <xf numFmtId="0" fontId="8" fillId="0" borderId="8" xfId="0" applyFont="1" applyBorder="1" applyAlignment="1">
      <alignment horizontal="center" vertical="center" wrapText="1" readingOrder="1"/>
    </xf>
    <xf numFmtId="0" fontId="8" fillId="0" borderId="1" xfId="0" applyFont="1" applyFill="1" applyBorder="1" applyAlignment="1">
      <alignment horizontal="center" vertical="center" wrapText="1" readingOrder="1"/>
    </xf>
    <xf numFmtId="0" fontId="8" fillId="0" borderId="2"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10" fillId="0" borderId="2" xfId="0" applyFont="1" applyBorder="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3" xfId="0" applyFont="1" applyBorder="1" applyAlignment="1">
      <alignment horizontal="center" vertical="center" wrapText="1" readingOrder="1"/>
    </xf>
    <xf numFmtId="0" fontId="3" fillId="0" borderId="0" xfId="0" applyFon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wrapText="1"/>
    </xf>
    <xf numFmtId="0" fontId="8" fillId="0" borderId="6" xfId="0" applyFont="1" applyFill="1" applyBorder="1" applyAlignment="1">
      <alignment horizontal="center" vertical="center" wrapText="1" readingOrder="1"/>
    </xf>
    <xf numFmtId="0" fontId="8" fillId="0" borderId="7" xfId="0" applyFont="1" applyFill="1" applyBorder="1" applyAlignment="1">
      <alignment horizontal="center" vertical="center" wrapText="1" readingOrder="1"/>
    </xf>
    <xf numFmtId="0" fontId="8" fillId="0" borderId="8" xfId="0" applyFont="1" applyFill="1" applyBorder="1" applyAlignment="1">
      <alignment horizontal="center" vertical="center" wrapText="1" readingOrder="1"/>
    </xf>
    <xf numFmtId="0" fontId="21" fillId="0" borderId="0" xfId="0" applyFont="1" applyAlignment="1">
      <alignment horizontal="center" vertical="center"/>
    </xf>
    <xf numFmtId="0" fontId="1" fillId="2" borderId="1" xfId="0" applyFont="1" applyFill="1" applyBorder="1" applyAlignment="1">
      <alignment horizontal="justify" vertical="center" wrapText="1"/>
    </xf>
    <xf numFmtId="0" fontId="1" fillId="2" borderId="1" xfId="0" applyFont="1" applyFill="1" applyBorder="1" applyAlignment="1">
      <alignment horizontal="justify" vertical="center"/>
    </xf>
    <xf numFmtId="0" fontId="11" fillId="0" borderId="0" xfId="0" applyFont="1" applyAlignment="1">
      <alignment horizontal="center" vertical="center"/>
    </xf>
    <xf numFmtId="2" fontId="10" fillId="0" borderId="2" xfId="0" applyNumberFormat="1" applyFont="1" applyBorder="1" applyAlignment="1">
      <alignment horizontal="center" vertical="center" wrapText="1" readingOrder="1"/>
    </xf>
    <xf numFmtId="2" fontId="10" fillId="0" borderId="3" xfId="0" applyNumberFormat="1" applyFont="1" applyBorder="1" applyAlignment="1">
      <alignment horizontal="center" vertical="center" wrapText="1" readingOrder="1"/>
    </xf>
    <xf numFmtId="2" fontId="8" fillId="0" borderId="2" xfId="0" applyNumberFormat="1" applyFont="1" applyBorder="1" applyAlignment="1">
      <alignment horizontal="center" vertical="center" wrapText="1" readingOrder="1"/>
    </xf>
    <xf numFmtId="2" fontId="8" fillId="0" borderId="3" xfId="0" applyNumberFormat="1" applyFont="1" applyBorder="1" applyAlignment="1">
      <alignment horizontal="center" vertical="center" wrapText="1" readingOrder="1"/>
    </xf>
    <xf numFmtId="0" fontId="8" fillId="0" borderId="2" xfId="0" applyFont="1" applyBorder="1" applyAlignment="1">
      <alignment horizontal="center" vertical="center" textRotation="90" wrapText="1" readingOrder="1"/>
    </xf>
    <xf numFmtId="0" fontId="8" fillId="0" borderId="5" xfId="0" applyFont="1" applyBorder="1" applyAlignment="1">
      <alignment horizontal="center" vertical="center" textRotation="90" wrapText="1" readingOrder="1"/>
    </xf>
    <xf numFmtId="0" fontId="8" fillId="0" borderId="3" xfId="0" applyFont="1" applyBorder="1" applyAlignment="1">
      <alignment horizontal="center" vertical="center" textRotation="90" wrapText="1" readingOrder="1"/>
    </xf>
    <xf numFmtId="0" fontId="8" fillId="0" borderId="9" xfId="0" applyFont="1" applyFill="1" applyBorder="1" applyAlignment="1">
      <alignment horizontal="center" vertical="center" wrapText="1" readingOrder="1"/>
    </xf>
    <xf numFmtId="0" fontId="8" fillId="0" borderId="10" xfId="0" applyFont="1" applyFill="1" applyBorder="1" applyAlignment="1">
      <alignment horizontal="center" vertical="center" wrapText="1" readingOrder="1"/>
    </xf>
    <xf numFmtId="0" fontId="8" fillId="0" borderId="4" xfId="0" applyFont="1" applyFill="1" applyBorder="1" applyAlignment="1">
      <alignment horizontal="center" vertical="center" wrapText="1" readingOrder="1"/>
    </xf>
    <xf numFmtId="2" fontId="8" fillId="0" borderId="2" xfId="0" applyNumberFormat="1" applyFont="1" applyFill="1" applyBorder="1" applyAlignment="1">
      <alignment horizontal="center" vertical="center" wrapText="1"/>
    </xf>
    <xf numFmtId="2" fontId="8" fillId="0" borderId="3" xfId="0" applyNumberFormat="1" applyFont="1" applyFill="1" applyBorder="1" applyAlignment="1">
      <alignment horizontal="center" vertical="center" wrapText="1"/>
    </xf>
    <xf numFmtId="2" fontId="10" fillId="0" borderId="2" xfId="0" applyNumberFormat="1" applyFont="1" applyFill="1" applyBorder="1" applyAlignment="1">
      <alignment horizontal="center" vertical="center" wrapText="1" readingOrder="1"/>
    </xf>
    <xf numFmtId="2" fontId="10" fillId="0" borderId="3" xfId="0" applyNumberFormat="1" applyFont="1" applyFill="1" applyBorder="1" applyAlignment="1">
      <alignment horizontal="center" vertical="center" wrapText="1" readingOrder="1"/>
    </xf>
    <xf numFmtId="0" fontId="18" fillId="0" borderId="0" xfId="0" applyFont="1" applyAlignment="1">
      <alignment horizontal="justify" vertical="center" wrapText="1" readingOrder="1"/>
    </xf>
    <xf numFmtId="0" fontId="27" fillId="0" borderId="0" xfId="0" applyFont="1" applyBorder="1" applyAlignment="1">
      <alignment horizontal="center" vertical="center" wrapText="1"/>
    </xf>
    <xf numFmtId="0" fontId="4" fillId="0" borderId="0" xfId="0" applyFont="1" applyAlignment="1">
      <alignment vertical="center"/>
    </xf>
    <xf numFmtId="0" fontId="28" fillId="0" borderId="0" xfId="0" applyFont="1" applyAlignment="1">
      <alignment vertical="center"/>
    </xf>
    <xf numFmtId="0" fontId="28" fillId="3" borderId="0" xfId="0" applyFont="1" applyFill="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28" fillId="0" borderId="0" xfId="0" applyFont="1"/>
    <xf numFmtId="0" fontId="21" fillId="0" borderId="0" xfId="0" applyFont="1" applyBorder="1" applyAlignment="1">
      <alignment horizontal="left" vertical="center"/>
    </xf>
    <xf numFmtId="0" fontId="4" fillId="0" borderId="0" xfId="0" applyFont="1" applyBorder="1" applyAlignment="1">
      <alignment horizontal="left" vertical="center"/>
    </xf>
    <xf numFmtId="0" fontId="18" fillId="0" borderId="1" xfId="0" applyFont="1" applyBorder="1" applyAlignment="1">
      <alignment horizontal="center" vertical="center" wrapText="1" readingOrder="1"/>
    </xf>
    <xf numFmtId="0" fontId="30" fillId="3" borderId="1" xfId="0" applyFont="1" applyFill="1" applyBorder="1" applyAlignment="1">
      <alignment horizontal="center" vertical="center" wrapText="1" readingOrder="1"/>
    </xf>
    <xf numFmtId="0" fontId="31" fillId="3" borderId="1" xfId="0" applyFont="1" applyFill="1" applyBorder="1" applyAlignment="1">
      <alignment horizontal="left" vertical="center" wrapText="1" readingOrder="1"/>
    </xf>
    <xf numFmtId="0" fontId="31" fillId="3" borderId="1" xfId="0" applyFont="1" applyFill="1" applyBorder="1" applyAlignment="1">
      <alignment horizontal="center" vertical="center" wrapText="1" readingOrder="1"/>
    </xf>
    <xf numFmtId="2" fontId="31" fillId="0" borderId="2" xfId="0" applyNumberFormat="1" applyFont="1" applyFill="1" applyBorder="1" applyAlignment="1">
      <alignment horizontal="center" vertical="center"/>
    </xf>
    <xf numFmtId="0" fontId="32" fillId="0" borderId="0" xfId="0" applyFont="1"/>
    <xf numFmtId="2" fontId="31" fillId="0" borderId="3" xfId="0" applyNumberFormat="1" applyFont="1" applyFill="1" applyBorder="1" applyAlignment="1">
      <alignment horizontal="center" vertical="center"/>
    </xf>
    <xf numFmtId="0" fontId="31" fillId="3" borderId="1" xfId="0" applyFont="1" applyFill="1" applyBorder="1" applyAlignment="1">
      <alignment horizontal="center" vertical="center" wrapText="1"/>
    </xf>
    <xf numFmtId="0" fontId="30" fillId="3" borderId="1" xfId="0" applyFont="1" applyFill="1" applyBorder="1" applyAlignment="1">
      <alignment horizontal="center" vertical="center" wrapText="1"/>
    </xf>
    <xf numFmtId="2" fontId="31" fillId="0" borderId="1" xfId="0" applyNumberFormat="1" applyFont="1" applyFill="1" applyBorder="1" applyAlignment="1">
      <alignment horizontal="center" vertical="center"/>
    </xf>
    <xf numFmtId="0" fontId="28" fillId="3" borderId="0" xfId="0" applyFont="1" applyFill="1"/>
    <xf numFmtId="2" fontId="30" fillId="3" borderId="1" xfId="0" applyNumberFormat="1" applyFont="1" applyFill="1" applyBorder="1" applyAlignment="1">
      <alignment horizontal="center" vertical="center" wrapText="1" readingOrder="1"/>
    </xf>
    <xf numFmtId="0" fontId="30" fillId="0" borderId="0" xfId="0" applyFont="1"/>
    <xf numFmtId="0" fontId="31" fillId="0" borderId="1" xfId="0" applyFont="1" applyBorder="1" applyAlignment="1">
      <alignment horizontal="left" vertical="center" wrapText="1" readingOrder="1"/>
    </xf>
    <xf numFmtId="2" fontId="31" fillId="0" borderId="2" xfId="0" applyNumberFormat="1" applyFont="1" applyFill="1" applyBorder="1" applyAlignment="1">
      <alignment horizontal="center" vertical="center" wrapText="1"/>
    </xf>
    <xf numFmtId="0" fontId="18" fillId="0" borderId="1" xfId="0" applyFont="1" applyBorder="1" applyAlignment="1">
      <alignment horizontal="center" vertical="center" wrapText="1" readingOrder="1"/>
    </xf>
    <xf numFmtId="2" fontId="31" fillId="0" borderId="5" xfId="0" applyNumberFormat="1" applyFont="1" applyFill="1" applyBorder="1" applyAlignment="1">
      <alignment horizontal="center" vertical="center" wrapText="1"/>
    </xf>
    <xf numFmtId="0" fontId="28" fillId="0" borderId="1" xfId="0" applyFont="1" applyBorder="1" applyAlignment="1">
      <alignment horizontal="center" vertical="center" wrapText="1" readingOrder="1"/>
    </xf>
    <xf numFmtId="2" fontId="31" fillId="0" borderId="3" xfId="0" applyNumberFormat="1" applyFont="1" applyFill="1" applyBorder="1" applyAlignment="1">
      <alignment horizontal="center" vertical="center" wrapText="1"/>
    </xf>
    <xf numFmtId="0" fontId="31" fillId="0" borderId="1" xfId="0" applyFont="1" applyBorder="1" applyAlignment="1">
      <alignment horizontal="center" vertical="center" wrapText="1" readingOrder="1"/>
    </xf>
    <xf numFmtId="2" fontId="31" fillId="3" borderId="1" xfId="0" applyNumberFormat="1" applyFont="1" applyFill="1" applyBorder="1" applyAlignment="1">
      <alignment horizontal="center" vertical="center" wrapText="1" readingOrder="1"/>
    </xf>
    <xf numFmtId="0" fontId="22" fillId="3" borderId="1" xfId="0" applyFont="1" applyFill="1" applyBorder="1" applyAlignment="1">
      <alignment horizontal="center" vertical="center" wrapText="1" readingOrder="1"/>
    </xf>
    <xf numFmtId="0" fontId="28" fillId="0" borderId="0" xfId="0" applyFont="1" applyAlignment="1">
      <alignment horizontal="center" vertical="center"/>
    </xf>
    <xf numFmtId="2" fontId="28"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20TO%20MD%20BESCOM/AppData/Local/Microsoft/Windows/INetCache/Content.Outlook/N3QG0I8Z/Jul-17%20%20HVDS%20H%20durg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sheetName val="Financial progress"/>
      <sheetName val="Sheet1"/>
      <sheetName val="PP"/>
      <sheetName val="Physical progress"/>
    </sheetNames>
    <sheetDataSet>
      <sheetData sheetId="0"/>
      <sheetData sheetId="1"/>
      <sheetData sheetId="2"/>
      <sheetData sheetId="3"/>
      <sheetData sheetId="4">
        <row r="18">
          <cell r="F18">
            <v>544</v>
          </cell>
          <cell r="N18">
            <v>7.3499999999999988</v>
          </cell>
          <cell r="R18">
            <v>57</v>
          </cell>
          <cell r="V18">
            <v>1626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2"/>
  <sheetViews>
    <sheetView view="pageBreakPreview" zoomScale="90" zoomScaleNormal="90" zoomScaleSheetLayoutView="90" workbookViewId="0">
      <selection activeCell="G8" sqref="G8"/>
    </sheetView>
  </sheetViews>
  <sheetFormatPr defaultRowHeight="15" x14ac:dyDescent="0.25"/>
  <cols>
    <col min="1" max="1" width="4.5703125" style="2" customWidth="1"/>
    <col min="2" max="2" width="10.42578125" style="2" customWidth="1"/>
    <col min="3" max="3" width="13.85546875" style="2" customWidth="1"/>
    <col min="4" max="4" width="22.7109375" style="2" customWidth="1"/>
    <col min="5" max="5" width="10.28515625" style="2" customWidth="1"/>
    <col min="6" max="6" width="9.7109375" style="2" customWidth="1"/>
    <col min="7" max="7" width="9.140625" style="2" customWidth="1"/>
    <col min="8" max="8" width="12.5703125" style="2" customWidth="1"/>
    <col min="9" max="9" width="8" style="2" customWidth="1"/>
    <col min="10" max="10" width="9.28515625" style="2" customWidth="1"/>
    <col min="11" max="11" width="9.85546875" style="2" customWidth="1"/>
    <col min="12" max="12" width="8.42578125" style="2" customWidth="1"/>
    <col min="13" max="13" width="10.28515625" style="2" customWidth="1"/>
    <col min="14" max="14" width="9" style="2" customWidth="1"/>
    <col min="15" max="15" width="7.85546875" style="2" customWidth="1"/>
    <col min="16" max="16" width="11.42578125" style="2" customWidth="1"/>
    <col min="17" max="17" width="10.42578125" style="7" customWidth="1"/>
    <col min="18" max="18" width="9.140625" style="11"/>
    <col min="19" max="19" width="11.5703125" style="11" bestFit="1" customWidth="1"/>
    <col min="20" max="16384" width="9.140625" style="2"/>
  </cols>
  <sheetData>
    <row r="1" spans="1:19" ht="26.25" customHeight="1" x14ac:dyDescent="0.25">
      <c r="A1" s="75" t="s">
        <v>22</v>
      </c>
      <c r="B1" s="75"/>
      <c r="C1" s="75"/>
      <c r="D1" s="75"/>
      <c r="E1" s="75"/>
      <c r="F1" s="75"/>
      <c r="G1" s="75"/>
      <c r="H1" s="75"/>
      <c r="I1" s="75"/>
      <c r="J1" s="75"/>
      <c r="K1" s="75"/>
      <c r="L1" s="75"/>
      <c r="M1" s="75"/>
      <c r="N1" s="75"/>
      <c r="O1" s="75"/>
      <c r="P1" s="75"/>
      <c r="Q1" s="75"/>
    </row>
    <row r="2" spans="1:19" ht="24" customHeight="1" x14ac:dyDescent="0.25">
      <c r="A2" s="76" t="s">
        <v>0</v>
      </c>
      <c r="B2" s="76"/>
      <c r="C2" s="76"/>
      <c r="D2" s="76"/>
      <c r="E2" s="76"/>
      <c r="F2" s="76"/>
      <c r="G2" s="76"/>
      <c r="H2" s="76"/>
      <c r="I2" s="76"/>
      <c r="J2" s="76"/>
      <c r="K2" s="76"/>
      <c r="L2" s="76"/>
      <c r="M2" s="76"/>
      <c r="N2" s="76"/>
      <c r="O2" s="76"/>
      <c r="P2" s="76"/>
      <c r="Q2" s="76"/>
    </row>
    <row r="3" spans="1:19" ht="25.5" customHeight="1" x14ac:dyDescent="0.25">
      <c r="A3" s="77" t="s">
        <v>96</v>
      </c>
      <c r="B3" s="77"/>
      <c r="C3" s="77"/>
      <c r="D3" s="77"/>
      <c r="E3" s="77"/>
      <c r="F3" s="77"/>
      <c r="G3" s="77"/>
      <c r="H3" s="77"/>
      <c r="I3" s="77"/>
      <c r="J3" s="77"/>
      <c r="K3" s="77"/>
      <c r="L3" s="77"/>
      <c r="M3" s="77"/>
      <c r="N3" s="77"/>
      <c r="O3" s="77"/>
      <c r="P3" s="77"/>
      <c r="Q3" s="77"/>
    </row>
    <row r="5" spans="1:19" ht="40.5" customHeight="1" x14ac:dyDescent="0.25">
      <c r="A5" s="65" t="s">
        <v>26</v>
      </c>
      <c r="B5" s="65" t="s">
        <v>38</v>
      </c>
      <c r="C5" s="70" t="s">
        <v>6</v>
      </c>
      <c r="D5" s="65" t="s">
        <v>7</v>
      </c>
      <c r="E5" s="66" t="s">
        <v>91</v>
      </c>
      <c r="F5" s="67"/>
      <c r="G5" s="68"/>
      <c r="H5" s="65" t="s">
        <v>8</v>
      </c>
      <c r="I5" s="65" t="s">
        <v>19</v>
      </c>
      <c r="J5" s="65" t="s">
        <v>23</v>
      </c>
      <c r="K5" s="65" t="s">
        <v>9</v>
      </c>
      <c r="L5" s="65" t="s">
        <v>37</v>
      </c>
      <c r="M5" s="78" t="s">
        <v>20</v>
      </c>
      <c r="N5" s="79"/>
      <c r="O5" s="79"/>
      <c r="P5" s="80"/>
      <c r="Q5" s="69" t="s">
        <v>13</v>
      </c>
    </row>
    <row r="6" spans="1:19" ht="63" customHeight="1" x14ac:dyDescent="0.25">
      <c r="A6" s="65"/>
      <c r="B6" s="65"/>
      <c r="C6" s="71"/>
      <c r="D6" s="65"/>
      <c r="E6" s="4" t="s">
        <v>21</v>
      </c>
      <c r="F6" s="4" t="s">
        <v>29</v>
      </c>
      <c r="G6" s="4" t="s">
        <v>1</v>
      </c>
      <c r="H6" s="65"/>
      <c r="I6" s="65"/>
      <c r="J6" s="65"/>
      <c r="K6" s="65"/>
      <c r="L6" s="65"/>
      <c r="M6" s="21" t="s">
        <v>14</v>
      </c>
      <c r="N6" s="21" t="s">
        <v>15</v>
      </c>
      <c r="O6" s="19" t="s">
        <v>16</v>
      </c>
      <c r="P6" s="21" t="s">
        <v>69</v>
      </c>
      <c r="Q6" s="69"/>
    </row>
    <row r="7" spans="1:19" ht="50.1" customHeight="1" x14ac:dyDescent="0.25">
      <c r="A7" s="3">
        <v>1</v>
      </c>
      <c r="B7" s="72" t="s">
        <v>39</v>
      </c>
      <c r="C7" s="3" t="s">
        <v>2</v>
      </c>
      <c r="D7" s="3" t="s">
        <v>28</v>
      </c>
      <c r="E7" s="3">
        <v>20.440000000000001</v>
      </c>
      <c r="F7" s="3">
        <v>24.14</v>
      </c>
      <c r="G7" s="1">
        <f>SUM(E7:F7)</f>
        <v>44.58</v>
      </c>
      <c r="H7" s="3" t="s">
        <v>10</v>
      </c>
      <c r="I7" s="3">
        <v>14</v>
      </c>
      <c r="J7" s="10">
        <v>13</v>
      </c>
      <c r="K7" s="10">
        <v>1</v>
      </c>
      <c r="L7" s="10">
        <f t="shared" ref="L7:L11" si="0">I7-J7-K7</f>
        <v>0</v>
      </c>
      <c r="M7" s="6">
        <f>21.59</f>
        <v>21.59</v>
      </c>
      <c r="N7" s="6">
        <f>20.24</f>
        <v>20.239999999999998</v>
      </c>
      <c r="O7" s="5">
        <f>SUM(M7:N7)</f>
        <v>41.83</v>
      </c>
      <c r="P7" s="42">
        <f>N7/F7</f>
        <v>0.83844241922120955</v>
      </c>
      <c r="Q7" s="8" t="s">
        <v>27</v>
      </c>
      <c r="R7" s="11">
        <v>49.87</v>
      </c>
      <c r="S7" s="12"/>
    </row>
    <row r="8" spans="1:19" ht="50.1" customHeight="1" x14ac:dyDescent="0.25">
      <c r="A8" s="3">
        <v>2</v>
      </c>
      <c r="B8" s="73"/>
      <c r="C8" s="3" t="s">
        <v>3</v>
      </c>
      <c r="D8" s="3" t="s">
        <v>17</v>
      </c>
      <c r="E8" s="3">
        <v>15.64</v>
      </c>
      <c r="F8" s="3">
        <v>20.37</v>
      </c>
      <c r="G8" s="1">
        <f t="shared" ref="G8:G11" si="1">SUM(E8:F8)</f>
        <v>36.010000000000005</v>
      </c>
      <c r="H8" s="3" t="s">
        <v>11</v>
      </c>
      <c r="I8" s="3">
        <v>10</v>
      </c>
      <c r="J8" s="10">
        <v>9</v>
      </c>
      <c r="K8" s="10">
        <v>1</v>
      </c>
      <c r="L8" s="10">
        <f t="shared" si="0"/>
        <v>0</v>
      </c>
      <c r="M8" s="6">
        <f>13.52</f>
        <v>13.52</v>
      </c>
      <c r="N8" s="58">
        <f>16.42</f>
        <v>16.420000000000002</v>
      </c>
      <c r="O8" s="5">
        <f t="shared" ref="O8:O11" si="2">SUM(M8:N8)</f>
        <v>29.94</v>
      </c>
      <c r="P8" s="42">
        <f t="shared" ref="P8:P12" si="3">N8/F8</f>
        <v>0.80608738340697106</v>
      </c>
      <c r="Q8" s="8" t="s">
        <v>27</v>
      </c>
      <c r="R8" s="11">
        <v>39.590000000000003</v>
      </c>
      <c r="S8" s="12"/>
    </row>
    <row r="9" spans="1:19" ht="50.1" customHeight="1" x14ac:dyDescent="0.25">
      <c r="A9" s="3">
        <v>3</v>
      </c>
      <c r="B9" s="73"/>
      <c r="C9" s="3" t="s">
        <v>4</v>
      </c>
      <c r="D9" s="3" t="s">
        <v>25</v>
      </c>
      <c r="E9" s="3">
        <v>14.68</v>
      </c>
      <c r="F9" s="3">
        <v>20.03</v>
      </c>
      <c r="G9" s="1">
        <f t="shared" si="1"/>
        <v>34.71</v>
      </c>
      <c r="H9" s="3" t="s">
        <v>12</v>
      </c>
      <c r="I9" s="3">
        <v>14</v>
      </c>
      <c r="J9" s="10">
        <v>7</v>
      </c>
      <c r="K9" s="10">
        <v>6</v>
      </c>
      <c r="L9" s="10">
        <f t="shared" si="0"/>
        <v>1</v>
      </c>
      <c r="M9" s="6">
        <f>10.03</f>
        <v>10.029999999999999</v>
      </c>
      <c r="N9" s="6">
        <f>9.72</f>
        <v>9.7200000000000006</v>
      </c>
      <c r="O9" s="5">
        <f t="shared" si="2"/>
        <v>19.75</v>
      </c>
      <c r="P9" s="42">
        <f t="shared" si="3"/>
        <v>0.48527209186220671</v>
      </c>
      <c r="Q9" s="8" t="s">
        <v>27</v>
      </c>
      <c r="R9" s="11">
        <v>38.659999999999997</v>
      </c>
      <c r="S9" s="12"/>
    </row>
    <row r="10" spans="1:19" ht="50.1" customHeight="1" x14ac:dyDescent="0.25">
      <c r="A10" s="3">
        <v>4</v>
      </c>
      <c r="B10" s="74"/>
      <c r="C10" s="3" t="s">
        <v>5</v>
      </c>
      <c r="D10" s="3" t="s">
        <v>24</v>
      </c>
      <c r="E10" s="3">
        <v>12.28</v>
      </c>
      <c r="F10" s="3">
        <v>17.05</v>
      </c>
      <c r="G10" s="1">
        <f t="shared" si="1"/>
        <v>29.33</v>
      </c>
      <c r="H10" s="3" t="s">
        <v>12</v>
      </c>
      <c r="I10" s="3">
        <v>11</v>
      </c>
      <c r="J10" s="10">
        <v>5</v>
      </c>
      <c r="K10" s="10">
        <v>4</v>
      </c>
      <c r="L10" s="10">
        <f t="shared" si="0"/>
        <v>2</v>
      </c>
      <c r="M10" s="6">
        <f>8.46</f>
        <v>8.4600000000000009</v>
      </c>
      <c r="N10" s="58">
        <f>8.31</f>
        <v>8.31</v>
      </c>
      <c r="O10" s="5">
        <f t="shared" si="2"/>
        <v>16.770000000000003</v>
      </c>
      <c r="P10" s="42">
        <f t="shared" si="3"/>
        <v>0.48739002932551323</v>
      </c>
      <c r="Q10" s="8" t="s">
        <v>27</v>
      </c>
      <c r="R10" s="11">
        <v>31.74</v>
      </c>
      <c r="S10" s="12"/>
    </row>
    <row r="11" spans="1:19" s="54" customFormat="1" ht="50.1" customHeight="1" x14ac:dyDescent="0.25">
      <c r="A11" s="48">
        <v>5</v>
      </c>
      <c r="B11" s="48" t="s">
        <v>40</v>
      </c>
      <c r="C11" s="48" t="s">
        <v>77</v>
      </c>
      <c r="D11" s="48" t="s">
        <v>18</v>
      </c>
      <c r="E11" s="48">
        <v>10.48</v>
      </c>
      <c r="F11" s="48">
        <v>16.649999999999999</v>
      </c>
      <c r="G11" s="49">
        <f t="shared" si="1"/>
        <v>27.13</v>
      </c>
      <c r="H11" s="48" t="s">
        <v>12</v>
      </c>
      <c r="I11" s="48">
        <v>12</v>
      </c>
      <c r="J11" s="48">
        <v>11</v>
      </c>
      <c r="K11" s="48">
        <v>0</v>
      </c>
      <c r="L11" s="48">
        <f t="shared" si="0"/>
        <v>1</v>
      </c>
      <c r="M11" s="50">
        <f>9.17</f>
        <v>9.17</v>
      </c>
      <c r="N11" s="50">
        <f>11.92</f>
        <v>11.92</v>
      </c>
      <c r="O11" s="51">
        <f t="shared" si="2"/>
        <v>21.09</v>
      </c>
      <c r="P11" s="52">
        <f t="shared" si="3"/>
        <v>0.71591591591591597</v>
      </c>
      <c r="Q11" s="53" t="s">
        <v>27</v>
      </c>
      <c r="R11" s="57">
        <v>29.2</v>
      </c>
      <c r="S11" s="55"/>
    </row>
    <row r="12" spans="1:19" ht="30.75" customHeight="1" x14ac:dyDescent="0.25">
      <c r="A12" s="65" t="s">
        <v>1</v>
      </c>
      <c r="B12" s="65"/>
      <c r="C12" s="65"/>
      <c r="D12" s="1"/>
      <c r="E12" s="1">
        <f>SUM(E7:E11)</f>
        <v>73.52</v>
      </c>
      <c r="F12" s="1">
        <f>SUM(F7:F11)</f>
        <v>98.240000000000009</v>
      </c>
      <c r="G12" s="1">
        <f>SUM(G7:G11)</f>
        <v>171.76</v>
      </c>
      <c r="H12" s="1"/>
      <c r="I12" s="1">
        <f t="shared" ref="I12:O12" si="4">SUM(I7:I11)</f>
        <v>61</v>
      </c>
      <c r="J12" s="1">
        <f t="shared" si="4"/>
        <v>45</v>
      </c>
      <c r="K12" s="1">
        <f t="shared" si="4"/>
        <v>12</v>
      </c>
      <c r="L12" s="18">
        <f t="shared" si="4"/>
        <v>4</v>
      </c>
      <c r="M12" s="6">
        <f t="shared" si="4"/>
        <v>62.77</v>
      </c>
      <c r="N12" s="6">
        <f t="shared" si="4"/>
        <v>66.61</v>
      </c>
      <c r="O12" s="6">
        <f t="shared" si="4"/>
        <v>129.38</v>
      </c>
      <c r="P12" s="42">
        <f t="shared" si="3"/>
        <v>0.67803338762214982</v>
      </c>
      <c r="Q12" s="6"/>
      <c r="R12" s="11">
        <f>SUM(R7:R11)</f>
        <v>189.06</v>
      </c>
    </row>
  </sheetData>
  <mergeCells count="17">
    <mergeCell ref="A1:Q1"/>
    <mergeCell ref="A2:Q2"/>
    <mergeCell ref="A3:Q3"/>
    <mergeCell ref="J5:J6"/>
    <mergeCell ref="K5:K6"/>
    <mergeCell ref="M5:P5"/>
    <mergeCell ref="B5:B6"/>
    <mergeCell ref="A12:C12"/>
    <mergeCell ref="E5:G5"/>
    <mergeCell ref="Q5:Q6"/>
    <mergeCell ref="A5:A6"/>
    <mergeCell ref="C5:C6"/>
    <mergeCell ref="D5:D6"/>
    <mergeCell ref="H5:H6"/>
    <mergeCell ref="I5:I6"/>
    <mergeCell ref="L5:L6"/>
    <mergeCell ref="B7:B10"/>
  </mergeCells>
  <printOptions horizontalCentered="1"/>
  <pageMargins left="0.2" right="0.2" top="0.25" bottom="0.25" header="0.3" footer="0.3"/>
  <pageSetup paperSize="9" scale="8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6"/>
  <sheetViews>
    <sheetView view="pageBreakPreview" zoomScale="90" zoomScaleNormal="90" zoomScaleSheetLayoutView="90" workbookViewId="0">
      <selection activeCell="N13" sqref="N13"/>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2.8554687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3.25" customHeight="1" x14ac:dyDescent="0.25">
      <c r="A3" s="76" t="s">
        <v>73</v>
      </c>
      <c r="B3" s="76"/>
      <c r="C3" s="76"/>
      <c r="D3" s="76"/>
      <c r="E3" s="76"/>
      <c r="F3" s="76"/>
      <c r="G3" s="76"/>
      <c r="H3" s="76"/>
      <c r="I3" s="76"/>
      <c r="J3" s="76"/>
      <c r="K3" s="76"/>
    </row>
    <row r="4" spans="1:11" ht="23.25" customHeight="1" x14ac:dyDescent="0.25">
      <c r="A4" s="43"/>
      <c r="B4" s="43"/>
      <c r="C4" s="43"/>
      <c r="D4" s="43"/>
      <c r="E4" s="43"/>
      <c r="F4" s="43"/>
      <c r="G4" s="43"/>
      <c r="H4" s="43"/>
      <c r="I4" s="43"/>
      <c r="J4" s="43"/>
      <c r="K4" s="43"/>
    </row>
    <row r="5" spans="1:11" ht="23.25" customHeight="1" x14ac:dyDescent="0.25">
      <c r="A5" s="76" t="s">
        <v>99</v>
      </c>
      <c r="B5" s="76"/>
      <c r="C5" s="76"/>
      <c r="D5" s="76"/>
      <c r="E5" s="76"/>
      <c r="F5" s="76"/>
      <c r="G5" s="76"/>
      <c r="H5" s="76"/>
      <c r="I5" s="76"/>
      <c r="J5" s="76"/>
      <c r="K5" s="76"/>
    </row>
    <row r="6" spans="1:11" ht="18" x14ac:dyDescent="0.25">
      <c r="A6" s="43"/>
      <c r="B6" s="43"/>
      <c r="C6" s="43"/>
      <c r="D6" s="43"/>
      <c r="E6" s="43"/>
      <c r="F6" s="43"/>
      <c r="G6" s="43"/>
      <c r="H6" s="43"/>
      <c r="I6" s="43"/>
      <c r="J6" s="43"/>
      <c r="K6" s="43"/>
    </row>
    <row r="8" spans="1:11" x14ac:dyDescent="0.25">
      <c r="A8" s="22"/>
      <c r="B8" s="22"/>
      <c r="C8" s="22"/>
      <c r="D8" s="22"/>
      <c r="E8" s="23"/>
      <c r="F8" s="23"/>
      <c r="G8" s="23"/>
      <c r="H8" s="23"/>
      <c r="I8" s="23"/>
      <c r="J8" s="23"/>
    </row>
    <row r="9" spans="1:11" ht="90" x14ac:dyDescent="0.25">
      <c r="A9" s="26" t="s">
        <v>26</v>
      </c>
      <c r="B9" s="26" t="s">
        <v>41</v>
      </c>
      <c r="C9" s="26" t="s">
        <v>42</v>
      </c>
      <c r="D9" s="26" t="s">
        <v>43</v>
      </c>
      <c r="E9" s="26" t="s">
        <v>44</v>
      </c>
      <c r="F9" s="26" t="str">
        <f>'ABSTRACT-HVDS P-II'!F9</f>
        <v>Progress as on prev month
(Dec-2017)</v>
      </c>
      <c r="G9" s="26" t="str">
        <f>'ABSTRACT-HVDS P-II'!G9</f>
        <v>Target fixed for the month of Jan-2018</v>
      </c>
      <c r="H9" s="26"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1" ht="39.950000000000003" customHeight="1" x14ac:dyDescent="0.25">
      <c r="A10" s="27">
        <v>1</v>
      </c>
      <c r="B10" s="28" t="s">
        <v>53</v>
      </c>
      <c r="C10" s="26" t="s">
        <v>50</v>
      </c>
      <c r="D10" s="29">
        <f>'Ramanagar RSD'!D10+'Channapatna RSD'!D10+'CN Patna USD &amp; Bidadi'!D10</f>
        <v>386.9228243021347</v>
      </c>
      <c r="E10" s="29">
        <f>'Ramanagar RSD'!E10+'Channapatna RSD'!E10+'CN Patna USD &amp; Bidadi'!E10</f>
        <v>391.75697865353038</v>
      </c>
      <c r="F10" s="29">
        <f>'Ramanagar RSD'!F10+'Channapatna RSD'!F10+'CN Patna USD &amp; Bidadi'!F10</f>
        <v>174.76594417077175</v>
      </c>
      <c r="G10" s="29">
        <f>'Ramanagar RSD'!G10+'Channapatna RSD'!G10+'CN Patna USD &amp; Bidadi'!G10</f>
        <v>135</v>
      </c>
      <c r="H10" s="29">
        <f>'Ramanagar RSD'!H10+'Channapatna RSD'!H10+'CN Patna USD &amp; Bidadi'!H10</f>
        <v>23.44</v>
      </c>
      <c r="I10" s="29">
        <f>'Ramanagar RSD'!I10+'Channapatna RSD'!I10+'CN Patna USD &amp; Bidadi'!I10</f>
        <v>198.20594417077174</v>
      </c>
      <c r="J10" s="31">
        <f>I10/E10</f>
        <v>0.50594106798558136</v>
      </c>
      <c r="K10" s="32">
        <f>I10/D10</f>
        <v>0.51226221799724991</v>
      </c>
    </row>
    <row r="11" spans="1:11" ht="39.950000000000003" customHeight="1" x14ac:dyDescent="0.25">
      <c r="A11" s="27">
        <v>2</v>
      </c>
      <c r="B11" s="33" t="s">
        <v>49</v>
      </c>
      <c r="C11" s="26" t="s">
        <v>50</v>
      </c>
      <c r="D11" s="29">
        <f>'Ramanagar RSD'!D11+'Channapatna RSD'!D11+'CN Patna USD &amp; Bidadi'!D11</f>
        <v>2021.1165845648607</v>
      </c>
      <c r="E11" s="29">
        <f>'Ramanagar RSD'!E11+'Channapatna RSD'!E11+'CN Patna USD &amp; Bidadi'!E11</f>
        <v>2284.6962233169129</v>
      </c>
      <c r="F11" s="29">
        <f>'Ramanagar RSD'!F11+'Channapatna RSD'!F11+'CN Patna USD &amp; Bidadi'!F11</f>
        <v>515.25123152709364</v>
      </c>
      <c r="G11" s="29">
        <f>'Ramanagar RSD'!G11+'Channapatna RSD'!G11+'CN Patna USD &amp; Bidadi'!G11</f>
        <v>215</v>
      </c>
      <c r="H11" s="29">
        <f>'Ramanagar RSD'!H11+'Channapatna RSD'!H11+'CN Patna USD &amp; Bidadi'!H11</f>
        <v>84.07553366174055</v>
      </c>
      <c r="I11" s="29">
        <f>'Ramanagar RSD'!I11+'Channapatna RSD'!I11+'CN Patna USD &amp; Bidadi'!I11</f>
        <v>599.32676518883409</v>
      </c>
      <c r="J11" s="31">
        <f t="shared" ref="J11:J14" si="0">I11/E11</f>
        <v>0.26232229872500679</v>
      </c>
      <c r="K11" s="32">
        <f t="shared" ref="K11:K14" si="1">I11/D11</f>
        <v>0.29653250572770251</v>
      </c>
    </row>
    <row r="12" spans="1:11" ht="39.950000000000003" customHeight="1" x14ac:dyDescent="0.25">
      <c r="A12" s="27">
        <v>3</v>
      </c>
      <c r="B12" s="33" t="s">
        <v>52</v>
      </c>
      <c r="C12" s="26" t="s">
        <v>50</v>
      </c>
      <c r="D12" s="29">
        <f>'Ramanagar RSD'!D12+'Channapatna RSD'!D12+'CN Patna USD &amp; Bidadi'!D12</f>
        <v>0</v>
      </c>
      <c r="E12" s="29">
        <f>'Ramanagar RSD'!E12+'Channapatna RSD'!E12+'CN Patna USD &amp; Bidadi'!E12</f>
        <v>0</v>
      </c>
      <c r="F12" s="29">
        <f>'Ramanagar RSD'!F12+'Channapatna RSD'!F12+'CN Patna USD &amp; Bidadi'!F12</f>
        <v>0</v>
      </c>
      <c r="G12" s="29">
        <f>'Ramanagar RSD'!G12+'Channapatna RSD'!G12+'CN Patna USD &amp; Bidadi'!G12</f>
        <v>0</v>
      </c>
      <c r="H12" s="29">
        <f>'Ramanagar RSD'!H12+'Channapatna RSD'!H12+'CN Patna USD &amp; Bidadi'!H12</f>
        <v>0</v>
      </c>
      <c r="I12" s="29">
        <f>'Ramanagar RSD'!I12+'Channapatna RSD'!I12+'CN Patna USD &amp; Bidadi'!I12</f>
        <v>0</v>
      </c>
      <c r="J12" s="31">
        <v>0</v>
      </c>
      <c r="K12" s="32">
        <v>0</v>
      </c>
    </row>
    <row r="13" spans="1:11" ht="52.5" customHeight="1" x14ac:dyDescent="0.25">
      <c r="A13" s="27">
        <v>4</v>
      </c>
      <c r="B13" s="33" t="s">
        <v>51</v>
      </c>
      <c r="C13" s="26" t="s">
        <v>50</v>
      </c>
      <c r="D13" s="29">
        <f>'Ramanagar RSD'!D13+'Channapatna RSD'!D13+'CN Patna USD &amp; Bidadi'!D13</f>
        <v>361.26</v>
      </c>
      <c r="E13" s="29">
        <f>'Ramanagar RSD'!E13+'Channapatna RSD'!E13+'CN Patna USD &amp; Bidadi'!E13</f>
        <v>372.06</v>
      </c>
      <c r="F13" s="29">
        <f>'Ramanagar RSD'!F13+'Channapatna RSD'!F13+'CN Patna USD &amp; Bidadi'!F13</f>
        <v>69.990000000000009</v>
      </c>
      <c r="G13" s="29">
        <f>'Ramanagar RSD'!G13+'Channapatna RSD'!G13+'CN Patna USD &amp; Bidadi'!G13</f>
        <v>40</v>
      </c>
      <c r="H13" s="29">
        <f>'Ramanagar RSD'!H13+'Channapatna RSD'!H13+'CN Patna USD &amp; Bidadi'!H13</f>
        <v>12.8</v>
      </c>
      <c r="I13" s="29">
        <f>'Ramanagar RSD'!I13+'Channapatna RSD'!I13+'CN Patna USD &amp; Bidadi'!I13</f>
        <v>82.789999999999992</v>
      </c>
      <c r="J13" s="31">
        <f t="shared" si="0"/>
        <v>0.22251787346126967</v>
      </c>
      <c r="K13" s="32">
        <f t="shared" si="1"/>
        <v>0.22917012677849746</v>
      </c>
    </row>
    <row r="14" spans="1:11" ht="39.950000000000003" customHeight="1" x14ac:dyDescent="0.25">
      <c r="A14" s="27">
        <v>5</v>
      </c>
      <c r="B14" s="36" t="s">
        <v>65</v>
      </c>
      <c r="C14" s="37" t="s">
        <v>46</v>
      </c>
      <c r="D14" s="40">
        <f>'Ramanagar RSD'!D14+'Channapatna RSD'!D14+'CN Patna USD &amp; Bidadi'!D14</f>
        <v>12037</v>
      </c>
      <c r="E14" s="40">
        <f>'Ramanagar RSD'!E14+'Channapatna RSD'!E14+'CN Patna USD &amp; Bidadi'!E14</f>
        <v>12751</v>
      </c>
      <c r="F14" s="40">
        <f>'Ramanagar RSD'!F14+'Channapatna RSD'!F14+'CN Patna USD &amp; Bidadi'!F14</f>
        <v>3108</v>
      </c>
      <c r="G14" s="40">
        <f>'Ramanagar RSD'!G14+'Channapatna RSD'!G14+'CN Patna USD &amp; Bidadi'!G14</f>
        <v>1100</v>
      </c>
      <c r="H14" s="40">
        <f>'Ramanagar RSD'!H14+'Channapatna RSD'!H14+'CN Patna USD &amp; Bidadi'!H14</f>
        <v>872</v>
      </c>
      <c r="I14" s="40">
        <f>'Ramanagar RSD'!I14+'Channapatna RSD'!I14+'CN Patna USD &amp; Bidadi'!I14</f>
        <v>3980</v>
      </c>
      <c r="J14" s="31">
        <f t="shared" si="0"/>
        <v>0.31213238177397851</v>
      </c>
      <c r="K14" s="32">
        <f t="shared" si="1"/>
        <v>0.33064717122206527</v>
      </c>
    </row>
    <row r="16" spans="1:11" ht="27.75" customHeight="1" x14ac:dyDescent="0.25">
      <c r="A16" s="82" t="s">
        <v>87</v>
      </c>
      <c r="B16" s="83"/>
      <c r="C16" s="83"/>
      <c r="D16" s="83"/>
      <c r="E16" s="83"/>
      <c r="F16" s="83"/>
      <c r="G16" s="83"/>
      <c r="H16" s="83"/>
      <c r="I16" s="83"/>
      <c r="J16" s="83"/>
      <c r="K16" s="83"/>
    </row>
  </sheetData>
  <mergeCells count="4">
    <mergeCell ref="A1:K1"/>
    <mergeCell ref="A3:K3"/>
    <mergeCell ref="A5:K5"/>
    <mergeCell ref="A16:K16"/>
  </mergeCells>
  <printOptions horizontalCentered="1"/>
  <pageMargins left="0.2" right="0.2" top="0.25" bottom="0.2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16"/>
  <sheetViews>
    <sheetView view="pageBreakPreview" zoomScale="90" zoomScaleNormal="90" zoomScaleSheetLayoutView="90" workbookViewId="0">
      <selection activeCell="F11" sqref="F11"/>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5.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3" ht="20.25" x14ac:dyDescent="0.25">
      <c r="A1" s="81" t="s">
        <v>22</v>
      </c>
      <c r="B1" s="81"/>
      <c r="C1" s="81"/>
      <c r="D1" s="81"/>
      <c r="E1" s="81"/>
      <c r="F1" s="81"/>
      <c r="G1" s="81"/>
      <c r="H1" s="81"/>
      <c r="I1" s="81"/>
      <c r="J1" s="81"/>
      <c r="K1" s="81"/>
    </row>
    <row r="3" spans="1:13" ht="23.25" customHeight="1" x14ac:dyDescent="0.25">
      <c r="A3" s="76" t="s">
        <v>74</v>
      </c>
      <c r="B3" s="76"/>
      <c r="C3" s="76"/>
      <c r="D3" s="76"/>
      <c r="E3" s="76"/>
      <c r="F3" s="76"/>
      <c r="G3" s="76"/>
      <c r="H3" s="76"/>
      <c r="I3" s="76"/>
      <c r="J3" s="76"/>
      <c r="K3" s="76"/>
    </row>
    <row r="5" spans="1:13" ht="30" customHeight="1" x14ac:dyDescent="0.25">
      <c r="A5" s="24" t="s">
        <v>81</v>
      </c>
    </row>
    <row r="6" spans="1:13" ht="30" customHeight="1" x14ac:dyDescent="0.25">
      <c r="A6" s="25" t="s">
        <v>75</v>
      </c>
      <c r="B6" s="25"/>
      <c r="C6" s="25"/>
      <c r="D6" s="25"/>
      <c r="E6" s="25"/>
      <c r="F6" s="25"/>
      <c r="G6" s="25"/>
      <c r="H6" s="25"/>
      <c r="I6" s="47" t="str">
        <f>Harohally!I6</f>
        <v>As on 31.01.2018</v>
      </c>
      <c r="J6" s="25"/>
    </row>
    <row r="7" spans="1:13" ht="30" customHeight="1" x14ac:dyDescent="0.25">
      <c r="A7" s="25" t="s">
        <v>76</v>
      </c>
      <c r="B7" s="25"/>
      <c r="C7" s="25"/>
      <c r="D7" s="25"/>
      <c r="E7" s="25"/>
      <c r="F7" s="25"/>
      <c r="G7" s="25"/>
      <c r="H7" s="25"/>
      <c r="I7" s="25"/>
      <c r="J7" s="25"/>
    </row>
    <row r="8" spans="1:13" x14ac:dyDescent="0.25">
      <c r="A8" s="22"/>
      <c r="B8" s="22"/>
      <c r="C8" s="22"/>
      <c r="D8" s="22"/>
      <c r="E8" s="23"/>
      <c r="F8" s="23"/>
      <c r="G8" s="23"/>
      <c r="H8" s="23"/>
      <c r="I8" s="23"/>
      <c r="J8" s="23"/>
    </row>
    <row r="9" spans="1:13" ht="90" x14ac:dyDescent="0.25">
      <c r="A9" s="26" t="s">
        <v>26</v>
      </c>
      <c r="B9" s="26" t="s">
        <v>41</v>
      </c>
      <c r="C9" s="26" t="s">
        <v>42</v>
      </c>
      <c r="D9" s="26" t="s">
        <v>43</v>
      </c>
      <c r="E9" s="26" t="s">
        <v>44</v>
      </c>
      <c r="F9" s="26" t="str">
        <f>'ABSTRACT-HVDS P-II'!F9</f>
        <v>Progress as on prev month
(Dec-2017)</v>
      </c>
      <c r="G9" s="26" t="str">
        <f>'ABSTRACT-HVDS P-II'!G9</f>
        <v>Target fixed for the month of Jan-2018</v>
      </c>
      <c r="H9" s="26"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3" ht="30" customHeight="1" x14ac:dyDescent="0.25">
      <c r="A10" s="27">
        <v>1</v>
      </c>
      <c r="B10" s="28" t="s">
        <v>53</v>
      </c>
      <c r="C10" s="26" t="s">
        <v>50</v>
      </c>
      <c r="D10" s="29">
        <f>297.7/3.045</f>
        <v>97.766830870279151</v>
      </c>
      <c r="E10" s="29">
        <f>244.5/3.045</f>
        <v>80.29556650246306</v>
      </c>
      <c r="F10" s="30">
        <f>103/3.045</f>
        <v>33.825944170771756</v>
      </c>
      <c r="G10" s="30">
        <v>10</v>
      </c>
      <c r="H10" s="61">
        <v>0</v>
      </c>
      <c r="I10" s="29">
        <f>F10+H10</f>
        <v>33.825944170771756</v>
      </c>
      <c r="J10" s="31">
        <f>I10/E10</f>
        <v>0.42126789366053163</v>
      </c>
      <c r="K10" s="32">
        <f>I10/D10</f>
        <v>0.34598589183742018</v>
      </c>
      <c r="M10" s="45"/>
    </row>
    <row r="11" spans="1:13" ht="39.950000000000003" customHeight="1" x14ac:dyDescent="0.25">
      <c r="A11" s="27">
        <v>2</v>
      </c>
      <c r="B11" s="33" t="s">
        <v>49</v>
      </c>
      <c r="C11" s="26" t="s">
        <v>50</v>
      </c>
      <c r="D11" s="29">
        <f>2123.3/3.045</f>
        <v>697.30706075533669</v>
      </c>
      <c r="E11" s="29">
        <f>1419.4/3.045</f>
        <v>466.14121510673237</v>
      </c>
      <c r="F11" s="30">
        <f>826.5/3.045</f>
        <v>271.42857142857144</v>
      </c>
      <c r="G11" s="30">
        <v>100</v>
      </c>
      <c r="H11" s="61">
        <v>0</v>
      </c>
      <c r="I11" s="29">
        <f t="shared" ref="I11:I14" si="0">F11+H11</f>
        <v>271.42857142857144</v>
      </c>
      <c r="J11" s="31">
        <f t="shared" ref="J11:J14" si="1">I11/E11</f>
        <v>0.58228829082711009</v>
      </c>
      <c r="K11" s="32">
        <f t="shared" ref="K11:K14" si="2">I11/D11</f>
        <v>0.38925257853341494</v>
      </c>
      <c r="M11" s="45">
        <f>826-I11</f>
        <v>554.57142857142856</v>
      </c>
    </row>
    <row r="12" spans="1:13" ht="39.950000000000003" customHeight="1" x14ac:dyDescent="0.25">
      <c r="A12" s="27">
        <v>3</v>
      </c>
      <c r="B12" s="33" t="s">
        <v>52</v>
      </c>
      <c r="C12" s="26" t="s">
        <v>50</v>
      </c>
      <c r="D12" s="34">
        <v>0</v>
      </c>
      <c r="E12" s="34">
        <v>0</v>
      </c>
      <c r="F12" s="35">
        <v>0</v>
      </c>
      <c r="G12" s="30">
        <f t="shared" ref="G12" si="3">E12-F12</f>
        <v>0</v>
      </c>
      <c r="H12" s="34">
        <v>0</v>
      </c>
      <c r="I12" s="29">
        <f t="shared" si="0"/>
        <v>0</v>
      </c>
      <c r="J12" s="31">
        <v>0</v>
      </c>
      <c r="K12" s="32">
        <v>0</v>
      </c>
    </row>
    <row r="13" spans="1:13" ht="39.950000000000003" customHeight="1" x14ac:dyDescent="0.25">
      <c r="A13" s="27">
        <v>4</v>
      </c>
      <c r="B13" s="33" t="s">
        <v>51</v>
      </c>
      <c r="C13" s="26" t="s">
        <v>50</v>
      </c>
      <c r="D13" s="29">
        <v>117.07</v>
      </c>
      <c r="E13" s="29">
        <v>115.3</v>
      </c>
      <c r="F13" s="30">
        <v>34.54</v>
      </c>
      <c r="G13" s="30">
        <v>10</v>
      </c>
      <c r="H13" s="61">
        <v>0</v>
      </c>
      <c r="I13" s="29">
        <f t="shared" si="0"/>
        <v>34.54</v>
      </c>
      <c r="J13" s="31">
        <f t="shared" si="1"/>
        <v>0.29956634865568083</v>
      </c>
      <c r="K13" s="32">
        <f t="shared" si="2"/>
        <v>0.29503715725634239</v>
      </c>
      <c r="M13" s="45">
        <f>34.54-I13</f>
        <v>0</v>
      </c>
    </row>
    <row r="14" spans="1:13" ht="39.950000000000003" customHeight="1" x14ac:dyDescent="0.25">
      <c r="A14" s="27">
        <v>5</v>
      </c>
      <c r="B14" s="36" t="s">
        <v>65</v>
      </c>
      <c r="C14" s="37" t="s">
        <v>46</v>
      </c>
      <c r="D14" s="37">
        <v>3438</v>
      </c>
      <c r="E14" s="37">
        <v>3343</v>
      </c>
      <c r="F14" s="38">
        <v>614</v>
      </c>
      <c r="G14" s="39">
        <v>500</v>
      </c>
      <c r="H14" s="37">
        <v>155</v>
      </c>
      <c r="I14" s="40">
        <f t="shared" si="0"/>
        <v>769</v>
      </c>
      <c r="J14" s="31">
        <f t="shared" si="1"/>
        <v>0.23003290457672748</v>
      </c>
      <c r="K14" s="32">
        <f t="shared" si="2"/>
        <v>0.22367655613728912</v>
      </c>
      <c r="M14" s="46">
        <f>614-I14</f>
        <v>-155</v>
      </c>
    </row>
    <row r="16" spans="1:13" ht="38.25" customHeight="1" x14ac:dyDescent="0.25">
      <c r="A16" s="82" t="s">
        <v>78</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16"/>
  <sheetViews>
    <sheetView view="pageBreakPreview" zoomScale="90" zoomScaleNormal="90" zoomScaleSheetLayoutView="90" workbookViewId="0">
      <selection activeCell="F11" sqref="F11"/>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5.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3" ht="20.25" x14ac:dyDescent="0.25">
      <c r="A1" s="81" t="s">
        <v>22</v>
      </c>
      <c r="B1" s="81"/>
      <c r="C1" s="81"/>
      <c r="D1" s="81"/>
      <c r="E1" s="81"/>
      <c r="F1" s="81"/>
      <c r="G1" s="81"/>
      <c r="H1" s="81"/>
      <c r="I1" s="81"/>
      <c r="J1" s="81"/>
      <c r="K1" s="81"/>
    </row>
    <row r="3" spans="1:13" ht="23.25" customHeight="1" x14ac:dyDescent="0.25">
      <c r="A3" s="76" t="s">
        <v>74</v>
      </c>
      <c r="B3" s="76"/>
      <c r="C3" s="76"/>
      <c r="D3" s="76"/>
      <c r="E3" s="76"/>
      <c r="F3" s="76"/>
      <c r="G3" s="76"/>
      <c r="H3" s="76"/>
      <c r="I3" s="76"/>
      <c r="J3" s="76"/>
      <c r="K3" s="76"/>
    </row>
    <row r="5" spans="1:13" ht="30" customHeight="1" x14ac:dyDescent="0.25">
      <c r="A5" s="24" t="s">
        <v>80</v>
      </c>
      <c r="I5" s="59" t="str">
        <f>'Ramanagar RSD'!I6</f>
        <v>As on 31.01.2018</v>
      </c>
    </row>
    <row r="6" spans="1:13" ht="30" customHeight="1" x14ac:dyDescent="0.25">
      <c r="A6" s="25" t="s">
        <v>84</v>
      </c>
      <c r="B6" s="25"/>
      <c r="C6" s="25"/>
      <c r="D6" s="25"/>
      <c r="E6" s="25"/>
      <c r="F6" s="25"/>
      <c r="G6" s="25"/>
      <c r="H6" s="25"/>
      <c r="I6" s="25"/>
      <c r="J6" s="25"/>
    </row>
    <row r="7" spans="1:13" ht="30" customHeight="1" x14ac:dyDescent="0.25">
      <c r="A7" s="25" t="s">
        <v>79</v>
      </c>
      <c r="B7" s="25"/>
      <c r="C7" s="25"/>
      <c r="D7" s="25"/>
      <c r="E7" s="25"/>
      <c r="F7" s="25"/>
      <c r="G7" s="25"/>
      <c r="H7" s="25"/>
      <c r="I7" s="25"/>
      <c r="J7" s="25"/>
    </row>
    <row r="8" spans="1:13" x14ac:dyDescent="0.25">
      <c r="A8" s="22"/>
      <c r="B8" s="22"/>
      <c r="C8" s="22"/>
      <c r="D8" s="22"/>
      <c r="E8" s="23"/>
      <c r="F8" s="23"/>
      <c r="G8" s="23"/>
      <c r="H8" s="23"/>
      <c r="I8" s="23"/>
      <c r="J8" s="23"/>
    </row>
    <row r="9" spans="1:13" ht="90" x14ac:dyDescent="0.25">
      <c r="A9" s="26" t="s">
        <v>26</v>
      </c>
      <c r="B9" s="26" t="s">
        <v>41</v>
      </c>
      <c r="C9" s="26" t="s">
        <v>42</v>
      </c>
      <c r="D9" s="26" t="s">
        <v>43</v>
      </c>
      <c r="E9" s="26" t="s">
        <v>44</v>
      </c>
      <c r="F9" s="26" t="str">
        <f>'ABSTRACT-HVDS P-II'!F9</f>
        <v>Progress as on prev month
(Dec-2017)</v>
      </c>
      <c r="G9" s="26" t="str">
        <f>'ABSTRACT-HVDS P-II'!G9</f>
        <v>Target fixed for the month of Jan-2018</v>
      </c>
      <c r="H9" s="26"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3" ht="30" customHeight="1" x14ac:dyDescent="0.25">
      <c r="A10" s="27">
        <v>1</v>
      </c>
      <c r="B10" s="28" t="s">
        <v>53</v>
      </c>
      <c r="C10" s="26" t="s">
        <v>50</v>
      </c>
      <c r="D10" s="29">
        <f>482.62/3.045</f>
        <v>158.49589490968802</v>
      </c>
      <c r="E10" s="29">
        <f>498.4/3.045</f>
        <v>163.67816091954023</v>
      </c>
      <c r="F10" s="30">
        <v>104.6</v>
      </c>
      <c r="G10" s="30">
        <v>100</v>
      </c>
      <c r="H10" s="61">
        <v>23.44</v>
      </c>
      <c r="I10" s="29">
        <f>F10+H10</f>
        <v>128.04</v>
      </c>
      <c r="J10" s="31">
        <f>I10/E10</f>
        <v>0.78226685393258422</v>
      </c>
      <c r="K10" s="32">
        <f>I10/D10</f>
        <v>0.80784426671086973</v>
      </c>
      <c r="M10" s="45">
        <f>104.6-I10</f>
        <v>-23.439999999999998</v>
      </c>
    </row>
    <row r="11" spans="1:13" ht="39.950000000000003" customHeight="1" x14ac:dyDescent="0.25">
      <c r="A11" s="27">
        <v>2</v>
      </c>
      <c r="B11" s="33" t="s">
        <v>49</v>
      </c>
      <c r="C11" s="26" t="s">
        <v>50</v>
      </c>
      <c r="D11" s="29">
        <f>2260.8/3.045</f>
        <v>742.46305418719214</v>
      </c>
      <c r="E11" s="29">
        <f>2882.5/3.045</f>
        <v>946.63382594417078</v>
      </c>
      <c r="F11" s="30">
        <f>551.44/3.045</f>
        <v>181.09688013136292</v>
      </c>
      <c r="G11" s="30">
        <v>100</v>
      </c>
      <c r="H11" s="61">
        <f>195.01/3.045</f>
        <v>64.04269293924466</v>
      </c>
      <c r="I11" s="29">
        <f t="shared" ref="I11:I14" si="0">F11+H11</f>
        <v>245.13957307060758</v>
      </c>
      <c r="J11" s="31">
        <f t="shared" ref="J11:J14" si="1">I11/E11</f>
        <v>0.25895923677363403</v>
      </c>
      <c r="K11" s="32">
        <f t="shared" ref="K11:K14" si="2">I11/D11</f>
        <v>0.3301707360226469</v>
      </c>
      <c r="M11" s="45"/>
    </row>
    <row r="12" spans="1:13" ht="39.950000000000003" customHeight="1" x14ac:dyDescent="0.25">
      <c r="A12" s="27">
        <v>3</v>
      </c>
      <c r="B12" s="33" t="s">
        <v>52</v>
      </c>
      <c r="C12" s="26" t="s">
        <v>50</v>
      </c>
      <c r="D12" s="34">
        <v>0</v>
      </c>
      <c r="E12" s="34">
        <v>0</v>
      </c>
      <c r="F12" s="35">
        <v>0</v>
      </c>
      <c r="G12" s="30">
        <f t="shared" ref="G12" si="3">E12-F12</f>
        <v>0</v>
      </c>
      <c r="H12" s="34">
        <v>0</v>
      </c>
      <c r="I12" s="29">
        <f t="shared" si="0"/>
        <v>0</v>
      </c>
      <c r="J12" s="31">
        <v>0</v>
      </c>
      <c r="K12" s="32">
        <v>0</v>
      </c>
    </row>
    <row r="13" spans="1:13" ht="39.950000000000003" customHeight="1" x14ac:dyDescent="0.25">
      <c r="A13" s="27">
        <v>4</v>
      </c>
      <c r="B13" s="33" t="s">
        <v>51</v>
      </c>
      <c r="C13" s="26" t="s">
        <v>50</v>
      </c>
      <c r="D13" s="34">
        <v>178.49</v>
      </c>
      <c r="E13" s="34">
        <v>176.76</v>
      </c>
      <c r="F13" s="35">
        <v>35.450000000000003</v>
      </c>
      <c r="G13" s="30">
        <v>25</v>
      </c>
      <c r="H13" s="34">
        <v>12.8</v>
      </c>
      <c r="I13" s="29">
        <f t="shared" si="0"/>
        <v>48.25</v>
      </c>
      <c r="J13" s="31">
        <f t="shared" si="1"/>
        <v>0.27296899751074905</v>
      </c>
      <c r="K13" s="32">
        <f t="shared" si="2"/>
        <v>0.27032326740993889</v>
      </c>
      <c r="M13" s="45"/>
    </row>
    <row r="14" spans="1:13" ht="39.950000000000003" customHeight="1" x14ac:dyDescent="0.25">
      <c r="A14" s="27">
        <v>5</v>
      </c>
      <c r="B14" s="36" t="s">
        <v>65</v>
      </c>
      <c r="C14" s="37" t="s">
        <v>46</v>
      </c>
      <c r="D14" s="37">
        <v>4466</v>
      </c>
      <c r="E14" s="37">
        <v>5273</v>
      </c>
      <c r="F14" s="38">
        <v>2339</v>
      </c>
      <c r="G14" s="39">
        <v>500</v>
      </c>
      <c r="H14" s="37">
        <v>707</v>
      </c>
      <c r="I14" s="40">
        <f t="shared" si="0"/>
        <v>3046</v>
      </c>
      <c r="J14" s="31">
        <f t="shared" si="1"/>
        <v>0.57765977621847142</v>
      </c>
      <c r="K14" s="32">
        <f t="shared" si="2"/>
        <v>0.68204209583519926</v>
      </c>
      <c r="M14" s="46"/>
    </row>
    <row r="16" spans="1:13" ht="38.25" customHeight="1" x14ac:dyDescent="0.25">
      <c r="A16" s="82" t="s">
        <v>78</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6"/>
  <sheetViews>
    <sheetView view="pageBreakPreview" zoomScale="90" zoomScaleNormal="90" zoomScaleSheetLayoutView="90" workbookViewId="0">
      <selection activeCell="F11" sqref="F11"/>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5.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3.25" customHeight="1" x14ac:dyDescent="0.25">
      <c r="A3" s="76" t="s">
        <v>74</v>
      </c>
      <c r="B3" s="76"/>
      <c r="C3" s="76"/>
      <c r="D3" s="76"/>
      <c r="E3" s="76"/>
      <c r="F3" s="76"/>
      <c r="G3" s="76"/>
      <c r="H3" s="76"/>
      <c r="I3" s="76"/>
      <c r="J3" s="76"/>
      <c r="K3" s="76"/>
    </row>
    <row r="5" spans="1:11" ht="30" customHeight="1" x14ac:dyDescent="0.25">
      <c r="A5" s="24" t="s">
        <v>82</v>
      </c>
      <c r="I5" s="59" t="str">
        <f>'Channapatna RSD'!I5</f>
        <v>As on 31.01.2018</v>
      </c>
    </row>
    <row r="6" spans="1:11" ht="46.5" customHeight="1" x14ac:dyDescent="0.25">
      <c r="A6" s="99" t="s">
        <v>83</v>
      </c>
      <c r="B6" s="99"/>
      <c r="C6" s="99"/>
      <c r="D6" s="99"/>
      <c r="E6" s="99"/>
      <c r="F6" s="99"/>
      <c r="G6" s="99"/>
      <c r="H6" s="99"/>
      <c r="I6" s="99"/>
      <c r="J6" s="99"/>
      <c r="K6" s="99"/>
    </row>
    <row r="7" spans="1:11" ht="30" customHeight="1" x14ac:dyDescent="0.25">
      <c r="A7" s="25" t="s">
        <v>86</v>
      </c>
      <c r="B7" s="25"/>
      <c r="C7" s="25"/>
      <c r="D7" s="25"/>
      <c r="E7" s="25"/>
      <c r="F7" s="25"/>
      <c r="G7" s="25"/>
      <c r="H7" s="25"/>
      <c r="I7" s="25"/>
      <c r="J7" s="25"/>
    </row>
    <row r="8" spans="1:11" x14ac:dyDescent="0.25">
      <c r="A8" s="22"/>
      <c r="B8" s="22"/>
      <c r="C8" s="22"/>
      <c r="D8" s="22"/>
      <c r="E8" s="23"/>
      <c r="F8" s="23"/>
      <c r="G8" s="23"/>
      <c r="H8" s="23"/>
      <c r="I8" s="23"/>
      <c r="J8" s="23"/>
    </row>
    <row r="9" spans="1:11" ht="90" x14ac:dyDescent="0.25">
      <c r="A9" s="26" t="s">
        <v>26</v>
      </c>
      <c r="B9" s="26" t="s">
        <v>41</v>
      </c>
      <c r="C9" s="26" t="s">
        <v>42</v>
      </c>
      <c r="D9" s="26" t="s">
        <v>43</v>
      </c>
      <c r="E9" s="26" t="s">
        <v>44</v>
      </c>
      <c r="F9" s="26" t="str">
        <f>'ABSTRACT-HVDS P-II'!F9</f>
        <v>Progress as on prev month
(Dec-2017)</v>
      </c>
      <c r="G9" s="26" t="str">
        <f>'ABSTRACT-HVDS P-II'!G9</f>
        <v>Target fixed for the month of Jan-2018</v>
      </c>
      <c r="H9" s="26"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1" ht="30" customHeight="1" x14ac:dyDescent="0.25">
      <c r="A10" s="27">
        <v>1</v>
      </c>
      <c r="B10" s="28" t="s">
        <v>53</v>
      </c>
      <c r="C10" s="26" t="s">
        <v>50</v>
      </c>
      <c r="D10" s="29">
        <f>397.86/3.045</f>
        <v>130.66009852216749</v>
      </c>
      <c r="E10" s="63">
        <f>450/3.045</f>
        <v>147.78325123152709</v>
      </c>
      <c r="F10" s="30">
        <v>36.340000000000003</v>
      </c>
      <c r="G10" s="30">
        <v>25</v>
      </c>
      <c r="H10" s="61">
        <v>0</v>
      </c>
      <c r="I10" s="29">
        <f>F10+H10</f>
        <v>36.340000000000003</v>
      </c>
      <c r="J10" s="31">
        <f>I10/E10</f>
        <v>0.24590066666666668</v>
      </c>
      <c r="K10" s="32">
        <f>I10/D10</f>
        <v>0.27812622530538383</v>
      </c>
    </row>
    <row r="11" spans="1:11" ht="39.950000000000003" customHeight="1" x14ac:dyDescent="0.25">
      <c r="A11" s="27">
        <v>2</v>
      </c>
      <c r="B11" s="33" t="s">
        <v>49</v>
      </c>
      <c r="C11" s="26" t="s">
        <v>50</v>
      </c>
      <c r="D11" s="29">
        <f>1770.2/3.045</f>
        <v>581.34646962233171</v>
      </c>
      <c r="E11" s="63">
        <f>2655/3.045</f>
        <v>871.92118226600985</v>
      </c>
      <c r="F11" s="30">
        <f>191/3.045</f>
        <v>62.725779967159276</v>
      </c>
      <c r="G11" s="30">
        <v>15</v>
      </c>
      <c r="H11" s="61">
        <f>61/3.045</f>
        <v>20.032840722495894</v>
      </c>
      <c r="I11" s="29">
        <f t="shared" ref="I11:I14" si="0">F11+H11</f>
        <v>82.758620689655174</v>
      </c>
      <c r="J11" s="31">
        <f t="shared" ref="J11:J14" si="1">I11/E11</f>
        <v>9.4915254237288138E-2</v>
      </c>
      <c r="K11" s="32">
        <f t="shared" ref="K11:K14" si="2">I11/D11</f>
        <v>0.1423567958422777</v>
      </c>
    </row>
    <row r="12" spans="1:11" ht="39.950000000000003" customHeight="1" x14ac:dyDescent="0.25">
      <c r="A12" s="27">
        <v>3</v>
      </c>
      <c r="B12" s="33" t="s">
        <v>52</v>
      </c>
      <c r="C12" s="26" t="s">
        <v>50</v>
      </c>
      <c r="D12" s="34">
        <v>0</v>
      </c>
      <c r="E12" s="34">
        <v>0</v>
      </c>
      <c r="F12" s="35">
        <v>0</v>
      </c>
      <c r="G12" s="30">
        <f t="shared" ref="G12" si="3">E12-F12</f>
        <v>0</v>
      </c>
      <c r="H12" s="34">
        <v>0</v>
      </c>
      <c r="I12" s="29">
        <f t="shared" si="0"/>
        <v>0</v>
      </c>
      <c r="J12" s="31">
        <v>0</v>
      </c>
      <c r="K12" s="32">
        <v>0</v>
      </c>
    </row>
    <row r="13" spans="1:11" ht="39.950000000000003" customHeight="1" x14ac:dyDescent="0.25">
      <c r="A13" s="27">
        <v>4</v>
      </c>
      <c r="B13" s="33" t="s">
        <v>51</v>
      </c>
      <c r="C13" s="26" t="s">
        <v>50</v>
      </c>
      <c r="D13" s="34">
        <f>51.75+13.95</f>
        <v>65.7</v>
      </c>
      <c r="E13" s="34">
        <v>80</v>
      </c>
      <c r="F13" s="35">
        <v>0</v>
      </c>
      <c r="G13" s="30">
        <v>5</v>
      </c>
      <c r="H13" s="34">
        <v>0</v>
      </c>
      <c r="I13" s="29">
        <f t="shared" si="0"/>
        <v>0</v>
      </c>
      <c r="J13" s="31">
        <f t="shared" si="1"/>
        <v>0</v>
      </c>
      <c r="K13" s="32">
        <f t="shared" si="2"/>
        <v>0</v>
      </c>
    </row>
    <row r="14" spans="1:11" ht="39.950000000000003" customHeight="1" x14ac:dyDescent="0.25">
      <c r="A14" s="27">
        <v>5</v>
      </c>
      <c r="B14" s="36" t="s">
        <v>65</v>
      </c>
      <c r="C14" s="37" t="s">
        <v>46</v>
      </c>
      <c r="D14" s="37">
        <f>2823+1310</f>
        <v>4133</v>
      </c>
      <c r="E14" s="64">
        <v>4135</v>
      </c>
      <c r="F14" s="38">
        <v>155</v>
      </c>
      <c r="G14" s="39">
        <v>100</v>
      </c>
      <c r="H14" s="37">
        <v>10</v>
      </c>
      <c r="I14" s="40">
        <f t="shared" si="0"/>
        <v>165</v>
      </c>
      <c r="J14" s="31">
        <f t="shared" si="1"/>
        <v>3.9903264812575577E-2</v>
      </c>
      <c r="K14" s="32">
        <f t="shared" si="2"/>
        <v>3.9922574401161384E-2</v>
      </c>
    </row>
    <row r="16" spans="1:11" ht="38.25" customHeight="1" x14ac:dyDescent="0.25">
      <c r="A16" s="82" t="s">
        <v>90</v>
      </c>
      <c r="B16" s="83"/>
      <c r="C16" s="83"/>
      <c r="D16" s="83"/>
      <c r="E16" s="83"/>
      <c r="F16" s="83"/>
      <c r="G16" s="83"/>
      <c r="H16" s="83"/>
      <c r="I16" s="83"/>
      <c r="J16" s="83"/>
      <c r="K16" s="83"/>
    </row>
  </sheetData>
  <mergeCells count="4">
    <mergeCell ref="A1:K1"/>
    <mergeCell ref="A3:K3"/>
    <mergeCell ref="A16:K16"/>
    <mergeCell ref="A6:K6"/>
  </mergeCells>
  <printOptions horizontalCentered="1"/>
  <pageMargins left="0.2" right="0.2" top="0.25" bottom="0.2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Q18"/>
  <sheetViews>
    <sheetView tabSelected="1" view="pageBreakPreview" zoomScale="70" zoomScaleNormal="70" zoomScaleSheetLayoutView="70" workbookViewId="0">
      <selection activeCell="N9" sqref="N9"/>
    </sheetView>
  </sheetViews>
  <sheetFormatPr defaultColWidth="9.140625" defaultRowHeight="18" x14ac:dyDescent="0.25"/>
  <cols>
    <col min="1" max="1" width="7" style="106" bestFit="1" customWidth="1"/>
    <col min="2" max="2" width="25.28515625" style="106" customWidth="1"/>
    <col min="3" max="3" width="20.42578125" style="106" customWidth="1"/>
    <col min="4" max="4" width="20.7109375" style="106" customWidth="1"/>
    <col min="5" max="5" width="15.85546875" style="106" customWidth="1"/>
    <col min="6" max="6" width="17.7109375" style="106" customWidth="1"/>
    <col min="7" max="7" width="19.7109375" style="106" customWidth="1"/>
    <col min="8" max="8" width="21.85546875" style="106" customWidth="1"/>
    <col min="9" max="9" width="25" style="106" customWidth="1"/>
    <col min="10" max="10" width="27.5703125" style="106" customWidth="1"/>
    <col min="11" max="13" width="9.140625" style="106"/>
    <col min="14" max="15" width="18.5703125" style="106" customWidth="1"/>
    <col min="16" max="16" width="24.28515625" style="106" customWidth="1"/>
    <col min="17" max="17" width="18.5703125" style="106" customWidth="1"/>
    <col min="18" max="16384" width="9.140625" style="106"/>
  </cols>
  <sheetData>
    <row r="1" spans="1:17" s="102" customFormat="1" ht="32.25" customHeight="1" x14ac:dyDescent="0.25">
      <c r="A1" s="100" t="s">
        <v>22</v>
      </c>
      <c r="B1" s="100"/>
      <c r="C1" s="100"/>
      <c r="D1" s="100"/>
      <c r="E1" s="100"/>
      <c r="F1" s="100"/>
      <c r="G1" s="100"/>
      <c r="H1" s="100"/>
      <c r="I1" s="100"/>
      <c r="J1" s="100"/>
      <c r="K1" s="101"/>
      <c r="Q1" s="103"/>
    </row>
    <row r="2" spans="1:17" ht="41.25" customHeight="1" x14ac:dyDescent="0.25">
      <c r="A2" s="104" t="s">
        <v>0</v>
      </c>
      <c r="B2" s="105"/>
      <c r="C2" s="105"/>
      <c r="D2" s="105"/>
      <c r="E2" s="105"/>
      <c r="F2" s="105"/>
      <c r="G2" s="105"/>
      <c r="H2" s="105"/>
      <c r="I2" s="105"/>
      <c r="J2" s="105"/>
    </row>
    <row r="3" spans="1:17" s="102" customFormat="1" ht="44.25" customHeight="1" x14ac:dyDescent="0.25">
      <c r="A3" s="107" t="s">
        <v>101</v>
      </c>
      <c r="B3" s="107"/>
      <c r="C3" s="107"/>
      <c r="D3" s="107"/>
      <c r="E3" s="107"/>
      <c r="F3" s="107"/>
      <c r="G3" s="107"/>
      <c r="H3" s="107"/>
      <c r="I3" s="107"/>
      <c r="J3" s="107"/>
      <c r="K3" s="101"/>
      <c r="Q3" s="103"/>
    </row>
    <row r="4" spans="1:17" s="102" customFormat="1" ht="27" customHeight="1" x14ac:dyDescent="0.25">
      <c r="A4" s="108"/>
      <c r="B4" s="108"/>
      <c r="C4" s="108"/>
      <c r="D4" s="108"/>
      <c r="E4" s="108"/>
      <c r="F4" s="108"/>
      <c r="G4" s="108"/>
      <c r="H4" s="108"/>
      <c r="I4" s="108"/>
      <c r="J4" s="108"/>
      <c r="K4" s="101"/>
      <c r="Q4" s="103"/>
    </row>
    <row r="5" spans="1:17" ht="83.25" customHeight="1" x14ac:dyDescent="0.25">
      <c r="A5" s="109" t="s">
        <v>102</v>
      </c>
      <c r="B5" s="109" t="s">
        <v>103</v>
      </c>
      <c r="C5" s="109" t="s">
        <v>104</v>
      </c>
      <c r="D5" s="109" t="s">
        <v>105</v>
      </c>
      <c r="E5" s="109" t="s">
        <v>106</v>
      </c>
      <c r="F5" s="109" t="s">
        <v>107</v>
      </c>
      <c r="G5" s="109" t="s">
        <v>108</v>
      </c>
      <c r="H5" s="109" t="s">
        <v>109</v>
      </c>
      <c r="I5" s="109" t="s">
        <v>110</v>
      </c>
      <c r="J5" s="109" t="s">
        <v>13</v>
      </c>
    </row>
    <row r="6" spans="1:17" s="114" customFormat="1" ht="46.5" customHeight="1" x14ac:dyDescent="0.25">
      <c r="A6" s="110">
        <v>1</v>
      </c>
      <c r="B6" s="111" t="s">
        <v>111</v>
      </c>
      <c r="C6" s="112" t="s">
        <v>112</v>
      </c>
      <c r="D6" s="112" t="s">
        <v>113</v>
      </c>
      <c r="E6" s="112">
        <v>17</v>
      </c>
      <c r="F6" s="110">
        <v>99.02</v>
      </c>
      <c r="G6" s="112">
        <v>152.72999999999999</v>
      </c>
      <c r="H6" s="113">
        <v>146.22</v>
      </c>
      <c r="I6" s="110" t="s">
        <v>114</v>
      </c>
      <c r="J6" s="112"/>
    </row>
    <row r="7" spans="1:17" s="114" customFormat="1" ht="46.5" customHeight="1" x14ac:dyDescent="0.25">
      <c r="A7" s="110">
        <v>2</v>
      </c>
      <c r="B7" s="111" t="s">
        <v>115</v>
      </c>
      <c r="C7" s="112" t="s">
        <v>112</v>
      </c>
      <c r="D7" s="112" t="s">
        <v>113</v>
      </c>
      <c r="E7" s="112">
        <v>8</v>
      </c>
      <c r="F7" s="110">
        <v>47.23</v>
      </c>
      <c r="G7" s="112">
        <v>93.28</v>
      </c>
      <c r="H7" s="115"/>
      <c r="I7" s="110" t="s">
        <v>114</v>
      </c>
      <c r="J7" s="112"/>
    </row>
    <row r="8" spans="1:17" s="119" customFormat="1" ht="46.5" customHeight="1" x14ac:dyDescent="0.25">
      <c r="A8" s="110">
        <v>3</v>
      </c>
      <c r="B8" s="111" t="s">
        <v>116</v>
      </c>
      <c r="C8" s="112" t="s">
        <v>117</v>
      </c>
      <c r="D8" s="112" t="s">
        <v>113</v>
      </c>
      <c r="E8" s="116">
        <v>6</v>
      </c>
      <c r="F8" s="117">
        <v>34.799999999999997</v>
      </c>
      <c r="G8" s="116">
        <v>74.62</v>
      </c>
      <c r="H8" s="118">
        <v>57.54</v>
      </c>
      <c r="I8" s="110" t="s">
        <v>114</v>
      </c>
      <c r="J8" s="112"/>
    </row>
    <row r="9" spans="1:17" s="121" customFormat="1" ht="46.5" customHeight="1" x14ac:dyDescent="0.25">
      <c r="A9" s="110">
        <v>4</v>
      </c>
      <c r="B9" s="111" t="s">
        <v>118</v>
      </c>
      <c r="C9" s="112" t="s">
        <v>119</v>
      </c>
      <c r="D9" s="112" t="s">
        <v>120</v>
      </c>
      <c r="E9" s="116">
        <v>9</v>
      </c>
      <c r="F9" s="120">
        <v>193</v>
      </c>
      <c r="G9" s="112">
        <v>87.64</v>
      </c>
      <c r="H9" s="118">
        <v>87.63</v>
      </c>
      <c r="I9" s="110" t="s">
        <v>114</v>
      </c>
      <c r="J9" s="112"/>
    </row>
    <row r="10" spans="1:17" s="121" customFormat="1" ht="46.5" customHeight="1" x14ac:dyDescent="0.25">
      <c r="A10" s="110">
        <v>5</v>
      </c>
      <c r="B10" s="122" t="s">
        <v>121</v>
      </c>
      <c r="C10" s="112" t="s">
        <v>122</v>
      </c>
      <c r="D10" s="112" t="s">
        <v>122</v>
      </c>
      <c r="E10" s="116">
        <v>8</v>
      </c>
      <c r="F10" s="110" t="s">
        <v>122</v>
      </c>
      <c r="G10" s="112">
        <v>75.260000000000005</v>
      </c>
      <c r="H10" s="123">
        <v>298.81</v>
      </c>
      <c r="I10" s="110" t="s">
        <v>114</v>
      </c>
      <c r="J10" s="124" t="s">
        <v>123</v>
      </c>
    </row>
    <row r="11" spans="1:17" s="121" customFormat="1" ht="46.5" customHeight="1" x14ac:dyDescent="0.25">
      <c r="A11" s="110">
        <v>6</v>
      </c>
      <c r="B11" s="122" t="s">
        <v>124</v>
      </c>
      <c r="C11" s="112" t="s">
        <v>122</v>
      </c>
      <c r="D11" s="112" t="s">
        <v>122</v>
      </c>
      <c r="E11" s="116">
        <v>15</v>
      </c>
      <c r="F11" s="110" t="s">
        <v>122</v>
      </c>
      <c r="G11" s="112">
        <v>173.34</v>
      </c>
      <c r="H11" s="125"/>
      <c r="I11" s="110" t="s">
        <v>114</v>
      </c>
      <c r="J11" s="126"/>
    </row>
    <row r="12" spans="1:17" s="121" customFormat="1" ht="46.5" customHeight="1" x14ac:dyDescent="0.25">
      <c r="A12" s="110">
        <v>7</v>
      </c>
      <c r="B12" s="122" t="s">
        <v>125</v>
      </c>
      <c r="C12" s="112" t="s">
        <v>122</v>
      </c>
      <c r="D12" s="112" t="s">
        <v>122</v>
      </c>
      <c r="E12" s="116">
        <v>5</v>
      </c>
      <c r="F12" s="112" t="s">
        <v>122</v>
      </c>
      <c r="G12" s="112">
        <v>42.54</v>
      </c>
      <c r="H12" s="127"/>
      <c r="I12" s="110" t="s">
        <v>114</v>
      </c>
      <c r="J12" s="126"/>
    </row>
    <row r="13" spans="1:17" ht="40.5" customHeight="1" x14ac:dyDescent="0.25">
      <c r="A13" s="128" t="s">
        <v>1</v>
      </c>
      <c r="B13" s="128"/>
      <c r="C13" s="128"/>
      <c r="D13" s="112"/>
      <c r="E13" s="112">
        <f t="shared" ref="E13:H13" si="0">SUM(E6:E12)</f>
        <v>68</v>
      </c>
      <c r="F13" s="112">
        <f t="shared" si="0"/>
        <v>374.05</v>
      </c>
      <c r="G13" s="112">
        <f t="shared" si="0"/>
        <v>699.41</v>
      </c>
      <c r="H13" s="129">
        <f t="shared" si="0"/>
        <v>590.20000000000005</v>
      </c>
      <c r="I13" s="112"/>
      <c r="J13" s="130"/>
    </row>
    <row r="14" spans="1:17" x14ac:dyDescent="0.25">
      <c r="N14" s="131"/>
      <c r="O14" s="131"/>
      <c r="P14" s="131"/>
    </row>
    <row r="15" spans="1:17" ht="18" customHeight="1" x14ac:dyDescent="0.25">
      <c r="N15" s="131"/>
      <c r="O15" s="131"/>
      <c r="P15" s="131"/>
    </row>
    <row r="16" spans="1:17" x14ac:dyDescent="0.25">
      <c r="N16" s="131"/>
      <c r="O16" s="131"/>
      <c r="P16" s="131"/>
    </row>
    <row r="18" spans="8:8" x14ac:dyDescent="0.25">
      <c r="H18" s="132"/>
    </row>
  </sheetData>
  <mergeCells count="7">
    <mergeCell ref="A13:C13"/>
    <mergeCell ref="A1:J1"/>
    <mergeCell ref="A2:J2"/>
    <mergeCell ref="A3:J3"/>
    <mergeCell ref="H6:H7"/>
    <mergeCell ref="H10:H12"/>
    <mergeCell ref="J10:J12"/>
  </mergeCells>
  <printOptions horizontalCentered="1" verticalCentered="1"/>
  <pageMargins left="0.7" right="0.7" top="0"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6"/>
  <sheetViews>
    <sheetView view="pageBreakPreview" zoomScale="90" zoomScaleNormal="90" zoomScaleSheetLayoutView="90" workbookViewId="0">
      <selection activeCell="E11" sqref="E11"/>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2.8554687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3.25" customHeight="1" x14ac:dyDescent="0.25">
      <c r="A3" s="76" t="s">
        <v>73</v>
      </c>
      <c r="B3" s="76"/>
      <c r="C3" s="76"/>
      <c r="D3" s="76"/>
      <c r="E3" s="76"/>
      <c r="F3" s="76"/>
      <c r="G3" s="76"/>
      <c r="H3" s="76"/>
      <c r="I3" s="76"/>
      <c r="J3" s="76"/>
      <c r="K3" s="76"/>
    </row>
    <row r="4" spans="1:11" ht="23.25" customHeight="1" x14ac:dyDescent="0.25">
      <c r="A4" s="20"/>
      <c r="B4" s="20"/>
      <c r="C4" s="20"/>
      <c r="D4" s="20"/>
      <c r="E4" s="20"/>
      <c r="F4" s="20"/>
      <c r="G4" s="20"/>
      <c r="H4" s="20"/>
      <c r="I4" s="20"/>
      <c r="J4" s="20"/>
      <c r="K4" s="20"/>
    </row>
    <row r="5" spans="1:11" ht="23.25" customHeight="1" x14ac:dyDescent="0.25">
      <c r="A5" s="76" t="s">
        <v>88</v>
      </c>
      <c r="B5" s="76"/>
      <c r="C5" s="76"/>
      <c r="D5" s="76"/>
      <c r="E5" s="76"/>
      <c r="F5" s="76"/>
      <c r="G5" s="76"/>
      <c r="H5" s="76"/>
      <c r="I5" s="76"/>
      <c r="J5" s="76"/>
      <c r="K5" s="76"/>
    </row>
    <row r="6" spans="1:11" ht="18" x14ac:dyDescent="0.25">
      <c r="A6" s="20"/>
      <c r="B6" s="20"/>
      <c r="C6" s="20"/>
      <c r="D6" s="20"/>
      <c r="E6" s="20"/>
      <c r="F6" s="20"/>
      <c r="G6" s="20"/>
      <c r="H6" s="20"/>
      <c r="I6" s="84" t="s">
        <v>97</v>
      </c>
      <c r="J6" s="84"/>
      <c r="K6" s="84"/>
    </row>
    <row r="8" spans="1:11" x14ac:dyDescent="0.25">
      <c r="A8" s="22"/>
      <c r="B8" s="22"/>
      <c r="C8" s="22"/>
      <c r="D8" s="22"/>
      <c r="E8" s="23"/>
      <c r="F8" s="23"/>
      <c r="G8" s="23"/>
      <c r="H8" s="23"/>
      <c r="I8" s="23"/>
      <c r="J8" s="23"/>
    </row>
    <row r="9" spans="1:11" ht="75" x14ac:dyDescent="0.25">
      <c r="A9" s="26" t="s">
        <v>26</v>
      </c>
      <c r="B9" s="26" t="s">
        <v>41</v>
      </c>
      <c r="C9" s="26" t="s">
        <v>42</v>
      </c>
      <c r="D9" s="26" t="s">
        <v>43</v>
      </c>
      <c r="E9" s="26" t="s">
        <v>44</v>
      </c>
      <c r="F9" s="60" t="s">
        <v>93</v>
      </c>
      <c r="G9" s="60" t="s">
        <v>94</v>
      </c>
      <c r="H9" s="60" t="s">
        <v>95</v>
      </c>
      <c r="I9" s="60" t="s">
        <v>100</v>
      </c>
      <c r="J9" s="26" t="s">
        <v>45</v>
      </c>
      <c r="K9" s="26" t="s">
        <v>54</v>
      </c>
    </row>
    <row r="10" spans="1:11" ht="39.950000000000003" customHeight="1" x14ac:dyDescent="0.25">
      <c r="A10" s="27">
        <v>1</v>
      </c>
      <c r="B10" s="28" t="s">
        <v>53</v>
      </c>
      <c r="C10" s="26" t="s">
        <v>50</v>
      </c>
      <c r="D10" s="29">
        <f>'Kanaka USD'!D10+'Kanaka RSD'!D10+Harohally!D10+Sathanur!D10+'Huliyur Durga'!D10</f>
        <v>579.25451559934322</v>
      </c>
      <c r="E10" s="29">
        <f>'Kanaka USD'!E10+'Kanaka RSD'!E10+Harohally!E10+Sathanur!E10+'Huliyur Durga'!E10</f>
        <v>722.06677613574152</v>
      </c>
      <c r="F10" s="30">
        <f>'Kanaka USD'!F10+'Kanaka RSD'!F10+Harohally!F10+Sathanur!F10+'Huliyur Durga'!F10</f>
        <v>505.23615763546798</v>
      </c>
      <c r="G10" s="30">
        <f>E10-F10</f>
        <v>216.83061850027354</v>
      </c>
      <c r="H10" s="29">
        <f>'Kanaka USD'!H10+'Kanaka RSD'!H10+Harohally!H10+Sathanur!H10+'Huliyur Durga'!H10</f>
        <v>0</v>
      </c>
      <c r="I10" s="29">
        <f>F10+H10</f>
        <v>505.23615763546798</v>
      </c>
      <c r="J10" s="31">
        <f>I10/E10</f>
        <v>0.69970835708481416</v>
      </c>
      <c r="K10" s="32">
        <f>I10/D10</f>
        <v>0.87221790081810602</v>
      </c>
    </row>
    <row r="11" spans="1:11" ht="39.950000000000003" customHeight="1" x14ac:dyDescent="0.25">
      <c r="A11" s="27">
        <v>2</v>
      </c>
      <c r="B11" s="33" t="s">
        <v>49</v>
      </c>
      <c r="C11" s="26" t="s">
        <v>50</v>
      </c>
      <c r="D11" s="29">
        <f>'Kanaka USD'!D11+'Kanaka RSD'!D11+Harohally!D11+Sathanur!D11+'Huliyur Durga'!D11</f>
        <v>2878.9819376026271</v>
      </c>
      <c r="E11" s="29">
        <f>'Kanaka USD'!E11+'Kanaka RSD'!E11+Harohally!E11+Sathanur!E11+'Huliyur Durga'!E11</f>
        <v>1184.5020361247948</v>
      </c>
      <c r="F11" s="30">
        <f>'Kanaka USD'!F11+'Kanaka RSD'!F11+Harohally!F11+Sathanur!F11+'Huliyur Durga'!F11</f>
        <v>847.75730706075524</v>
      </c>
      <c r="G11" s="30">
        <f t="shared" ref="G11:G14" si="0">E11-F11</f>
        <v>336.74472906403957</v>
      </c>
      <c r="H11" s="29">
        <f>'Kanaka USD'!H11+'Kanaka RSD'!H11+Harohally!H11+Sathanur!H11+'Huliyur Durga'!H11</f>
        <v>0</v>
      </c>
      <c r="I11" s="29">
        <f t="shared" ref="I11:I14" si="1">F11+H11</f>
        <v>847.75730706075524</v>
      </c>
      <c r="J11" s="31">
        <f t="shared" ref="J11:J14" si="2">I11/E11</f>
        <v>0.71570776681336035</v>
      </c>
      <c r="K11" s="32">
        <f t="shared" ref="K11:K14" si="3">I11/D11</f>
        <v>0.29446426738150916</v>
      </c>
    </row>
    <row r="12" spans="1:11" ht="39.950000000000003" customHeight="1" x14ac:dyDescent="0.25">
      <c r="A12" s="27">
        <v>3</v>
      </c>
      <c r="B12" s="33" t="s">
        <v>52</v>
      </c>
      <c r="C12" s="26" t="s">
        <v>50</v>
      </c>
      <c r="D12" s="29">
        <f>'Kanaka USD'!D12+'Kanaka RSD'!D12+Harohally!D12+Sathanur!D12+'Huliyur Durga'!D12</f>
        <v>25.799999999999997</v>
      </c>
      <c r="E12" s="29">
        <f>'Kanaka USD'!E12+'Kanaka RSD'!E12+Harohally!E12+Sathanur!E12+'Huliyur Durga'!E12</f>
        <v>32.230000000000004</v>
      </c>
      <c r="F12" s="30">
        <f>'Kanaka USD'!F12+'Kanaka RSD'!F12+Harohally!F12+Sathanur!F12+'Huliyur Durga'!F12</f>
        <v>10.16</v>
      </c>
      <c r="G12" s="30">
        <f t="shared" si="0"/>
        <v>22.070000000000004</v>
      </c>
      <c r="H12" s="29">
        <f>'Kanaka USD'!H12+'Kanaka RSD'!H12+Harohally!H12+Sathanur!H12+'Huliyur Durga'!H12</f>
        <v>0</v>
      </c>
      <c r="I12" s="29">
        <f t="shared" si="1"/>
        <v>10.16</v>
      </c>
      <c r="J12" s="31">
        <f t="shared" si="2"/>
        <v>0.31523425380080666</v>
      </c>
      <c r="K12" s="32">
        <f t="shared" si="3"/>
        <v>0.39379844961240312</v>
      </c>
    </row>
    <row r="13" spans="1:11" ht="52.5" customHeight="1" x14ac:dyDescent="0.25">
      <c r="A13" s="27">
        <v>4</v>
      </c>
      <c r="B13" s="33" t="s">
        <v>51</v>
      </c>
      <c r="C13" s="26" t="s">
        <v>50</v>
      </c>
      <c r="D13" s="29">
        <f>'Kanaka USD'!D13+'Kanaka RSD'!D13+Harohally!D13+Sathanur!D13+'Huliyur Durga'!D13</f>
        <v>471</v>
      </c>
      <c r="E13" s="29">
        <f>'Kanaka USD'!E13+'Kanaka RSD'!E13+Harohally!E13+Sathanur!E13+'Huliyur Durga'!E13</f>
        <v>639.91999999999996</v>
      </c>
      <c r="F13" s="30">
        <f>'Kanaka USD'!F13+'Kanaka RSD'!F13+Harohally!F13+Sathanur!F13+'Huliyur Durga'!F13</f>
        <v>365.94300000000004</v>
      </c>
      <c r="G13" s="30">
        <f t="shared" si="0"/>
        <v>273.97699999999992</v>
      </c>
      <c r="H13" s="29">
        <f>'Kanaka USD'!H13+'Kanaka RSD'!H13+Harohally!H13+Sathanur!H13+'Huliyur Durga'!H13</f>
        <v>0</v>
      </c>
      <c r="I13" s="29">
        <f t="shared" si="1"/>
        <v>365.94300000000004</v>
      </c>
      <c r="J13" s="31">
        <f t="shared" si="2"/>
        <v>0.57185741967745973</v>
      </c>
      <c r="K13" s="32">
        <f t="shared" si="3"/>
        <v>0.77694904458598735</v>
      </c>
    </row>
    <row r="14" spans="1:11" ht="39.950000000000003" customHeight="1" x14ac:dyDescent="0.25">
      <c r="A14" s="27">
        <v>5</v>
      </c>
      <c r="B14" s="36" t="s">
        <v>65</v>
      </c>
      <c r="C14" s="37" t="s">
        <v>46</v>
      </c>
      <c r="D14" s="40">
        <f>'Kanaka USD'!D14+'Kanaka RSD'!D14+Harohally!D14+Sathanur!D14+'Huliyur Durga'!D14</f>
        <v>11406</v>
      </c>
      <c r="E14" s="40">
        <f>'Kanaka USD'!E14+'Kanaka RSD'!E14+Harohally!E14+Sathanur!E14+'Huliyur Durga'!E14</f>
        <v>13208</v>
      </c>
      <c r="F14" s="39">
        <f>'Kanaka USD'!F14+'Kanaka RSD'!F14+Harohally!F14+Sathanur!F14+'Huliyur Durga'!F14</f>
        <v>10076</v>
      </c>
      <c r="G14" s="39">
        <f t="shared" si="0"/>
        <v>3132</v>
      </c>
      <c r="H14" s="40">
        <f>'Kanaka USD'!H14+'Kanaka RSD'!H14+Harohally!H14+Sathanur!H14+'Huliyur Durga'!H14</f>
        <v>222</v>
      </c>
      <c r="I14" s="40">
        <f t="shared" si="1"/>
        <v>10298</v>
      </c>
      <c r="J14" s="31">
        <f t="shared" si="2"/>
        <v>0.77967898243488798</v>
      </c>
      <c r="K14" s="32">
        <f t="shared" si="3"/>
        <v>0.9028581448360512</v>
      </c>
    </row>
    <row r="16" spans="1:11" ht="45" customHeight="1" x14ac:dyDescent="0.25">
      <c r="A16" s="82" t="s">
        <v>92</v>
      </c>
      <c r="B16" s="83"/>
      <c r="C16" s="83"/>
      <c r="D16" s="83"/>
      <c r="E16" s="83"/>
      <c r="F16" s="83"/>
      <c r="G16" s="83"/>
      <c r="H16" s="83"/>
      <c r="I16" s="83"/>
      <c r="J16" s="83"/>
      <c r="K16" s="83"/>
    </row>
  </sheetData>
  <mergeCells count="5">
    <mergeCell ref="A1:K1"/>
    <mergeCell ref="A3:K3"/>
    <mergeCell ref="A16:K16"/>
    <mergeCell ref="A5:K5"/>
    <mergeCell ref="I6:K6"/>
  </mergeCells>
  <printOptions horizontalCentered="1"/>
  <pageMargins left="0.2" right="0.2" top="0.25" bottom="0.25" header="0.3" footer="0.3"/>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view="pageBreakPreview" zoomScale="90" zoomScaleNormal="90" zoomScaleSheetLayoutView="90" workbookViewId="0">
      <selection activeCell="H9" sqref="H9:H10"/>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5.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3.25" customHeight="1" x14ac:dyDescent="0.25">
      <c r="A3" s="76" t="s">
        <v>73</v>
      </c>
      <c r="B3" s="76"/>
      <c r="C3" s="76"/>
      <c r="D3" s="76"/>
      <c r="E3" s="76"/>
      <c r="F3" s="76"/>
      <c r="G3" s="76"/>
      <c r="H3" s="76"/>
      <c r="I3" s="76"/>
      <c r="J3" s="76"/>
      <c r="K3" s="76"/>
    </row>
    <row r="5" spans="1:11" ht="30" customHeight="1" x14ac:dyDescent="0.25">
      <c r="A5" s="24" t="s">
        <v>48</v>
      </c>
    </row>
    <row r="6" spans="1:11" ht="30" customHeight="1" x14ac:dyDescent="0.25">
      <c r="A6" s="25" t="s">
        <v>47</v>
      </c>
      <c r="B6" s="25"/>
      <c r="C6" s="25"/>
      <c r="D6" s="25"/>
      <c r="E6" s="25"/>
      <c r="F6" s="25"/>
      <c r="G6" s="25"/>
      <c r="H6" s="25"/>
      <c r="I6" s="47" t="str">
        <f>'ABSTRACT-HVDS P-II'!I6:K6</f>
        <v>As on 31.01.2018</v>
      </c>
      <c r="J6" s="25"/>
    </row>
    <row r="7" spans="1:11" ht="30" customHeight="1" x14ac:dyDescent="0.25">
      <c r="A7" s="25" t="s">
        <v>55</v>
      </c>
      <c r="B7" s="25"/>
      <c r="C7" s="25"/>
      <c r="D7" s="25"/>
      <c r="E7" s="25"/>
      <c r="F7" s="25"/>
      <c r="G7" s="25"/>
      <c r="H7" s="25"/>
      <c r="I7" s="25"/>
      <c r="J7" s="25"/>
    </row>
    <row r="8" spans="1:11" x14ac:dyDescent="0.25">
      <c r="A8" s="22"/>
      <c r="B8" s="22"/>
      <c r="C8" s="22"/>
      <c r="D8" s="22"/>
      <c r="E8" s="23"/>
      <c r="F8" s="23"/>
      <c r="G8" s="23"/>
      <c r="H8" s="23"/>
      <c r="I8" s="23"/>
      <c r="J8" s="23"/>
    </row>
    <row r="9" spans="1:11" ht="75" x14ac:dyDescent="0.25">
      <c r="A9" s="26" t="s">
        <v>26</v>
      </c>
      <c r="B9" s="26" t="s">
        <v>41</v>
      </c>
      <c r="C9" s="26" t="s">
        <v>42</v>
      </c>
      <c r="D9" s="26" t="s">
        <v>43</v>
      </c>
      <c r="E9" s="26" t="s">
        <v>44</v>
      </c>
      <c r="F9" s="26" t="str">
        <f>'ABSTRACT-HVDS P-II'!F9</f>
        <v>Progress as on prev month
(Dec-2017)</v>
      </c>
      <c r="G9" s="26" t="str">
        <f>'ABSTRACT-HVDS P-II'!G9</f>
        <v>Target fixed for the month of Jan-2018</v>
      </c>
      <c r="H9" s="62"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1" ht="30" customHeight="1" x14ac:dyDescent="0.25">
      <c r="A10" s="27">
        <v>1</v>
      </c>
      <c r="B10" s="28" t="s">
        <v>53</v>
      </c>
      <c r="C10" s="26" t="s">
        <v>50</v>
      </c>
      <c r="D10" s="29">
        <f>411.83/3.045</f>
        <v>135.247947454844</v>
      </c>
      <c r="E10" s="29">
        <f>593.8/3.045</f>
        <v>195.00821018062396</v>
      </c>
      <c r="F10" s="30">
        <v>170.32999999999998</v>
      </c>
      <c r="G10" s="30">
        <f>E10-F10</f>
        <v>24.678210180623978</v>
      </c>
      <c r="H10" s="61">
        <v>0</v>
      </c>
      <c r="I10" s="29">
        <f>F10+H10</f>
        <v>170.32999999999998</v>
      </c>
      <c r="J10" s="31">
        <f>I10/E10</f>
        <v>0.87345040417649034</v>
      </c>
      <c r="K10" s="32">
        <f>I10/D10</f>
        <v>1.2593906466260349</v>
      </c>
    </row>
    <row r="11" spans="1:11" ht="45" customHeight="1" x14ac:dyDescent="0.25">
      <c r="A11" s="27">
        <v>2</v>
      </c>
      <c r="B11" s="33" t="s">
        <v>49</v>
      </c>
      <c r="C11" s="26" t="s">
        <v>50</v>
      </c>
      <c r="D11" s="29">
        <f>3128/3.045</f>
        <v>1027.2577996715927</v>
      </c>
      <c r="E11" s="29">
        <f>920.67/3.045</f>
        <v>302.35467980295567</v>
      </c>
      <c r="F11" s="30">
        <v>293</v>
      </c>
      <c r="G11" s="30">
        <f t="shared" ref="G11:G14" si="0">E11-F11</f>
        <v>9.3546798029556726</v>
      </c>
      <c r="H11" s="61">
        <v>0</v>
      </c>
      <c r="I11" s="29">
        <f t="shared" ref="I11:I14" si="1">F11+H11</f>
        <v>293</v>
      </c>
      <c r="J11" s="31">
        <f t="shared" ref="J11:J14" si="2">I11/E11</f>
        <v>0.96906057545048707</v>
      </c>
      <c r="K11" s="32">
        <f t="shared" ref="K11:K14" si="3">I11/D11</f>
        <v>0.28522538363171357</v>
      </c>
    </row>
    <row r="12" spans="1:11" ht="45" customHeight="1" x14ac:dyDescent="0.25">
      <c r="A12" s="27">
        <v>3</v>
      </c>
      <c r="B12" s="33" t="s">
        <v>52</v>
      </c>
      <c r="C12" s="26" t="s">
        <v>50</v>
      </c>
      <c r="D12" s="34">
        <v>7</v>
      </c>
      <c r="E12" s="34">
        <v>0.6</v>
      </c>
      <c r="F12" s="35">
        <v>0</v>
      </c>
      <c r="G12" s="30">
        <f t="shared" si="0"/>
        <v>0.6</v>
      </c>
      <c r="H12" s="34">
        <v>0</v>
      </c>
      <c r="I12" s="29">
        <f t="shared" si="1"/>
        <v>0</v>
      </c>
      <c r="J12" s="31">
        <f t="shared" si="2"/>
        <v>0</v>
      </c>
      <c r="K12" s="32">
        <f t="shared" si="3"/>
        <v>0</v>
      </c>
    </row>
    <row r="13" spans="1:11" ht="45" customHeight="1" x14ac:dyDescent="0.25">
      <c r="A13" s="27">
        <v>4</v>
      </c>
      <c r="B13" s="33" t="s">
        <v>51</v>
      </c>
      <c r="C13" s="26" t="s">
        <v>50</v>
      </c>
      <c r="D13" s="29">
        <v>129</v>
      </c>
      <c r="E13" s="29">
        <v>129</v>
      </c>
      <c r="F13" s="30">
        <v>84</v>
      </c>
      <c r="G13" s="30">
        <f t="shared" si="0"/>
        <v>45</v>
      </c>
      <c r="H13" s="61">
        <v>0</v>
      </c>
      <c r="I13" s="29">
        <f t="shared" si="1"/>
        <v>84</v>
      </c>
      <c r="J13" s="31">
        <f t="shared" si="2"/>
        <v>0.65116279069767447</v>
      </c>
      <c r="K13" s="32">
        <f t="shared" si="3"/>
        <v>0.65116279069767447</v>
      </c>
    </row>
    <row r="14" spans="1:11" ht="45" customHeight="1" x14ac:dyDescent="0.25">
      <c r="A14" s="27">
        <v>5</v>
      </c>
      <c r="B14" s="36" t="s">
        <v>65</v>
      </c>
      <c r="C14" s="37" t="s">
        <v>46</v>
      </c>
      <c r="D14" s="37">
        <v>3171</v>
      </c>
      <c r="E14" s="64">
        <v>3499</v>
      </c>
      <c r="F14" s="38">
        <v>3065</v>
      </c>
      <c r="G14" s="39">
        <f t="shared" si="0"/>
        <v>434</v>
      </c>
      <c r="H14" s="37">
        <v>93</v>
      </c>
      <c r="I14" s="40">
        <f t="shared" si="1"/>
        <v>3158</v>
      </c>
      <c r="J14" s="31">
        <f t="shared" si="2"/>
        <v>0.90254358388110889</v>
      </c>
      <c r="K14" s="32">
        <f t="shared" si="3"/>
        <v>0.99590034689372442</v>
      </c>
    </row>
    <row r="16" spans="1:11" ht="45" customHeight="1" x14ac:dyDescent="0.25">
      <c r="A16" s="82" t="str">
        <f>'ABSTRACT-HVDS P-II'!A16:K16</f>
        <v>Note: The target date fixed for completion of the project is 18 months from the date of issue of DWA. Further, the completion period is extended up to 31.03.2018 &amp; works are under progress.</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view="pageBreakPreview" zoomScale="90" zoomScaleNormal="90" zoomScaleSheetLayoutView="90" workbookViewId="0">
      <selection activeCell="H9" sqref="H9:H10"/>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5.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4.75" customHeight="1" x14ac:dyDescent="0.25">
      <c r="A3" s="76" t="s">
        <v>73</v>
      </c>
      <c r="B3" s="76"/>
      <c r="C3" s="76"/>
      <c r="D3" s="76"/>
      <c r="E3" s="76"/>
      <c r="F3" s="76"/>
      <c r="G3" s="76"/>
      <c r="H3" s="76"/>
      <c r="I3" s="76"/>
      <c r="J3" s="76"/>
      <c r="K3" s="76"/>
    </row>
    <row r="5" spans="1:11" ht="30" customHeight="1" x14ac:dyDescent="0.25">
      <c r="A5" s="24" t="s">
        <v>56</v>
      </c>
    </row>
    <row r="6" spans="1:11" ht="30" customHeight="1" x14ac:dyDescent="0.25">
      <c r="A6" s="25" t="s">
        <v>57</v>
      </c>
      <c r="B6" s="25"/>
      <c r="C6" s="25"/>
      <c r="D6" s="25"/>
      <c r="E6" s="25"/>
      <c r="F6" s="25"/>
      <c r="G6" s="25"/>
      <c r="H6" s="25"/>
      <c r="I6" s="47" t="str">
        <f>'ABSTRACT-HVDS P-II'!I6:K6</f>
        <v>As on 31.01.2018</v>
      </c>
      <c r="J6" s="25"/>
    </row>
    <row r="7" spans="1:11" ht="30" customHeight="1" x14ac:dyDescent="0.25">
      <c r="A7" s="25" t="s">
        <v>58</v>
      </c>
      <c r="B7" s="25"/>
      <c r="C7" s="25"/>
      <c r="D7" s="25"/>
      <c r="E7" s="25"/>
      <c r="F7" s="25"/>
      <c r="G7" s="25"/>
      <c r="H7" s="25"/>
      <c r="I7" s="25"/>
      <c r="J7" s="25"/>
    </row>
    <row r="8" spans="1:11" x14ac:dyDescent="0.25">
      <c r="A8" s="22"/>
      <c r="B8" s="22"/>
      <c r="C8" s="22"/>
      <c r="D8" s="22"/>
      <c r="E8" s="23"/>
      <c r="F8" s="23"/>
      <c r="G8" s="23"/>
      <c r="H8" s="23"/>
      <c r="I8" s="23"/>
      <c r="J8" s="23"/>
    </row>
    <row r="9" spans="1:11" ht="75" x14ac:dyDescent="0.25">
      <c r="A9" s="26" t="s">
        <v>26</v>
      </c>
      <c r="B9" s="26" t="s">
        <v>41</v>
      </c>
      <c r="C9" s="26" t="s">
        <v>42</v>
      </c>
      <c r="D9" s="26" t="s">
        <v>43</v>
      </c>
      <c r="E9" s="26" t="s">
        <v>44</v>
      </c>
      <c r="F9" s="26" t="str">
        <f>'ABSTRACT-HVDS P-II'!F9</f>
        <v>Progress as on prev month
(Dec-2017)</v>
      </c>
      <c r="G9" s="26" t="str">
        <f>'ABSTRACT-HVDS P-II'!G9</f>
        <v>Target fixed for the month of Jan-2018</v>
      </c>
      <c r="H9" s="62"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1" ht="39.950000000000003" customHeight="1" x14ac:dyDescent="0.25">
      <c r="A10" s="27">
        <v>1</v>
      </c>
      <c r="B10" s="28" t="s">
        <v>53</v>
      </c>
      <c r="C10" s="26" t="s">
        <v>50</v>
      </c>
      <c r="D10" s="29">
        <f>285/3.045</f>
        <v>93.596059113300498</v>
      </c>
      <c r="E10" s="29">
        <f>554/3.045</f>
        <v>181.9376026272578</v>
      </c>
      <c r="F10" s="30">
        <v>128.75</v>
      </c>
      <c r="G10" s="30">
        <f>E10-F10</f>
        <v>53.187602627257803</v>
      </c>
      <c r="H10" s="61">
        <v>0</v>
      </c>
      <c r="I10" s="29">
        <f>F10+H10</f>
        <v>128.75</v>
      </c>
      <c r="J10" s="31">
        <f>I10/E10</f>
        <v>0.70766019855595663</v>
      </c>
      <c r="K10" s="32">
        <f>I10/D10</f>
        <v>1.3755921052631579</v>
      </c>
    </row>
    <row r="11" spans="1:11" ht="39.950000000000003" customHeight="1" x14ac:dyDescent="0.25">
      <c r="A11" s="27">
        <v>2</v>
      </c>
      <c r="B11" s="33" t="s">
        <v>49</v>
      </c>
      <c r="C11" s="26" t="s">
        <v>50</v>
      </c>
      <c r="D11" s="29">
        <f>2188/3.045</f>
        <v>718.55500821018063</v>
      </c>
      <c r="E11" s="63">
        <f>220/3.045</f>
        <v>72.249589490968802</v>
      </c>
      <c r="F11" s="30">
        <f>142.3/3.045</f>
        <v>46.73234811165846</v>
      </c>
      <c r="G11" s="30">
        <f t="shared" ref="G11:G14" si="0">E11-F11</f>
        <v>25.517241379310342</v>
      </c>
      <c r="H11" s="61">
        <v>0</v>
      </c>
      <c r="I11" s="29">
        <f t="shared" ref="I11:I14" si="1">F11+H11</f>
        <v>46.73234811165846</v>
      </c>
      <c r="J11" s="31">
        <f t="shared" ref="J11:J14" si="2">I11/E11</f>
        <v>0.64681818181818185</v>
      </c>
      <c r="K11" s="32">
        <f t="shared" ref="K11:K14" si="3">I11/D11</f>
        <v>6.5036563071297987E-2</v>
      </c>
    </row>
    <row r="12" spans="1:11" ht="39.950000000000003" customHeight="1" x14ac:dyDescent="0.25">
      <c r="A12" s="27">
        <v>3</v>
      </c>
      <c r="B12" s="33" t="s">
        <v>52</v>
      </c>
      <c r="C12" s="26" t="s">
        <v>50</v>
      </c>
      <c r="D12" s="34">
        <v>6</v>
      </c>
      <c r="E12" s="34">
        <v>6</v>
      </c>
      <c r="F12" s="35">
        <v>5.55</v>
      </c>
      <c r="G12" s="30">
        <f t="shared" si="0"/>
        <v>0.45000000000000018</v>
      </c>
      <c r="H12" s="34">
        <v>0</v>
      </c>
      <c r="I12" s="29">
        <f t="shared" si="1"/>
        <v>5.55</v>
      </c>
      <c r="J12" s="31">
        <f t="shared" si="2"/>
        <v>0.92499999999999993</v>
      </c>
      <c r="K12" s="32">
        <f t="shared" si="3"/>
        <v>0.92499999999999993</v>
      </c>
    </row>
    <row r="13" spans="1:11" ht="43.5" customHeight="1" x14ac:dyDescent="0.25">
      <c r="A13" s="27">
        <v>4</v>
      </c>
      <c r="B13" s="33" t="s">
        <v>51</v>
      </c>
      <c r="C13" s="26" t="s">
        <v>50</v>
      </c>
      <c r="D13" s="29">
        <v>41</v>
      </c>
      <c r="E13" s="29">
        <v>51</v>
      </c>
      <c r="F13" s="30">
        <v>46</v>
      </c>
      <c r="G13" s="30">
        <f t="shared" si="0"/>
        <v>5</v>
      </c>
      <c r="H13" s="61">
        <v>0</v>
      </c>
      <c r="I13" s="29">
        <f t="shared" si="1"/>
        <v>46</v>
      </c>
      <c r="J13" s="31">
        <f t="shared" si="2"/>
        <v>0.90196078431372551</v>
      </c>
      <c r="K13" s="32">
        <f t="shared" si="3"/>
        <v>1.1219512195121952</v>
      </c>
    </row>
    <row r="14" spans="1:11" ht="39.950000000000003" customHeight="1" x14ac:dyDescent="0.25">
      <c r="A14" s="27">
        <v>5</v>
      </c>
      <c r="B14" s="36" t="s">
        <v>65</v>
      </c>
      <c r="C14" s="37" t="s">
        <v>46</v>
      </c>
      <c r="D14" s="37">
        <v>2426</v>
      </c>
      <c r="E14" s="37">
        <v>2264</v>
      </c>
      <c r="F14" s="38">
        <v>2118</v>
      </c>
      <c r="G14" s="39">
        <f t="shared" si="0"/>
        <v>146</v>
      </c>
      <c r="H14" s="37">
        <v>102</v>
      </c>
      <c r="I14" s="40">
        <f t="shared" si="1"/>
        <v>2220</v>
      </c>
      <c r="J14" s="31">
        <f t="shared" si="2"/>
        <v>0.98056537102473496</v>
      </c>
      <c r="K14" s="32">
        <f t="shared" si="3"/>
        <v>0.91508656224237428</v>
      </c>
    </row>
    <row r="16" spans="1:11" ht="51" customHeight="1" x14ac:dyDescent="0.25">
      <c r="A16" s="82" t="str">
        <f>'ABSTRACT-HVDS P-II'!A16:K16</f>
        <v>Note: The target date fixed for completion of the project is 18 months from the date of issue of DWA. Further, the completion period is extended up to 31.03.2018 &amp; works are under progress.</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view="pageBreakPreview" zoomScale="90" zoomScaleNormal="90" zoomScaleSheetLayoutView="90" workbookViewId="0">
      <selection activeCell="H9" sqref="H9:H10"/>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5.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4.75" customHeight="1" x14ac:dyDescent="0.25">
      <c r="A3" s="76" t="s">
        <v>73</v>
      </c>
      <c r="B3" s="76"/>
      <c r="C3" s="76"/>
      <c r="D3" s="76"/>
      <c r="E3" s="76"/>
      <c r="F3" s="76"/>
      <c r="G3" s="76"/>
      <c r="H3" s="76"/>
      <c r="I3" s="76"/>
      <c r="J3" s="76"/>
      <c r="K3" s="76"/>
    </row>
    <row r="5" spans="1:11" ht="30" customHeight="1" x14ac:dyDescent="0.25">
      <c r="A5" s="24" t="s">
        <v>60</v>
      </c>
    </row>
    <row r="6" spans="1:11" ht="30" customHeight="1" x14ac:dyDescent="0.25">
      <c r="A6" s="25" t="s">
        <v>59</v>
      </c>
      <c r="B6" s="25"/>
      <c r="C6" s="25"/>
      <c r="D6" s="25"/>
      <c r="E6" s="25"/>
      <c r="F6" s="25"/>
      <c r="G6" s="25"/>
      <c r="H6" s="25"/>
      <c r="I6" s="47" t="str">
        <f>'ABSTRACT-HVDS P-II'!I6:K6</f>
        <v>As on 31.01.2018</v>
      </c>
      <c r="J6" s="25"/>
    </row>
    <row r="7" spans="1:11" ht="30" customHeight="1" x14ac:dyDescent="0.25">
      <c r="A7" s="25" t="s">
        <v>61</v>
      </c>
      <c r="B7" s="25"/>
      <c r="C7" s="25"/>
      <c r="D7" s="25"/>
      <c r="E7" s="25"/>
      <c r="F7" s="25"/>
      <c r="G7" s="25"/>
      <c r="H7" s="25"/>
      <c r="I7" s="25"/>
      <c r="J7" s="25"/>
    </row>
    <row r="8" spans="1:11" x14ac:dyDescent="0.25">
      <c r="A8" s="22"/>
      <c r="B8" s="22"/>
      <c r="C8" s="22"/>
      <c r="D8" s="22"/>
      <c r="E8" s="23"/>
      <c r="F8" s="23"/>
      <c r="G8" s="23"/>
      <c r="H8" s="23"/>
      <c r="I8" s="23"/>
      <c r="J8" s="23"/>
    </row>
    <row r="9" spans="1:11" ht="75" x14ac:dyDescent="0.25">
      <c r="A9" s="26" t="s">
        <v>26</v>
      </c>
      <c r="B9" s="26" t="s">
        <v>41</v>
      </c>
      <c r="C9" s="26" t="s">
        <v>42</v>
      </c>
      <c r="D9" s="26" t="s">
        <v>43</v>
      </c>
      <c r="E9" s="26" t="s">
        <v>44</v>
      </c>
      <c r="F9" s="26" t="str">
        <f>'ABSTRACT-HVDS P-II'!F9</f>
        <v>Progress as on prev month
(Dec-2017)</v>
      </c>
      <c r="G9" s="26" t="str">
        <f>'ABSTRACT-HVDS P-II'!G9</f>
        <v>Target fixed for the month of Jan-2018</v>
      </c>
      <c r="H9" s="62"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1" ht="39.950000000000003" customHeight="1" x14ac:dyDescent="0.25">
      <c r="A10" s="27">
        <v>1</v>
      </c>
      <c r="B10" s="28" t="s">
        <v>53</v>
      </c>
      <c r="C10" s="26" t="s">
        <v>50</v>
      </c>
      <c r="D10" s="29">
        <f>323/3.045</f>
        <v>106.07553366174056</v>
      </c>
      <c r="E10" s="29">
        <f>456.413333333333/3.045</f>
        <v>149.88943623426371</v>
      </c>
      <c r="F10" s="30">
        <f>77.3</f>
        <v>77.3</v>
      </c>
      <c r="G10" s="30">
        <f>E10-F10</f>
        <v>72.589436234263715</v>
      </c>
      <c r="H10" s="61">
        <v>0</v>
      </c>
      <c r="I10" s="29">
        <f>F10+H10</f>
        <v>77.3</v>
      </c>
      <c r="J10" s="31">
        <f>I10/E10</f>
        <v>0.51571346148228248</v>
      </c>
      <c r="K10" s="32">
        <f>I10/D10</f>
        <v>0.72872600619195038</v>
      </c>
    </row>
    <row r="11" spans="1:11" ht="39.950000000000003" customHeight="1" x14ac:dyDescent="0.25">
      <c r="A11" s="27">
        <v>2</v>
      </c>
      <c r="B11" s="33" t="s">
        <v>49</v>
      </c>
      <c r="C11" s="26" t="s">
        <v>50</v>
      </c>
      <c r="D11" s="29">
        <f>957/3.045</f>
        <v>314.28571428571428</v>
      </c>
      <c r="E11" s="29">
        <v>182.86</v>
      </c>
      <c r="F11" s="30">
        <v>138.80000000000001</v>
      </c>
      <c r="G11" s="30">
        <f t="shared" ref="G11:G14" si="0">E11-F11</f>
        <v>44.06</v>
      </c>
      <c r="H11" s="61">
        <v>0</v>
      </c>
      <c r="I11" s="29">
        <f t="shared" ref="I11:I14" si="1">F11+H11</f>
        <v>138.80000000000001</v>
      </c>
      <c r="J11" s="31">
        <f t="shared" ref="J11:J14" si="2">I11/E11</f>
        <v>0.75905063983375265</v>
      </c>
      <c r="K11" s="32">
        <f t="shared" ref="K11:K14" si="3">I11/D11</f>
        <v>0.44163636363636366</v>
      </c>
    </row>
    <row r="12" spans="1:11" ht="39.950000000000003" customHeight="1" x14ac:dyDescent="0.25">
      <c r="A12" s="27">
        <v>3</v>
      </c>
      <c r="B12" s="33" t="s">
        <v>52</v>
      </c>
      <c r="C12" s="26" t="s">
        <v>50</v>
      </c>
      <c r="D12" s="34">
        <v>3.95</v>
      </c>
      <c r="E12" s="34">
        <v>13.71</v>
      </c>
      <c r="F12" s="35">
        <v>0</v>
      </c>
      <c r="G12" s="30">
        <f t="shared" si="0"/>
        <v>13.71</v>
      </c>
      <c r="H12" s="34">
        <v>0</v>
      </c>
      <c r="I12" s="29">
        <f t="shared" si="1"/>
        <v>0</v>
      </c>
      <c r="J12" s="31">
        <f t="shared" si="2"/>
        <v>0</v>
      </c>
      <c r="K12" s="32">
        <f t="shared" si="3"/>
        <v>0</v>
      </c>
    </row>
    <row r="13" spans="1:11" ht="43.5" customHeight="1" x14ac:dyDescent="0.25">
      <c r="A13" s="27">
        <v>4</v>
      </c>
      <c r="B13" s="33" t="s">
        <v>51</v>
      </c>
      <c r="C13" s="26" t="s">
        <v>50</v>
      </c>
      <c r="D13" s="29">
        <v>171</v>
      </c>
      <c r="E13" s="29">
        <v>266.5</v>
      </c>
      <c r="F13" s="30">
        <v>61.599999999999994</v>
      </c>
      <c r="G13" s="30">
        <f t="shared" si="0"/>
        <v>204.9</v>
      </c>
      <c r="H13" s="61">
        <v>0</v>
      </c>
      <c r="I13" s="29">
        <f t="shared" si="1"/>
        <v>61.599999999999994</v>
      </c>
      <c r="J13" s="31">
        <f t="shared" si="2"/>
        <v>0.23114446529080673</v>
      </c>
      <c r="K13" s="32">
        <f t="shared" si="3"/>
        <v>0.36023391812865496</v>
      </c>
    </row>
    <row r="14" spans="1:11" ht="39.950000000000003" customHeight="1" x14ac:dyDescent="0.25">
      <c r="A14" s="27">
        <v>5</v>
      </c>
      <c r="B14" s="36" t="s">
        <v>65</v>
      </c>
      <c r="C14" s="37" t="s">
        <v>46</v>
      </c>
      <c r="D14" s="37">
        <v>2278</v>
      </c>
      <c r="E14" s="37">
        <v>2724</v>
      </c>
      <c r="F14" s="38">
        <v>1713</v>
      </c>
      <c r="G14" s="39">
        <f t="shared" si="0"/>
        <v>1011</v>
      </c>
      <c r="H14" s="37">
        <v>27</v>
      </c>
      <c r="I14" s="40">
        <f t="shared" si="1"/>
        <v>1740</v>
      </c>
      <c r="J14" s="31">
        <f t="shared" si="2"/>
        <v>0.63876651982378851</v>
      </c>
      <c r="K14" s="32">
        <f t="shared" si="3"/>
        <v>0.76382791922739246</v>
      </c>
    </row>
    <row r="16" spans="1:11" ht="55.5" customHeight="1" x14ac:dyDescent="0.25">
      <c r="A16" s="82" t="str">
        <f>'ABSTRACT-HVDS P-II'!A16:K16</f>
        <v>Note: The target date fixed for completion of the project is 18 months from the date of issue of DWA. Further, the completion period is extended up to 31.03.2018 &amp; works are under progress.</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view="pageBreakPreview" zoomScale="90" zoomScaleNormal="90" zoomScaleSheetLayoutView="90" workbookViewId="0">
      <selection activeCell="H9" sqref="H9:H10"/>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3.14062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1" ht="20.25" x14ac:dyDescent="0.25">
      <c r="A1" s="81" t="s">
        <v>22</v>
      </c>
      <c r="B1" s="81"/>
      <c r="C1" s="81"/>
      <c r="D1" s="81"/>
      <c r="E1" s="81"/>
      <c r="F1" s="81"/>
      <c r="G1" s="81"/>
      <c r="H1" s="81"/>
      <c r="I1" s="81"/>
      <c r="J1" s="81"/>
      <c r="K1" s="81"/>
    </row>
    <row r="3" spans="1:11" ht="24.75" customHeight="1" x14ac:dyDescent="0.25">
      <c r="A3" s="76" t="s">
        <v>73</v>
      </c>
      <c r="B3" s="76"/>
      <c r="C3" s="76"/>
      <c r="D3" s="76"/>
      <c r="E3" s="76"/>
      <c r="F3" s="76"/>
      <c r="G3" s="76"/>
      <c r="H3" s="76"/>
      <c r="I3" s="76"/>
      <c r="J3" s="76"/>
      <c r="K3" s="76"/>
    </row>
    <row r="5" spans="1:11" ht="30" customHeight="1" x14ac:dyDescent="0.25">
      <c r="A5" s="24" t="s">
        <v>62</v>
      </c>
    </row>
    <row r="6" spans="1:11" ht="30" customHeight="1" x14ac:dyDescent="0.25">
      <c r="A6" s="25" t="s">
        <v>63</v>
      </c>
      <c r="B6" s="25"/>
      <c r="C6" s="25"/>
      <c r="D6" s="25"/>
      <c r="E6" s="25"/>
      <c r="F6" s="25"/>
      <c r="G6" s="25"/>
      <c r="H6" s="25"/>
      <c r="I6" s="47" t="str">
        <f>'ABSTRACT-HVDS P-II'!I6:K6</f>
        <v>As on 31.01.2018</v>
      </c>
      <c r="J6" s="25"/>
    </row>
    <row r="7" spans="1:11" ht="30" customHeight="1" x14ac:dyDescent="0.25">
      <c r="A7" s="25" t="s">
        <v>64</v>
      </c>
      <c r="B7" s="25"/>
      <c r="C7" s="25"/>
      <c r="D7" s="25"/>
      <c r="E7" s="25"/>
      <c r="F7" s="25"/>
      <c r="G7" s="25"/>
      <c r="H7" s="25"/>
      <c r="I7" s="25"/>
      <c r="J7" s="25"/>
    </row>
    <row r="8" spans="1:11" x14ac:dyDescent="0.25">
      <c r="A8" s="22"/>
      <c r="B8" s="22"/>
      <c r="C8" s="22"/>
      <c r="D8" s="22"/>
      <c r="E8" s="23"/>
      <c r="F8" s="23"/>
      <c r="G8" s="23"/>
      <c r="H8" s="23"/>
      <c r="I8" s="23"/>
      <c r="J8" s="23"/>
    </row>
    <row r="9" spans="1:11" ht="75" x14ac:dyDescent="0.25">
      <c r="A9" s="26" t="s">
        <v>26</v>
      </c>
      <c r="B9" s="26" t="s">
        <v>41</v>
      </c>
      <c r="C9" s="26" t="s">
        <v>42</v>
      </c>
      <c r="D9" s="26" t="s">
        <v>43</v>
      </c>
      <c r="E9" s="26" t="s">
        <v>44</v>
      </c>
      <c r="F9" s="26" t="str">
        <f>'ABSTRACT-HVDS P-II'!F9</f>
        <v>Progress as on prev month
(Dec-2017)</v>
      </c>
      <c r="G9" s="26" t="str">
        <f>'ABSTRACT-HVDS P-II'!G9</f>
        <v>Target fixed for the month of Jan-2018</v>
      </c>
      <c r="H9" s="62"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1" ht="39.950000000000003" customHeight="1" x14ac:dyDescent="0.25">
      <c r="A10" s="27">
        <v>1</v>
      </c>
      <c r="B10" s="28" t="s">
        <v>53</v>
      </c>
      <c r="C10" s="26" t="s">
        <v>50</v>
      </c>
      <c r="D10" s="29">
        <f>200/3.045</f>
        <v>65.681444991789817</v>
      </c>
      <c r="E10" s="29">
        <f>193/3.045</f>
        <v>63.382594417077179</v>
      </c>
      <c r="F10" s="30">
        <f>117.8/3.045</f>
        <v>38.686371100164202</v>
      </c>
      <c r="G10" s="30">
        <f>E10-F10</f>
        <v>24.696223316912977</v>
      </c>
      <c r="H10" s="61">
        <v>0</v>
      </c>
      <c r="I10" s="29">
        <f>F10+H10</f>
        <v>38.686371100164202</v>
      </c>
      <c r="J10" s="31">
        <f>I10/E10</f>
        <v>0.61036269430051804</v>
      </c>
      <c r="K10" s="32">
        <f>I10/D10</f>
        <v>0.58899999999999997</v>
      </c>
    </row>
    <row r="11" spans="1:11" ht="39.950000000000003" customHeight="1" x14ac:dyDescent="0.25">
      <c r="A11" s="27">
        <v>2</v>
      </c>
      <c r="B11" s="33" t="s">
        <v>49</v>
      </c>
      <c r="C11" s="26" t="s">
        <v>50</v>
      </c>
      <c r="D11" s="29">
        <f>1419.5/3.045</f>
        <v>466.17405582922828</v>
      </c>
      <c r="E11" s="29">
        <f>1419.5/3.045</f>
        <v>466.17405582922828</v>
      </c>
      <c r="F11" s="30">
        <f>242</f>
        <v>242</v>
      </c>
      <c r="G11" s="30">
        <f t="shared" ref="G11:G14" si="0">E11-F11</f>
        <v>224.17405582922828</v>
      </c>
      <c r="H11" s="61">
        <v>0</v>
      </c>
      <c r="I11" s="29">
        <f t="shared" ref="I11:I14" si="1">F11+H11</f>
        <v>242</v>
      </c>
      <c r="J11" s="31">
        <f t="shared" ref="J11:J14" si="2">I11/E11</f>
        <v>0.51911940824233882</v>
      </c>
      <c r="K11" s="32">
        <f t="shared" ref="K11:K14" si="3">I11/D11</f>
        <v>0.51911940824233882</v>
      </c>
    </row>
    <row r="12" spans="1:11" ht="39.950000000000003" customHeight="1" x14ac:dyDescent="0.25">
      <c r="A12" s="27">
        <v>3</v>
      </c>
      <c r="B12" s="33" t="s">
        <v>52</v>
      </c>
      <c r="C12" s="26" t="s">
        <v>50</v>
      </c>
      <c r="D12" s="34">
        <v>1.5</v>
      </c>
      <c r="E12" s="34">
        <v>0</v>
      </c>
      <c r="F12" s="35">
        <v>0</v>
      </c>
      <c r="G12" s="30">
        <f t="shared" si="0"/>
        <v>0</v>
      </c>
      <c r="H12" s="34">
        <v>0</v>
      </c>
      <c r="I12" s="29">
        <f t="shared" si="1"/>
        <v>0</v>
      </c>
      <c r="J12" s="31">
        <v>0</v>
      </c>
      <c r="K12" s="32">
        <f t="shared" si="3"/>
        <v>0</v>
      </c>
    </row>
    <row r="13" spans="1:11" ht="43.5" customHeight="1" x14ac:dyDescent="0.25">
      <c r="A13" s="27">
        <v>4</v>
      </c>
      <c r="B13" s="33" t="s">
        <v>51</v>
      </c>
      <c r="C13" s="26" t="s">
        <v>50</v>
      </c>
      <c r="D13" s="29">
        <v>73</v>
      </c>
      <c r="E13" s="29">
        <v>94</v>
      </c>
      <c r="F13" s="30">
        <v>85.5</v>
      </c>
      <c r="G13" s="30">
        <f t="shared" si="0"/>
        <v>8.5</v>
      </c>
      <c r="H13" s="61">
        <v>0</v>
      </c>
      <c r="I13" s="29">
        <f t="shared" si="1"/>
        <v>85.5</v>
      </c>
      <c r="J13" s="31">
        <f t="shared" si="2"/>
        <v>0.90957446808510634</v>
      </c>
      <c r="K13" s="32">
        <f t="shared" si="3"/>
        <v>1.1712328767123288</v>
      </c>
    </row>
    <row r="14" spans="1:11" ht="39.950000000000003" customHeight="1" x14ac:dyDescent="0.25">
      <c r="A14" s="27">
        <v>5</v>
      </c>
      <c r="B14" s="36" t="s">
        <v>65</v>
      </c>
      <c r="C14" s="37" t="s">
        <v>46</v>
      </c>
      <c r="D14" s="37">
        <v>1905</v>
      </c>
      <c r="E14" s="37">
        <v>2994</v>
      </c>
      <c r="F14" s="38">
        <v>1554</v>
      </c>
      <c r="G14" s="39">
        <f t="shared" si="0"/>
        <v>1440</v>
      </c>
      <c r="H14" s="37">
        <v>0</v>
      </c>
      <c r="I14" s="40">
        <f t="shared" si="1"/>
        <v>1554</v>
      </c>
      <c r="J14" s="31">
        <f t="shared" si="2"/>
        <v>0.51903807615230457</v>
      </c>
      <c r="K14" s="32">
        <f t="shared" si="3"/>
        <v>0.81574803149606301</v>
      </c>
    </row>
    <row r="16" spans="1:11" ht="42" customHeight="1" x14ac:dyDescent="0.25">
      <c r="A16" s="82" t="str">
        <f>'ABSTRACT-HVDS P-II'!A16:K16</f>
        <v>Note: The target date fixed for completion of the project is 18 months from the date of issue of DWA. Further, the completion period is extended up to 31.03.2018 &amp; works are under progress.</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view="pageBreakPreview" zoomScale="90" zoomScaleNormal="90" zoomScaleSheetLayoutView="90" workbookViewId="0">
      <selection activeCell="H9" sqref="H9:H10"/>
    </sheetView>
  </sheetViews>
  <sheetFormatPr defaultRowHeight="15.75" x14ac:dyDescent="0.25"/>
  <cols>
    <col min="1" max="1" width="5.5703125" style="41" customWidth="1"/>
    <col min="2" max="2" width="37.28515625" style="41" customWidth="1"/>
    <col min="3" max="3" width="9.140625" style="41"/>
    <col min="4" max="4" width="10.85546875" style="41" customWidth="1"/>
    <col min="5" max="5" width="11.140625" style="41" customWidth="1"/>
    <col min="6" max="6" width="12.7109375" style="41" customWidth="1"/>
    <col min="7" max="7" width="13.5703125" style="41" customWidth="1"/>
    <col min="8" max="8" width="13.140625" style="41" customWidth="1"/>
    <col min="9" max="9" width="14" style="41" customWidth="1"/>
    <col min="10" max="10" width="15.140625" style="41" customWidth="1"/>
    <col min="11" max="11" width="14.42578125" style="41" customWidth="1"/>
    <col min="12" max="16384" width="9.140625" style="41"/>
  </cols>
  <sheetData>
    <row r="1" spans="1:13" ht="20.25" x14ac:dyDescent="0.25">
      <c r="A1" s="81" t="s">
        <v>22</v>
      </c>
      <c r="B1" s="81"/>
      <c r="C1" s="81"/>
      <c r="D1" s="81"/>
      <c r="E1" s="81"/>
      <c r="F1" s="81"/>
      <c r="G1" s="81"/>
      <c r="H1" s="81"/>
      <c r="I1" s="81"/>
      <c r="J1" s="81"/>
      <c r="K1" s="81"/>
    </row>
    <row r="3" spans="1:13" ht="24.75" customHeight="1" x14ac:dyDescent="0.25">
      <c r="A3" s="76" t="s">
        <v>73</v>
      </c>
      <c r="B3" s="76"/>
      <c r="C3" s="76"/>
      <c r="D3" s="76"/>
      <c r="E3" s="76"/>
      <c r="F3" s="76"/>
      <c r="G3" s="76"/>
      <c r="H3" s="76"/>
      <c r="I3" s="76"/>
      <c r="J3" s="76"/>
      <c r="K3" s="76"/>
    </row>
    <row r="5" spans="1:13" ht="30" customHeight="1" x14ac:dyDescent="0.25">
      <c r="A5" s="24" t="s">
        <v>66</v>
      </c>
    </row>
    <row r="6" spans="1:13" ht="30" customHeight="1" x14ac:dyDescent="0.25">
      <c r="A6" s="25" t="s">
        <v>67</v>
      </c>
      <c r="B6" s="25"/>
      <c r="C6" s="25"/>
      <c r="D6" s="25"/>
      <c r="E6" s="25"/>
      <c r="F6" s="25"/>
      <c r="G6" s="25"/>
      <c r="H6" s="25"/>
      <c r="I6" s="47" t="str">
        <f>'ABSTRACT-HVDS P-II'!I6:K6</f>
        <v>As on 31.01.2018</v>
      </c>
      <c r="J6" s="25"/>
    </row>
    <row r="7" spans="1:13" ht="30" customHeight="1" x14ac:dyDescent="0.25">
      <c r="A7" s="25" t="s">
        <v>68</v>
      </c>
      <c r="B7" s="25"/>
      <c r="C7" s="25"/>
      <c r="D7" s="25"/>
      <c r="E7" s="25"/>
      <c r="F7" s="25"/>
      <c r="G7" s="25"/>
      <c r="H7" s="25"/>
      <c r="I7" s="25"/>
      <c r="J7" s="25"/>
    </row>
    <row r="8" spans="1:13" x14ac:dyDescent="0.25">
      <c r="A8" s="22"/>
      <c r="B8" s="22"/>
      <c r="C8" s="22"/>
      <c r="D8" s="22"/>
      <c r="E8" s="23"/>
      <c r="F8" s="23"/>
      <c r="G8" s="23"/>
      <c r="H8" s="23"/>
      <c r="I8" s="23"/>
      <c r="J8" s="23"/>
    </row>
    <row r="9" spans="1:13" ht="75" x14ac:dyDescent="0.25">
      <c r="A9" s="26" t="s">
        <v>26</v>
      </c>
      <c r="B9" s="26" t="s">
        <v>41</v>
      </c>
      <c r="C9" s="26" t="s">
        <v>42</v>
      </c>
      <c r="D9" s="26" t="s">
        <v>43</v>
      </c>
      <c r="E9" s="26" t="s">
        <v>44</v>
      </c>
      <c r="F9" s="26" t="str">
        <f>'ABSTRACT-HVDS P-II'!F9</f>
        <v>Progress as on prev month
(Dec-2017)</v>
      </c>
      <c r="G9" s="26" t="str">
        <f>'ABSTRACT-HVDS P-II'!G9</f>
        <v>Target fixed for the month of Jan-2018</v>
      </c>
      <c r="H9" s="62" t="str">
        <f>'ABSTRACT-HVDS P-II'!H9</f>
        <v>Progress for the month of Jan-2018</v>
      </c>
      <c r="I9" s="26" t="str">
        <f>'ABSTRACT-HVDS P-II'!I9</f>
        <v>Cumulative Progress as on Jan-2018</v>
      </c>
      <c r="J9" s="26" t="str">
        <f>'ABSTRACT-HVDS P-II'!J9</f>
        <v>% Physical progress against Survey Qty</v>
      </c>
      <c r="K9" s="26" t="str">
        <f>'ABSTRACT-HVDS P-II'!K9</f>
        <v>% Physical progress against DWA Qty</v>
      </c>
    </row>
    <row r="10" spans="1:13" ht="39.950000000000003" customHeight="1" x14ac:dyDescent="0.25">
      <c r="A10" s="27">
        <v>1</v>
      </c>
      <c r="B10" s="28" t="s">
        <v>53</v>
      </c>
      <c r="C10" s="26" t="s">
        <v>50</v>
      </c>
      <c r="D10" s="29">
        <f>544/3.045</f>
        <v>178.65353037766832</v>
      </c>
      <c r="E10" s="29">
        <f>401.48/3.045</f>
        <v>131.8489326765189</v>
      </c>
      <c r="F10" s="30">
        <f>274.567/3.045</f>
        <v>90.169786535303786</v>
      </c>
      <c r="G10" s="30">
        <f>E10-F10</f>
        <v>41.679146141215114</v>
      </c>
      <c r="H10" s="61">
        <v>0</v>
      </c>
      <c r="I10" s="29">
        <f>F10+H10</f>
        <v>90.169786535303786</v>
      </c>
      <c r="J10" s="31">
        <f>I10/E10</f>
        <v>0.68388711766464083</v>
      </c>
      <c r="K10" s="32">
        <f>I10/D10</f>
        <v>0.50471874999999999</v>
      </c>
    </row>
    <row r="11" spans="1:13" ht="39.950000000000003" customHeight="1" x14ac:dyDescent="0.25">
      <c r="A11" s="27">
        <v>2</v>
      </c>
      <c r="B11" s="33" t="s">
        <v>49</v>
      </c>
      <c r="C11" s="26" t="s">
        <v>50</v>
      </c>
      <c r="D11" s="29">
        <f>1074/3.045</f>
        <v>352.70935960591135</v>
      </c>
      <c r="E11" s="29">
        <f>489.83/3.045</f>
        <v>160.86371100164203</v>
      </c>
      <c r="F11" s="30">
        <f>387.4/3.045</f>
        <v>127.22495894909687</v>
      </c>
      <c r="G11" s="30">
        <f t="shared" ref="G11:G14" si="0">E11-F11</f>
        <v>33.638752052545158</v>
      </c>
      <c r="H11" s="61">
        <v>0</v>
      </c>
      <c r="I11" s="29">
        <f t="shared" ref="I11:I14" si="1">F11+H11</f>
        <v>127.22495894909687</v>
      </c>
      <c r="J11" s="31">
        <f t="shared" ref="J11:J14" si="2">I11/E11</f>
        <v>0.79088663413837457</v>
      </c>
      <c r="K11" s="32">
        <f t="shared" ref="K11:K14" si="3">I11/D11</f>
        <v>0.36070763500931097</v>
      </c>
      <c r="M11" s="45"/>
    </row>
    <row r="12" spans="1:13" ht="39.950000000000003" customHeight="1" x14ac:dyDescent="0.25">
      <c r="A12" s="27">
        <v>3</v>
      </c>
      <c r="B12" s="33" t="s">
        <v>52</v>
      </c>
      <c r="C12" s="26" t="s">
        <v>50</v>
      </c>
      <c r="D12" s="34">
        <f>'[1]Physical progress'!$N$18</f>
        <v>7.3499999999999988</v>
      </c>
      <c r="E12" s="34">
        <v>11.92</v>
      </c>
      <c r="F12" s="35">
        <v>4.6100000000000003</v>
      </c>
      <c r="G12" s="30">
        <f t="shared" si="0"/>
        <v>7.31</v>
      </c>
      <c r="H12" s="34">
        <v>0</v>
      </c>
      <c r="I12" s="29">
        <f t="shared" si="1"/>
        <v>4.6100000000000003</v>
      </c>
      <c r="J12" s="31">
        <f t="shared" si="2"/>
        <v>0.38674496644295303</v>
      </c>
      <c r="K12" s="32">
        <f t="shared" si="3"/>
        <v>0.62721088435374162</v>
      </c>
    </row>
    <row r="13" spans="1:13" ht="43.5" customHeight="1" x14ac:dyDescent="0.25">
      <c r="A13" s="27">
        <v>4</v>
      </c>
      <c r="B13" s="33" t="s">
        <v>51</v>
      </c>
      <c r="C13" s="26" t="s">
        <v>50</v>
      </c>
      <c r="D13" s="29">
        <f>'[1]Physical progress'!$R$18</f>
        <v>57</v>
      </c>
      <c r="E13" s="29">
        <v>99.42</v>
      </c>
      <c r="F13" s="30">
        <v>88.843000000000004</v>
      </c>
      <c r="G13" s="30">
        <v>0</v>
      </c>
      <c r="H13" s="61">
        <v>0</v>
      </c>
      <c r="I13" s="29">
        <f t="shared" si="1"/>
        <v>88.843000000000004</v>
      </c>
      <c r="J13" s="31">
        <f t="shared" si="2"/>
        <v>0.89361295513981087</v>
      </c>
      <c r="K13" s="32">
        <f t="shared" si="3"/>
        <v>1.5586491228070176</v>
      </c>
    </row>
    <row r="14" spans="1:13" ht="39.950000000000003" customHeight="1" x14ac:dyDescent="0.25">
      <c r="A14" s="27">
        <v>5</v>
      </c>
      <c r="B14" s="36" t="s">
        <v>65</v>
      </c>
      <c r="C14" s="37" t="s">
        <v>46</v>
      </c>
      <c r="D14" s="37">
        <f>'[1]Physical progress'!$V$18</f>
        <v>1626</v>
      </c>
      <c r="E14" s="37">
        <v>1727</v>
      </c>
      <c r="F14" s="38">
        <v>1626</v>
      </c>
      <c r="G14" s="39">
        <f t="shared" si="0"/>
        <v>101</v>
      </c>
      <c r="H14" s="37">
        <v>0</v>
      </c>
      <c r="I14" s="40">
        <f t="shared" si="1"/>
        <v>1626</v>
      </c>
      <c r="J14" s="31">
        <f t="shared" si="2"/>
        <v>0.94151708164447023</v>
      </c>
      <c r="K14" s="32">
        <f t="shared" si="3"/>
        <v>1</v>
      </c>
    </row>
    <row r="16" spans="1:13" ht="45.75" customHeight="1" x14ac:dyDescent="0.25">
      <c r="A16" s="82" t="str">
        <f>'ABSTRACT-HVDS P-II'!A16:K16</f>
        <v>Note: The target date fixed for completion of the project is 18 months from the date of issue of DWA. Further, the completion period is extended up to 31.03.2018 &amp; works are under progress.</v>
      </c>
      <c r="B16" s="83"/>
      <c r="C16" s="83"/>
      <c r="D16" s="83"/>
      <c r="E16" s="83"/>
      <c r="F16" s="83"/>
      <c r="G16" s="83"/>
      <c r="H16" s="83"/>
      <c r="I16" s="83"/>
      <c r="J16" s="83"/>
      <c r="K16" s="83"/>
    </row>
  </sheetData>
  <mergeCells count="3">
    <mergeCell ref="A1:K1"/>
    <mergeCell ref="A3:K3"/>
    <mergeCell ref="A16:K16"/>
  </mergeCells>
  <printOptions horizontalCentered="1"/>
  <pageMargins left="0.2" right="0.2" top="0.25" bottom="0.25" header="0.3" footer="0.3"/>
  <pageSetup paperSize="9" scale="9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13"/>
  <sheetViews>
    <sheetView view="pageBreakPreview" zoomScale="90" zoomScaleNormal="90" zoomScaleSheetLayoutView="90" workbookViewId="0">
      <selection activeCell="H9" sqref="H9:H10"/>
    </sheetView>
  </sheetViews>
  <sheetFormatPr defaultRowHeight="15" x14ac:dyDescent="0.25"/>
  <cols>
    <col min="1" max="1" width="4.85546875" style="2" customWidth="1"/>
    <col min="2" max="2" width="10.28515625" style="2" customWidth="1"/>
    <col min="3" max="3" width="15.7109375" style="2" customWidth="1"/>
    <col min="4" max="4" width="23.5703125" style="2" customWidth="1"/>
    <col min="5" max="5" width="10.5703125" style="2" customWidth="1"/>
    <col min="6" max="6" width="10.140625" style="2" customWidth="1"/>
    <col min="7" max="7" width="9.7109375" style="2" customWidth="1"/>
    <col min="8" max="8" width="13.5703125" style="2" customWidth="1"/>
    <col min="9" max="9" width="10.7109375" style="2" customWidth="1"/>
    <col min="10" max="10" width="9.85546875" style="2" customWidth="1"/>
    <col min="11" max="12" width="10.28515625" style="2" customWidth="1"/>
    <col min="13" max="13" width="10.85546875" style="2" customWidth="1"/>
    <col min="14" max="14" width="9.140625" style="2"/>
    <col min="15" max="15" width="8.7109375" style="2" customWidth="1"/>
    <col min="16" max="16" width="10.5703125" style="7" customWidth="1"/>
    <col min="17" max="17" width="9.140625" style="11"/>
    <col min="18" max="18" width="11.140625" style="11" bestFit="1" customWidth="1"/>
    <col min="19" max="16384" width="9.140625" style="2"/>
  </cols>
  <sheetData>
    <row r="1" spans="1:18" ht="26.25" customHeight="1" x14ac:dyDescent="0.25">
      <c r="A1" s="75" t="s">
        <v>22</v>
      </c>
      <c r="B1" s="75"/>
      <c r="C1" s="75"/>
      <c r="D1" s="75"/>
      <c r="E1" s="75"/>
      <c r="F1" s="75"/>
      <c r="G1" s="75"/>
      <c r="H1" s="75"/>
      <c r="I1" s="75"/>
      <c r="J1" s="75"/>
      <c r="K1" s="75"/>
      <c r="L1" s="75"/>
      <c r="M1" s="75"/>
      <c r="N1" s="75"/>
      <c r="O1" s="75"/>
      <c r="P1" s="75"/>
    </row>
    <row r="2" spans="1:18" ht="24" customHeight="1" x14ac:dyDescent="0.25">
      <c r="A2" s="76" t="s">
        <v>0</v>
      </c>
      <c r="B2" s="76"/>
      <c r="C2" s="76"/>
      <c r="D2" s="76"/>
      <c r="E2" s="76"/>
      <c r="F2" s="76"/>
      <c r="G2" s="76"/>
      <c r="H2" s="76"/>
      <c r="I2" s="76"/>
      <c r="J2" s="76"/>
      <c r="K2" s="76"/>
      <c r="L2" s="76"/>
      <c r="M2" s="76"/>
      <c r="N2" s="76"/>
      <c r="O2" s="76"/>
      <c r="P2" s="76"/>
    </row>
    <row r="3" spans="1:18" ht="25.5" customHeight="1" x14ac:dyDescent="0.25">
      <c r="A3" s="77" t="s">
        <v>98</v>
      </c>
      <c r="B3" s="77"/>
      <c r="C3" s="77"/>
      <c r="D3" s="77"/>
      <c r="E3" s="77"/>
      <c r="F3" s="77"/>
      <c r="G3" s="77"/>
      <c r="H3" s="77"/>
      <c r="I3" s="77"/>
      <c r="J3" s="77"/>
      <c r="K3" s="77"/>
      <c r="L3" s="77"/>
      <c r="M3" s="77"/>
      <c r="N3" s="77"/>
      <c r="O3" s="77"/>
      <c r="P3" s="77"/>
    </row>
    <row r="5" spans="1:18" ht="32.25" customHeight="1" x14ac:dyDescent="0.25">
      <c r="A5" s="65" t="s">
        <v>26</v>
      </c>
      <c r="B5" s="65" t="s">
        <v>38</v>
      </c>
      <c r="C5" s="70" t="s">
        <v>6</v>
      </c>
      <c r="D5" s="65" t="s">
        <v>7</v>
      </c>
      <c r="E5" s="66" t="s">
        <v>91</v>
      </c>
      <c r="F5" s="67"/>
      <c r="G5" s="68"/>
      <c r="H5" s="65" t="s">
        <v>8</v>
      </c>
      <c r="I5" s="65" t="s">
        <v>19</v>
      </c>
      <c r="J5" s="65" t="s">
        <v>71</v>
      </c>
      <c r="K5" s="65" t="s">
        <v>72</v>
      </c>
      <c r="L5" s="65" t="s">
        <v>9</v>
      </c>
      <c r="M5" s="92" t="s">
        <v>20</v>
      </c>
      <c r="N5" s="93"/>
      <c r="O5" s="94"/>
      <c r="P5" s="69" t="s">
        <v>13</v>
      </c>
    </row>
    <row r="6" spans="1:18" ht="43.5" customHeight="1" x14ac:dyDescent="0.25">
      <c r="A6" s="65"/>
      <c r="B6" s="65"/>
      <c r="C6" s="71"/>
      <c r="D6" s="65"/>
      <c r="E6" s="15" t="s">
        <v>21</v>
      </c>
      <c r="F6" s="15" t="s">
        <v>29</v>
      </c>
      <c r="G6" s="15" t="s">
        <v>1</v>
      </c>
      <c r="H6" s="65"/>
      <c r="I6" s="65"/>
      <c r="J6" s="65"/>
      <c r="K6" s="65"/>
      <c r="L6" s="65"/>
      <c r="M6" s="14" t="s">
        <v>14</v>
      </c>
      <c r="N6" s="14" t="s">
        <v>15</v>
      </c>
      <c r="O6" s="14" t="s">
        <v>16</v>
      </c>
      <c r="P6" s="69"/>
    </row>
    <row r="7" spans="1:18" ht="65.25" customHeight="1" x14ac:dyDescent="0.25">
      <c r="A7" s="3">
        <v>1</v>
      </c>
      <c r="B7" s="89" t="s">
        <v>70</v>
      </c>
      <c r="C7" s="13" t="s">
        <v>30</v>
      </c>
      <c r="D7" s="3" t="s">
        <v>36</v>
      </c>
      <c r="E7" s="16">
        <v>0</v>
      </c>
      <c r="F7" s="16">
        <v>46.25</v>
      </c>
      <c r="G7" s="17">
        <f>SUM(E7:F7)</f>
        <v>46.25</v>
      </c>
      <c r="H7" s="3" t="s">
        <v>31</v>
      </c>
      <c r="I7" s="3">
        <v>23</v>
      </c>
      <c r="J7" s="3">
        <v>5</v>
      </c>
      <c r="K7" s="3">
        <v>7</v>
      </c>
      <c r="L7" s="3">
        <v>11</v>
      </c>
      <c r="M7" s="9">
        <v>0</v>
      </c>
      <c r="N7" s="9">
        <f>9.9+4.95+9.14</f>
        <v>23.990000000000002</v>
      </c>
      <c r="O7" s="5">
        <f>M7+N7</f>
        <v>23.990000000000002</v>
      </c>
      <c r="P7" s="8" t="s">
        <v>27</v>
      </c>
      <c r="Q7" s="11">
        <v>45.38</v>
      </c>
      <c r="R7" s="12"/>
    </row>
    <row r="8" spans="1:18" ht="75.75" customHeight="1" x14ac:dyDescent="0.25">
      <c r="A8" s="3">
        <v>2</v>
      </c>
      <c r="B8" s="90"/>
      <c r="C8" s="13" t="s">
        <v>32</v>
      </c>
      <c r="D8" s="3" t="s">
        <v>85</v>
      </c>
      <c r="E8" s="16">
        <v>0</v>
      </c>
      <c r="F8" s="16">
        <v>62.25</v>
      </c>
      <c r="G8" s="17">
        <f t="shared" ref="G8:G9" si="0">SUM(E8:F8)</f>
        <v>62.25</v>
      </c>
      <c r="H8" s="3" t="s">
        <v>31</v>
      </c>
      <c r="I8" s="3">
        <v>23</v>
      </c>
      <c r="J8" s="3">
        <v>1</v>
      </c>
      <c r="K8" s="3">
        <v>10</v>
      </c>
      <c r="L8" s="3">
        <v>11</v>
      </c>
      <c r="M8" s="9">
        <v>0</v>
      </c>
      <c r="N8" s="9">
        <f>10.21+15.71+8.72</f>
        <v>34.64</v>
      </c>
      <c r="O8" s="5">
        <f t="shared" ref="O8:O9" si="1">M8+N8</f>
        <v>34.64</v>
      </c>
      <c r="P8" s="8" t="s">
        <v>27</v>
      </c>
      <c r="Q8" s="11">
        <v>64.03</v>
      </c>
      <c r="R8" s="12"/>
    </row>
    <row r="9" spans="1:18" ht="50.1" customHeight="1" x14ac:dyDescent="0.25">
      <c r="A9" s="3">
        <v>3</v>
      </c>
      <c r="B9" s="90"/>
      <c r="C9" s="13" t="s">
        <v>33</v>
      </c>
      <c r="D9" s="72" t="s">
        <v>35</v>
      </c>
      <c r="E9" s="16">
        <v>0</v>
      </c>
      <c r="F9" s="85">
        <v>53.53</v>
      </c>
      <c r="G9" s="87">
        <f t="shared" si="0"/>
        <v>53.53</v>
      </c>
      <c r="H9" s="72" t="s">
        <v>89</v>
      </c>
      <c r="I9" s="3">
        <v>14</v>
      </c>
      <c r="J9" s="3">
        <v>1</v>
      </c>
      <c r="K9" s="3">
        <v>3</v>
      </c>
      <c r="L9" s="3">
        <v>3</v>
      </c>
      <c r="M9" s="97">
        <v>0</v>
      </c>
      <c r="N9" s="97">
        <v>3.34</v>
      </c>
      <c r="O9" s="95">
        <f t="shared" si="1"/>
        <v>3.34</v>
      </c>
      <c r="P9" s="72" t="s">
        <v>27</v>
      </c>
      <c r="Q9" s="11">
        <v>35.840000000000003</v>
      </c>
      <c r="R9" s="12"/>
    </row>
    <row r="10" spans="1:18" ht="50.1" customHeight="1" x14ac:dyDescent="0.25">
      <c r="A10" s="3">
        <v>4</v>
      </c>
      <c r="B10" s="91"/>
      <c r="C10" s="13" t="s">
        <v>34</v>
      </c>
      <c r="D10" s="74"/>
      <c r="E10" s="16">
        <v>0</v>
      </c>
      <c r="F10" s="86"/>
      <c r="G10" s="88"/>
      <c r="H10" s="74"/>
      <c r="I10" s="3">
        <v>5</v>
      </c>
      <c r="J10" s="3">
        <v>0</v>
      </c>
      <c r="K10" s="3">
        <v>0</v>
      </c>
      <c r="L10" s="3">
        <v>2</v>
      </c>
      <c r="M10" s="98"/>
      <c r="N10" s="98"/>
      <c r="O10" s="96"/>
      <c r="P10" s="74"/>
      <c r="Q10" s="56">
        <v>16.899999999999999</v>
      </c>
      <c r="R10" s="12"/>
    </row>
    <row r="11" spans="1:18" ht="30.75" customHeight="1" x14ac:dyDescent="0.25">
      <c r="A11" s="65" t="s">
        <v>1</v>
      </c>
      <c r="B11" s="65"/>
      <c r="C11" s="65"/>
      <c r="D11" s="13"/>
      <c r="E11" s="17">
        <f>SUM(E7:E10)</f>
        <v>0</v>
      </c>
      <c r="F11" s="17">
        <f>SUM(F7:F10)</f>
        <v>162.03</v>
      </c>
      <c r="G11" s="17">
        <f>SUM(G7:G10)</f>
        <v>162.03</v>
      </c>
      <c r="H11" s="13"/>
      <c r="I11" s="13">
        <f t="shared" ref="I11:O11" si="2">SUM(I7:I10)</f>
        <v>65</v>
      </c>
      <c r="J11" s="13">
        <f>SUM(J7:J10)</f>
        <v>7</v>
      </c>
      <c r="K11" s="44">
        <f t="shared" si="2"/>
        <v>20</v>
      </c>
      <c r="L11" s="13">
        <f t="shared" si="2"/>
        <v>27</v>
      </c>
      <c r="M11" s="6">
        <f t="shared" si="2"/>
        <v>0</v>
      </c>
      <c r="N11" s="6">
        <f t="shared" si="2"/>
        <v>61.97</v>
      </c>
      <c r="O11" s="6">
        <f t="shared" si="2"/>
        <v>61.97</v>
      </c>
      <c r="P11" s="6"/>
      <c r="Q11" s="11">
        <f>SUM(Q7:Q10)</f>
        <v>162.15</v>
      </c>
    </row>
    <row r="12" spans="1:18" x14ac:dyDescent="0.25">
      <c r="Q12" s="11">
        <f>G13-Q11</f>
        <v>0.37999999999999545</v>
      </c>
    </row>
    <row r="13" spans="1:18" x14ac:dyDescent="0.25">
      <c r="G13" s="2">
        <v>162.53</v>
      </c>
    </row>
  </sheetData>
  <mergeCells count="25">
    <mergeCell ref="B5:B6"/>
    <mergeCell ref="B7:B10"/>
    <mergeCell ref="L5:L6"/>
    <mergeCell ref="M5:O5"/>
    <mergeCell ref="P5:P6"/>
    <mergeCell ref="K5:K6"/>
    <mergeCell ref="O9:O10"/>
    <mergeCell ref="N9:N10"/>
    <mergeCell ref="M9:M10"/>
    <mergeCell ref="A11:C11"/>
    <mergeCell ref="A1:P1"/>
    <mergeCell ref="A2:P2"/>
    <mergeCell ref="A3:P3"/>
    <mergeCell ref="A5:A6"/>
    <mergeCell ref="C5:C6"/>
    <mergeCell ref="D5:D6"/>
    <mergeCell ref="E5:G5"/>
    <mergeCell ref="H5:H6"/>
    <mergeCell ref="I5:I6"/>
    <mergeCell ref="J5:J6"/>
    <mergeCell ref="D9:D10"/>
    <mergeCell ref="F9:F10"/>
    <mergeCell ref="G9:G10"/>
    <mergeCell ref="H9:H10"/>
    <mergeCell ref="P9:P10"/>
  </mergeCells>
  <printOptions horizontalCentered="1"/>
  <pageMargins left="0.2" right="0.2" top="0.25" bottom="0.25" header="0.3" footer="0.3"/>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P &amp; F Progress Phase-II</vt:lpstr>
      <vt:lpstr>ABSTRACT HVDS Phase-I</vt:lpstr>
      <vt:lpstr>ABSTRACT-HVDS P-II</vt:lpstr>
      <vt:lpstr>Kanaka USD</vt:lpstr>
      <vt:lpstr>Kanaka RSD</vt:lpstr>
      <vt:lpstr>Harohally</vt:lpstr>
      <vt:lpstr>Sathanur</vt:lpstr>
      <vt:lpstr>Huliyur Durga</vt:lpstr>
      <vt:lpstr>P &amp; F Progress Phase-III</vt:lpstr>
      <vt:lpstr>ABSTRACT-HVDS P-III</vt:lpstr>
      <vt:lpstr>Ramanagar RSD</vt:lpstr>
      <vt:lpstr>Channapatna RSD</vt:lpstr>
      <vt:lpstr>CN Patna USD &amp; Bidadi</vt:lpstr>
      <vt:lpstr>'ABSTRACT HVDS Phase-I'!Print_Area</vt:lpstr>
      <vt:lpstr>'Channapatna RSD'!Print_Area</vt:lpstr>
      <vt:lpstr>Harohally!Print_Area</vt:lpstr>
      <vt:lpstr>'P &amp; F Progress Phase-II'!Print_Area</vt:lpstr>
      <vt:lpstr>'P &amp; F Progress Phase-III'!Print_Area</vt:lpstr>
      <vt:lpstr>'Ramanagar RSD'!Print_Area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dc:creator>
  <cp:lastModifiedBy>TA TO MD BESCOM</cp:lastModifiedBy>
  <cp:lastPrinted>2017-09-04T07:08:29Z</cp:lastPrinted>
  <dcterms:created xsi:type="dcterms:W3CDTF">2013-05-02T18:12:39Z</dcterms:created>
  <dcterms:modified xsi:type="dcterms:W3CDTF">2018-02-07T13:30:05Z</dcterms:modified>
</cp:coreProperties>
</file>