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750" windowWidth="14895" windowHeight="4395" firstSheet="35" activeTab="37"/>
  </bookViews>
  <sheets>
    <sheet name="APR ANX I Signed copy" sheetId="4" state="hidden" r:id="rId1"/>
    <sheet name="APR ANXIII DIVISION" sheetId="9" state="hidden" r:id="rId2"/>
    <sheet name="MAY ANX I Signed copy " sheetId="8" state="hidden" r:id="rId3"/>
    <sheet name="MAY ANXII ref" sheetId="6" state="hidden" r:id="rId4"/>
    <sheet name="June ANX I  " sheetId="14" state="hidden" r:id="rId5"/>
    <sheet name="June ANXII" sheetId="13" state="hidden" r:id="rId6"/>
    <sheet name="June ANXIII" sheetId="12" state="hidden" r:id="rId7"/>
    <sheet name="July ANX I " sheetId="15" state="hidden" r:id="rId8"/>
    <sheet name="July ANXII" sheetId="16" state="hidden" r:id="rId9"/>
    <sheet name="July ANXIII" sheetId="17" state="hidden" r:id="rId10"/>
    <sheet name="Aug ANX I  " sheetId="18" state="hidden" r:id="rId11"/>
    <sheet name="Aug ANXII" sheetId="19" state="hidden" r:id="rId12"/>
    <sheet name="Aug ANXIII " sheetId="20" state="hidden" r:id="rId13"/>
    <sheet name="Sheet1" sheetId="21" state="hidden" r:id="rId14"/>
    <sheet name="Sep ANX I   " sheetId="22" state="hidden" r:id="rId15"/>
    <sheet name="Sep ANXII" sheetId="23" state="hidden" r:id="rId16"/>
    <sheet name="Sep ANXIII " sheetId="24" state="hidden" r:id="rId17"/>
    <sheet name="Oct ANX I    " sheetId="25" state="hidden" r:id="rId18"/>
    <sheet name="oct ANX II " sheetId="26" state="hidden" r:id="rId19"/>
    <sheet name="oct ANX III " sheetId="27" state="hidden" r:id="rId20"/>
    <sheet name="Nov ANX I " sheetId="29" state="hidden" r:id="rId21"/>
    <sheet name="Nov ANX II" sheetId="30" state="hidden" r:id="rId22"/>
    <sheet name="Nov ANX III " sheetId="31" state="hidden" r:id="rId23"/>
    <sheet name="DEC ANX I  " sheetId="32" state="hidden" r:id="rId24"/>
    <sheet name=" DEC ANX II " sheetId="33" state="hidden" r:id="rId25"/>
    <sheet name="DEC ANX III " sheetId="34" state="hidden" r:id="rId26"/>
    <sheet name="Jan ANX I   " sheetId="35" state="hidden" r:id="rId27"/>
    <sheet name="Jan ANX II  " sheetId="36" state="hidden" r:id="rId28"/>
    <sheet name="Jan ANX III  " sheetId="37" state="hidden" r:id="rId29"/>
    <sheet name=" Feb ANX I " sheetId="38" state="hidden" r:id="rId30"/>
    <sheet name="Feb ANX II" sheetId="39" state="hidden" r:id="rId31"/>
    <sheet name="Feb ANX III" sheetId="40" state="hidden" r:id="rId32"/>
    <sheet name="Mar ANX I" sheetId="43" state="hidden" r:id="rId33"/>
    <sheet name="Mar ANX II" sheetId="44" state="hidden" r:id="rId34"/>
    <sheet name="MAR ANX III" sheetId="45" state="hidden" r:id="rId35"/>
    <sheet name="Dec ANX1" sheetId="66" r:id="rId36"/>
    <sheet name="Dec ANX11" sheetId="67" r:id="rId37"/>
    <sheet name="Dec ANX111" sheetId="68" r:id="rId38"/>
  </sheets>
  <externalReferences>
    <externalReference r:id="rId39"/>
    <externalReference r:id="rId40"/>
    <externalReference r:id="rId41"/>
  </externalReferences>
  <definedNames>
    <definedName name="_iv300000">'[1]INSTALLATIONS-99-00'!$EW$22612</definedName>
    <definedName name="_xlnm.Print_Area" localSheetId="24">' DEC ANX II '!$A$1:$Q$39</definedName>
    <definedName name="_xlnm.Print_Area" localSheetId="29">' Feb ANX I '!$A$1:$Q$61</definedName>
    <definedName name="_xlnm.Print_Area" localSheetId="0">'APR ANX I Signed copy'!$A$1:$Q$22</definedName>
    <definedName name="_xlnm.Print_Area" localSheetId="1">'APR ANXIII DIVISION'!$A$1:$Q$36</definedName>
    <definedName name="_xlnm.Print_Area" localSheetId="10">'Aug ANX I  '!$A$1:$Q$62</definedName>
    <definedName name="_xlnm.Print_Area" localSheetId="11">'Aug ANXII'!$A$1:$Q$44</definedName>
    <definedName name="_xlnm.Print_Area" localSheetId="12">'Aug ANXIII '!$A$1:$Q$31</definedName>
    <definedName name="_xlnm.Print_Area" localSheetId="23">'DEC ANX I  '!$A$1:$Q$62</definedName>
    <definedName name="_xlnm.Print_Area" localSheetId="25">'DEC ANX III '!$A$1:$Q$31</definedName>
    <definedName name="_xlnm.Print_Area" localSheetId="35">'Dec ANX1'!$A$1:$AB$63</definedName>
    <definedName name="_xlnm.Print_Area" localSheetId="36">'Dec ANX11'!$A$3:$X$48</definedName>
    <definedName name="_xlnm.Print_Area" localSheetId="37">'Dec ANX111'!$A$1:$Y$56</definedName>
    <definedName name="_xlnm.Print_Area" localSheetId="30">'Feb ANX II'!$A$1:$S$41</definedName>
    <definedName name="_xlnm.Print_Area" localSheetId="31">'Feb ANX III'!$A$1:$Q$31</definedName>
    <definedName name="_xlnm.Print_Area" localSheetId="26">'Jan ANX I   '!$A$1:$Q$68</definedName>
    <definedName name="_xlnm.Print_Area" localSheetId="27">'Jan ANX II  '!$A$1:$Q$39</definedName>
    <definedName name="_xlnm.Print_Area" localSheetId="28">'Jan ANX III  '!$A$1:$Q$30</definedName>
    <definedName name="_xlnm.Print_Area" localSheetId="7">'July ANX I '!$A$1:$Q$62</definedName>
    <definedName name="_xlnm.Print_Area" localSheetId="8">'July ANXII'!$A$1:$Q$43</definedName>
    <definedName name="_xlnm.Print_Area" localSheetId="9">'July ANXIII'!$A$1:$Q$30</definedName>
    <definedName name="_xlnm.Print_Area" localSheetId="4">'June ANX I  '!$A$1:$Q$62</definedName>
    <definedName name="_xlnm.Print_Area" localSheetId="5">'June ANXII'!$A$1:$Q$43</definedName>
    <definedName name="_xlnm.Print_Area" localSheetId="6">'June ANXIII'!$A$1:$Q$31</definedName>
    <definedName name="_xlnm.Print_Area" localSheetId="32">'Mar ANX I'!$A$1:$Q$61</definedName>
    <definedName name="_xlnm.Print_Area" localSheetId="33">'Mar ANX II'!$A$2:$S$41</definedName>
    <definedName name="_xlnm.Print_Area" localSheetId="34">'MAR ANX III'!$A$1:$Q$31</definedName>
    <definedName name="_xlnm.Print_Area" localSheetId="2">'MAY ANX I Signed copy '!$A$1:$Q$22</definedName>
    <definedName name="_xlnm.Print_Area" localSheetId="3">'MAY ANXII ref'!$A$1:$Q$44</definedName>
    <definedName name="_xlnm.Print_Area" localSheetId="20">'Nov ANX I '!$A$1:$Q$62</definedName>
    <definedName name="_xlnm.Print_Area" localSheetId="21">'Nov ANX II'!$A$1:$Q$39</definedName>
    <definedName name="_xlnm.Print_Area" localSheetId="22">'Nov ANX III '!$A$1:$Q$30</definedName>
    <definedName name="_xlnm.Print_Area" localSheetId="17">'Oct ANX I    '!$A$1:$Q$62</definedName>
    <definedName name="_xlnm.Print_Area" localSheetId="18">'oct ANX II '!$A$1:$Q$44</definedName>
    <definedName name="_xlnm.Print_Area" localSheetId="19">'oct ANX III '!$A$1:$Q$30</definedName>
    <definedName name="_xlnm.Print_Area" localSheetId="14">'Sep ANX I   '!$A$1:$Q$62</definedName>
    <definedName name="_xlnm.Print_Area" localSheetId="15">'Sep ANXII'!$A$1:$Q$44</definedName>
    <definedName name="_xlnm.Print_Area" localSheetId="16">'Sep ANXIII '!$A$1:$Q$30</definedName>
    <definedName name="_xlnm.Print_Area" localSheetId="13">Sheet1!$A$1:$F$29</definedName>
  </definedNames>
  <calcPr calcId="145621"/>
</workbook>
</file>

<file path=xl/calcChain.xml><?xml version="1.0" encoding="utf-8"?>
<calcChain xmlns="http://schemas.openxmlformats.org/spreadsheetml/2006/main">
  <c r="L28" i="45" l="1"/>
  <c r="G67" i="45"/>
  <c r="C63" i="45"/>
  <c r="C66" i="45" s="1"/>
  <c r="F62" i="45"/>
  <c r="C61" i="45"/>
  <c r="C60" i="45"/>
  <c r="R58" i="45"/>
  <c r="R57" i="45"/>
  <c r="R56" i="45"/>
  <c r="R55" i="45"/>
  <c r="R54" i="45"/>
  <c r="R53" i="45"/>
  <c r="R52" i="45"/>
  <c r="K52" i="45"/>
  <c r="K53" i="45" s="1"/>
  <c r="R50" i="45"/>
  <c r="R49" i="45"/>
  <c r="Q48" i="45"/>
  <c r="P48" i="45"/>
  <c r="R48" i="45" s="1"/>
  <c r="R47" i="45"/>
  <c r="R46" i="45"/>
  <c r="R45" i="45"/>
  <c r="R44" i="45"/>
  <c r="R43" i="45"/>
  <c r="R42" i="45"/>
  <c r="R41" i="45"/>
  <c r="R40" i="45"/>
  <c r="R39" i="45"/>
  <c r="R38" i="45"/>
  <c r="R37" i="45"/>
  <c r="R36" i="45"/>
  <c r="R35" i="45"/>
  <c r="I30" i="45"/>
  <c r="L30" i="45" s="1"/>
  <c r="I29" i="45"/>
  <c r="L29" i="45" s="1"/>
  <c r="J28" i="45"/>
  <c r="I27" i="45"/>
  <c r="L27" i="45" s="1"/>
  <c r="I26" i="45"/>
  <c r="L26" i="45" s="1"/>
  <c r="I25" i="45"/>
  <c r="L25" i="45" s="1"/>
  <c r="I24" i="45"/>
  <c r="L24" i="45" s="1"/>
  <c r="I23" i="45"/>
  <c r="L23" i="45" s="1"/>
  <c r="I22" i="45"/>
  <c r="L22" i="45" s="1"/>
  <c r="I21" i="45"/>
  <c r="L21" i="45" s="1"/>
  <c r="I20" i="45"/>
  <c r="L20" i="45" s="1"/>
  <c r="I19" i="45"/>
  <c r="L19" i="45" s="1"/>
  <c r="I18" i="45"/>
  <c r="L18" i="45" s="1"/>
  <c r="T17" i="45"/>
  <c r="I17" i="45"/>
  <c r="L17" i="45" s="1"/>
  <c r="T16" i="45"/>
  <c r="I16" i="45"/>
  <c r="L16" i="45" s="1"/>
  <c r="I15" i="45"/>
  <c r="L15" i="45" s="1"/>
  <c r="T14" i="45"/>
  <c r="I14" i="45"/>
  <c r="L14" i="45" s="1"/>
  <c r="T13" i="45"/>
  <c r="I13" i="45"/>
  <c r="L13" i="45" s="1"/>
  <c r="T12" i="45"/>
  <c r="I12" i="45"/>
  <c r="L12" i="45" s="1"/>
  <c r="I11" i="45"/>
  <c r="L11" i="45" s="1"/>
  <c r="I10" i="45"/>
  <c r="L10" i="45" s="1"/>
  <c r="I9" i="45"/>
  <c r="L9" i="45" s="1"/>
  <c r="I8" i="45"/>
  <c r="L8" i="45" s="1"/>
  <c r="K73" i="44"/>
  <c r="K69" i="44"/>
  <c r="E58" i="44"/>
  <c r="H57" i="44"/>
  <c r="C53" i="44"/>
  <c r="T39" i="44"/>
  <c r="K39" i="44"/>
  <c r="N39" i="44" s="1"/>
  <c r="T38" i="44"/>
  <c r="K38" i="44"/>
  <c r="N38" i="44" s="1"/>
  <c r="T37" i="44"/>
  <c r="K37" i="44"/>
  <c r="N37" i="44" s="1"/>
  <c r="T36" i="44"/>
  <c r="K36" i="44"/>
  <c r="N36" i="44" s="1"/>
  <c r="T35" i="44"/>
  <c r="K35" i="44"/>
  <c r="N35" i="44" s="1"/>
  <c r="T34" i="44"/>
  <c r="K34" i="44"/>
  <c r="N34" i="44" s="1"/>
  <c r="T33" i="44"/>
  <c r="K33" i="44"/>
  <c r="N33" i="44" s="1"/>
  <c r="T32" i="44"/>
  <c r="K32" i="44"/>
  <c r="N32" i="44" s="1"/>
  <c r="T31" i="44"/>
  <c r="K31" i="44"/>
  <c r="N31" i="44" s="1"/>
  <c r="K30" i="44"/>
  <c r="N30" i="44" s="1"/>
  <c r="K29" i="44"/>
  <c r="N29" i="44" s="1"/>
  <c r="K28" i="44"/>
  <c r="N28" i="44" s="1"/>
  <c r="K27" i="44"/>
  <c r="N27" i="44" s="1"/>
  <c r="K26" i="44"/>
  <c r="N26" i="44" s="1"/>
  <c r="K25" i="44"/>
  <c r="N25" i="44" s="1"/>
  <c r="K24" i="44"/>
  <c r="N24" i="44" s="1"/>
  <c r="K23" i="44"/>
  <c r="N23" i="44" s="1"/>
  <c r="K22" i="44"/>
  <c r="N22" i="44" s="1"/>
  <c r="K21" i="44"/>
  <c r="N21" i="44" s="1"/>
  <c r="K20" i="44"/>
  <c r="N20" i="44" s="1"/>
  <c r="K19" i="44"/>
  <c r="N19" i="44" s="1"/>
  <c r="K18" i="44"/>
  <c r="N18" i="44" s="1"/>
  <c r="K17" i="44"/>
  <c r="N17" i="44" s="1"/>
  <c r="K16" i="44"/>
  <c r="N16" i="44" s="1"/>
  <c r="K15" i="44"/>
  <c r="N15" i="44" s="1"/>
  <c r="K14" i="44"/>
  <c r="N14" i="44" s="1"/>
  <c r="T55" i="43"/>
  <c r="T54" i="43"/>
  <c r="T53" i="43"/>
  <c r="T52" i="43"/>
  <c r="T51" i="43"/>
  <c r="T50" i="43"/>
  <c r="T47" i="43"/>
  <c r="T46" i="43"/>
  <c r="T45" i="43"/>
  <c r="T44" i="43"/>
  <c r="T43" i="43"/>
  <c r="T42" i="43"/>
  <c r="T41" i="43"/>
  <c r="T40" i="43"/>
  <c r="T39" i="43"/>
  <c r="T38" i="43"/>
  <c r="T37" i="43"/>
  <c r="T36" i="43"/>
  <c r="T33" i="43"/>
  <c r="T30" i="43"/>
  <c r="A30" i="43"/>
  <c r="T29" i="43"/>
  <c r="T28" i="43"/>
  <c r="T27" i="43"/>
  <c r="T26" i="43"/>
  <c r="T25" i="43"/>
  <c r="T24" i="43"/>
  <c r="T23" i="43"/>
  <c r="T22" i="43"/>
  <c r="T21" i="43"/>
  <c r="T20" i="43"/>
  <c r="T19" i="43"/>
  <c r="T18" i="43"/>
  <c r="T17" i="43"/>
  <c r="T16" i="43"/>
  <c r="H15" i="43"/>
  <c r="G15" i="43"/>
  <c r="E15" i="43"/>
  <c r="D15" i="43"/>
  <c r="C15" i="43"/>
  <c r="I14" i="43"/>
  <c r="L14" i="43" s="1"/>
  <c r="X13" i="43"/>
  <c r="W13" i="43"/>
  <c r="I13" i="43"/>
  <c r="L13" i="43" s="1"/>
  <c r="I12" i="43"/>
  <c r="L12" i="43" s="1"/>
  <c r="X11" i="43"/>
  <c r="I11" i="43"/>
  <c r="L11" i="43" s="1"/>
  <c r="X10" i="43"/>
  <c r="I10" i="43"/>
  <c r="L10" i="43" s="1"/>
  <c r="I9" i="43"/>
  <c r="L9" i="43" s="1"/>
  <c r="Y8" i="43"/>
  <c r="X8" i="43"/>
  <c r="I8" i="43"/>
  <c r="X7" i="43"/>
  <c r="X6" i="43"/>
  <c r="X5" i="43"/>
  <c r="X4" i="43"/>
  <c r="X3" i="43"/>
  <c r="X2" i="43"/>
  <c r="X1" i="43"/>
  <c r="E24" i="40"/>
  <c r="J24" i="45" l="1"/>
  <c r="M24" i="45"/>
  <c r="M28" i="45"/>
  <c r="K74" i="44"/>
  <c r="T76" i="44"/>
  <c r="I15" i="43"/>
  <c r="L8" i="43"/>
  <c r="L15" i="43"/>
  <c r="L60" i="45"/>
  <c r="L61" i="45" s="1"/>
  <c r="K24" i="45"/>
  <c r="J8" i="45"/>
  <c r="J9" i="45"/>
  <c r="J10" i="45"/>
  <c r="J11" i="45"/>
  <c r="J12" i="45"/>
  <c r="J13" i="45"/>
  <c r="J14" i="45"/>
  <c r="J15" i="45"/>
  <c r="J16" i="45"/>
  <c r="J17" i="45"/>
  <c r="J18" i="45"/>
  <c r="J19" i="45"/>
  <c r="J20" i="45"/>
  <c r="J21" i="45"/>
  <c r="J22" i="45"/>
  <c r="J23" i="45"/>
  <c r="J25" i="45"/>
  <c r="J26" i="45"/>
  <c r="J27" i="45"/>
  <c r="K28" i="45"/>
  <c r="J29" i="45"/>
  <c r="J30" i="45"/>
  <c r="N76" i="44"/>
  <c r="N77" i="44" s="1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L32" i="44"/>
  <c r="L33" i="44"/>
  <c r="L34" i="44"/>
  <c r="L35" i="44"/>
  <c r="L36" i="44"/>
  <c r="L37" i="44"/>
  <c r="L38" i="44"/>
  <c r="L39" i="44"/>
  <c r="J8" i="43"/>
  <c r="J9" i="43"/>
  <c r="J10" i="43"/>
  <c r="J11" i="43"/>
  <c r="J12" i="43"/>
  <c r="J13" i="43"/>
  <c r="J14" i="43"/>
  <c r="L28" i="40"/>
  <c r="M29" i="45" l="1"/>
  <c r="M26" i="45"/>
  <c r="M23" i="45"/>
  <c r="M21" i="45"/>
  <c r="M19" i="45"/>
  <c r="M17" i="45"/>
  <c r="M15" i="45"/>
  <c r="M13" i="45"/>
  <c r="M11" i="45"/>
  <c r="M9" i="45"/>
  <c r="M30" i="45"/>
  <c r="M27" i="45"/>
  <c r="M25" i="45"/>
  <c r="M22" i="45"/>
  <c r="M20" i="45"/>
  <c r="M18" i="45"/>
  <c r="M16" i="45"/>
  <c r="M14" i="45"/>
  <c r="M12" i="45"/>
  <c r="M10" i="45"/>
  <c r="M8" i="45"/>
  <c r="O39" i="44"/>
  <c r="O37" i="44"/>
  <c r="O35" i="44"/>
  <c r="P33" i="44"/>
  <c r="O33" i="44"/>
  <c r="O31" i="44"/>
  <c r="P29" i="44"/>
  <c r="O29" i="44"/>
  <c r="O27" i="44"/>
  <c r="P25" i="44"/>
  <c r="O25" i="44"/>
  <c r="O23" i="44"/>
  <c r="P21" i="44"/>
  <c r="O21" i="44"/>
  <c r="O19" i="44"/>
  <c r="P17" i="44"/>
  <c r="O17" i="44"/>
  <c r="O15" i="44"/>
  <c r="P38" i="44"/>
  <c r="O38" i="44"/>
  <c r="O36" i="44"/>
  <c r="P34" i="44"/>
  <c r="O34" i="44"/>
  <c r="O32" i="44"/>
  <c r="O30" i="44"/>
  <c r="O28" i="44"/>
  <c r="O26" i="44"/>
  <c r="O24" i="44"/>
  <c r="O22" i="44"/>
  <c r="O20" i="44"/>
  <c r="O18" i="44"/>
  <c r="O16" i="44"/>
  <c r="O14" i="44"/>
  <c r="M10" i="43"/>
  <c r="M9" i="43"/>
  <c r="M8" i="43"/>
  <c r="M11" i="43"/>
  <c r="M12" i="43"/>
  <c r="M14" i="43"/>
  <c r="M13" i="43"/>
  <c r="K30" i="45"/>
  <c r="K29" i="45"/>
  <c r="K27" i="45"/>
  <c r="K26" i="45"/>
  <c r="K25" i="45"/>
  <c r="K23" i="45"/>
  <c r="K22" i="45"/>
  <c r="K64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M39" i="44"/>
  <c r="M38" i="44"/>
  <c r="M37" i="44"/>
  <c r="M36" i="44"/>
  <c r="M35" i="44"/>
  <c r="M34" i="44"/>
  <c r="M33" i="44"/>
  <c r="M32" i="44"/>
  <c r="M31" i="44"/>
  <c r="M30" i="44"/>
  <c r="M29" i="44"/>
  <c r="M28" i="44"/>
  <c r="M27" i="44"/>
  <c r="M26" i="44"/>
  <c r="M25" i="44"/>
  <c r="M24" i="44"/>
  <c r="M23" i="44"/>
  <c r="M22" i="44"/>
  <c r="M21" i="44"/>
  <c r="M20" i="44"/>
  <c r="M19" i="44"/>
  <c r="M18" i="44"/>
  <c r="M17" i="44"/>
  <c r="M16" i="44"/>
  <c r="M15" i="44"/>
  <c r="M14" i="44"/>
  <c r="K14" i="43"/>
  <c r="K13" i="43"/>
  <c r="K12" i="43"/>
  <c r="K11" i="43"/>
  <c r="K10" i="43"/>
  <c r="K9" i="43"/>
  <c r="J15" i="43"/>
  <c r="K8" i="43"/>
  <c r="G67" i="40"/>
  <c r="F62" i="40"/>
  <c r="C60" i="40"/>
  <c r="R58" i="40"/>
  <c r="R57" i="40"/>
  <c r="R56" i="40"/>
  <c r="R55" i="40"/>
  <c r="R54" i="40"/>
  <c r="R53" i="40"/>
  <c r="R52" i="40"/>
  <c r="K52" i="40"/>
  <c r="K53" i="40" s="1"/>
  <c r="R50" i="40"/>
  <c r="R49" i="40"/>
  <c r="Q48" i="40"/>
  <c r="P48" i="40"/>
  <c r="R48" i="40" s="1"/>
  <c r="R47" i="40"/>
  <c r="R46" i="40"/>
  <c r="R45" i="40"/>
  <c r="R44" i="40"/>
  <c r="R43" i="40"/>
  <c r="R42" i="40"/>
  <c r="R41" i="40"/>
  <c r="R40" i="40"/>
  <c r="R39" i="40"/>
  <c r="R38" i="40"/>
  <c r="R37" i="40"/>
  <c r="R36" i="40"/>
  <c r="R35" i="40"/>
  <c r="I30" i="40"/>
  <c r="L30" i="40" s="1"/>
  <c r="J28" i="40"/>
  <c r="M28" i="40" s="1"/>
  <c r="I27" i="40"/>
  <c r="L27" i="40" s="1"/>
  <c r="I26" i="40"/>
  <c r="L26" i="40" s="1"/>
  <c r="I24" i="40"/>
  <c r="J24" i="40" s="1"/>
  <c r="I23" i="40"/>
  <c r="L23" i="40" s="1"/>
  <c r="I22" i="40"/>
  <c r="L22" i="40" s="1"/>
  <c r="I20" i="40"/>
  <c r="L20" i="40" s="1"/>
  <c r="I19" i="40"/>
  <c r="L19" i="40" s="1"/>
  <c r="I18" i="40"/>
  <c r="L18" i="40" s="1"/>
  <c r="T17" i="40"/>
  <c r="I17" i="40"/>
  <c r="L17" i="40" s="1"/>
  <c r="T16" i="40"/>
  <c r="I16" i="40"/>
  <c r="L16" i="40" s="1"/>
  <c r="I15" i="40"/>
  <c r="L15" i="40" s="1"/>
  <c r="T14" i="40"/>
  <c r="I14" i="40"/>
  <c r="L14" i="40" s="1"/>
  <c r="T13" i="40"/>
  <c r="I13" i="40"/>
  <c r="L13" i="40" s="1"/>
  <c r="T12" i="40"/>
  <c r="I12" i="40"/>
  <c r="L12" i="40" s="1"/>
  <c r="I11" i="40"/>
  <c r="L11" i="40" s="1"/>
  <c r="I10" i="40"/>
  <c r="L10" i="40" s="1"/>
  <c r="I9" i="40"/>
  <c r="L9" i="40" s="1"/>
  <c r="I8" i="40"/>
  <c r="L8" i="40" s="1"/>
  <c r="K73" i="39"/>
  <c r="K69" i="39"/>
  <c r="E58" i="39"/>
  <c r="H57" i="39"/>
  <c r="C53" i="39"/>
  <c r="T39" i="39"/>
  <c r="K39" i="39"/>
  <c r="N39" i="39" s="1"/>
  <c r="P39" i="44" s="1"/>
  <c r="T38" i="39"/>
  <c r="K38" i="39"/>
  <c r="N38" i="39" s="1"/>
  <c r="T37" i="39"/>
  <c r="K37" i="39"/>
  <c r="N37" i="39" s="1"/>
  <c r="P37" i="44" s="1"/>
  <c r="T36" i="39"/>
  <c r="K36" i="39"/>
  <c r="N36" i="39" s="1"/>
  <c r="P36" i="44" s="1"/>
  <c r="T35" i="39"/>
  <c r="T34" i="39"/>
  <c r="K34" i="39"/>
  <c r="N34" i="39" s="1"/>
  <c r="T33" i="39"/>
  <c r="K33" i="39"/>
  <c r="N33" i="39" s="1"/>
  <c r="T32" i="39"/>
  <c r="K32" i="39"/>
  <c r="N32" i="39" s="1"/>
  <c r="P32" i="44" s="1"/>
  <c r="T31" i="39"/>
  <c r="K31" i="39"/>
  <c r="N31" i="39" s="1"/>
  <c r="P31" i="44" s="1"/>
  <c r="K30" i="39"/>
  <c r="N30" i="39" s="1"/>
  <c r="P30" i="44" s="1"/>
  <c r="K29" i="39"/>
  <c r="N29" i="39" s="1"/>
  <c r="K28" i="39"/>
  <c r="N28" i="39" s="1"/>
  <c r="P28" i="44" s="1"/>
  <c r="K27" i="39"/>
  <c r="N27" i="39" s="1"/>
  <c r="P27" i="44" s="1"/>
  <c r="K26" i="39"/>
  <c r="N26" i="39" s="1"/>
  <c r="P26" i="44" s="1"/>
  <c r="K25" i="39"/>
  <c r="N25" i="39" s="1"/>
  <c r="K24" i="39"/>
  <c r="N24" i="39" s="1"/>
  <c r="P24" i="44" s="1"/>
  <c r="K23" i="39"/>
  <c r="N23" i="39" s="1"/>
  <c r="P23" i="44" s="1"/>
  <c r="K22" i="39"/>
  <c r="N22" i="39" s="1"/>
  <c r="P22" i="44" s="1"/>
  <c r="K21" i="39"/>
  <c r="N21" i="39" s="1"/>
  <c r="K20" i="39"/>
  <c r="N20" i="39" s="1"/>
  <c r="P20" i="44" s="1"/>
  <c r="K19" i="39"/>
  <c r="N19" i="39" s="1"/>
  <c r="P19" i="44" s="1"/>
  <c r="K18" i="39"/>
  <c r="N18" i="39" s="1"/>
  <c r="P18" i="44" s="1"/>
  <c r="K17" i="39"/>
  <c r="N17" i="39" s="1"/>
  <c r="K16" i="39"/>
  <c r="N16" i="39" s="1"/>
  <c r="P16" i="44" s="1"/>
  <c r="K15" i="39"/>
  <c r="N15" i="39" s="1"/>
  <c r="P15" i="44" s="1"/>
  <c r="K14" i="39"/>
  <c r="N14" i="39" s="1"/>
  <c r="P14" i="44" s="1"/>
  <c r="T55" i="38"/>
  <c r="T54" i="38"/>
  <c r="T53" i="38"/>
  <c r="T52" i="38"/>
  <c r="T51" i="38"/>
  <c r="T50" i="38"/>
  <c r="T47" i="38"/>
  <c r="T46" i="38"/>
  <c r="T45" i="38"/>
  <c r="T44" i="38"/>
  <c r="T43" i="38"/>
  <c r="T42" i="38"/>
  <c r="T41" i="38"/>
  <c r="T40" i="38"/>
  <c r="T39" i="38"/>
  <c r="T38" i="38"/>
  <c r="T37" i="38"/>
  <c r="T36" i="38"/>
  <c r="T33" i="38"/>
  <c r="T30" i="38"/>
  <c r="A30" i="38"/>
  <c r="T29" i="38"/>
  <c r="T28" i="38"/>
  <c r="T27" i="38"/>
  <c r="T26" i="38"/>
  <c r="T25" i="38"/>
  <c r="T24" i="38"/>
  <c r="T23" i="38"/>
  <c r="T22" i="38"/>
  <c r="T21" i="38"/>
  <c r="T20" i="38"/>
  <c r="T19" i="38"/>
  <c r="T18" i="38"/>
  <c r="T17" i="38"/>
  <c r="T16" i="38"/>
  <c r="H15" i="38"/>
  <c r="G15" i="38"/>
  <c r="E15" i="38"/>
  <c r="D15" i="38"/>
  <c r="C15" i="38"/>
  <c r="I14" i="38"/>
  <c r="J14" i="38" s="1"/>
  <c r="X13" i="38"/>
  <c r="W13" i="38"/>
  <c r="I13" i="38"/>
  <c r="J13" i="38" s="1"/>
  <c r="I12" i="38"/>
  <c r="J12" i="38" s="1"/>
  <c r="M12" i="38" s="1"/>
  <c r="X11" i="38"/>
  <c r="I11" i="38"/>
  <c r="L11" i="38" s="1"/>
  <c r="X10" i="38"/>
  <c r="I10" i="38"/>
  <c r="J10" i="38" s="1"/>
  <c r="M10" i="38" s="1"/>
  <c r="I9" i="38"/>
  <c r="L9" i="38" s="1"/>
  <c r="Y8" i="38"/>
  <c r="X8" i="38"/>
  <c r="I8" i="38"/>
  <c r="J8" i="38" s="1"/>
  <c r="M8" i="38" s="1"/>
  <c r="X7" i="38"/>
  <c r="X6" i="38"/>
  <c r="X5" i="38"/>
  <c r="X4" i="38"/>
  <c r="X3" i="38"/>
  <c r="X2" i="38"/>
  <c r="X1" i="38"/>
  <c r="J9" i="38" l="1"/>
  <c r="M9" i="38" s="1"/>
  <c r="S14" i="44"/>
  <c r="R14" i="44"/>
  <c r="S16" i="44"/>
  <c r="V16" i="44" s="1"/>
  <c r="R16" i="44"/>
  <c r="S18" i="44"/>
  <c r="R18" i="44"/>
  <c r="S20" i="44"/>
  <c r="V20" i="44" s="1"/>
  <c r="R20" i="44"/>
  <c r="S22" i="44"/>
  <c r="R22" i="44"/>
  <c r="S24" i="44"/>
  <c r="V24" i="44" s="1"/>
  <c r="R24" i="44"/>
  <c r="S26" i="44"/>
  <c r="V26" i="44" s="1"/>
  <c r="R26" i="44"/>
  <c r="S28" i="44"/>
  <c r="V28" i="44" s="1"/>
  <c r="R28" i="44"/>
  <c r="S30" i="44"/>
  <c r="V30" i="44" s="1"/>
  <c r="R30" i="44"/>
  <c r="S32" i="44"/>
  <c r="V32" i="44" s="1"/>
  <c r="R32" i="44"/>
  <c r="S34" i="44"/>
  <c r="V34" i="44" s="1"/>
  <c r="R34" i="44"/>
  <c r="S36" i="44"/>
  <c r="V36" i="44" s="1"/>
  <c r="R36" i="44"/>
  <c r="S38" i="44"/>
  <c r="V38" i="44" s="1"/>
  <c r="R38" i="44"/>
  <c r="S15" i="44"/>
  <c r="V15" i="44" s="1"/>
  <c r="R15" i="44"/>
  <c r="S17" i="44"/>
  <c r="V17" i="44" s="1"/>
  <c r="R17" i="44"/>
  <c r="S19" i="44"/>
  <c r="V19" i="44" s="1"/>
  <c r="R19" i="44"/>
  <c r="S21" i="44"/>
  <c r="V21" i="44" s="1"/>
  <c r="R21" i="44"/>
  <c r="S23" i="44"/>
  <c r="V23" i="44" s="1"/>
  <c r="R23" i="44"/>
  <c r="S25" i="44"/>
  <c r="V25" i="44" s="1"/>
  <c r="R25" i="44"/>
  <c r="S27" i="44"/>
  <c r="V27" i="44" s="1"/>
  <c r="R27" i="44"/>
  <c r="S29" i="44"/>
  <c r="V29" i="44" s="1"/>
  <c r="R29" i="44"/>
  <c r="S31" i="44"/>
  <c r="V31" i="44" s="1"/>
  <c r="R31" i="44"/>
  <c r="S33" i="44"/>
  <c r="R33" i="44"/>
  <c r="S37" i="44"/>
  <c r="R37" i="44"/>
  <c r="S39" i="44"/>
  <c r="V39" i="44" s="1"/>
  <c r="R39" i="44"/>
  <c r="K15" i="43"/>
  <c r="M15" i="43"/>
  <c r="M60" i="45"/>
  <c r="M61" i="45" s="1"/>
  <c r="O76" i="44"/>
  <c r="O77" i="44" s="1"/>
  <c r="Q14" i="44"/>
  <c r="U15" i="44"/>
  <c r="Q15" i="44"/>
  <c r="U16" i="44"/>
  <c r="Q16" i="44"/>
  <c r="U17" i="44"/>
  <c r="Q17" i="44"/>
  <c r="U18" i="44"/>
  <c r="Q18" i="44"/>
  <c r="U19" i="44"/>
  <c r="Q19" i="44"/>
  <c r="U20" i="44"/>
  <c r="Q20" i="44"/>
  <c r="U21" i="44"/>
  <c r="Q21" i="44"/>
  <c r="U22" i="44"/>
  <c r="Q22" i="44"/>
  <c r="U23" i="44"/>
  <c r="Q23" i="44"/>
  <c r="U24" i="44"/>
  <c r="Q24" i="44"/>
  <c r="U25" i="44"/>
  <c r="Q25" i="44"/>
  <c r="U26" i="44"/>
  <c r="Q26" i="44"/>
  <c r="U27" i="44"/>
  <c r="Q27" i="44"/>
  <c r="U28" i="44"/>
  <c r="Q28" i="44"/>
  <c r="U29" i="44"/>
  <c r="Q29" i="44"/>
  <c r="U30" i="44"/>
  <c r="Q30" i="44"/>
  <c r="U31" i="44"/>
  <c r="Q31" i="44"/>
  <c r="U32" i="44"/>
  <c r="Q32" i="44"/>
  <c r="U33" i="44"/>
  <c r="Q33" i="44"/>
  <c r="U34" i="44"/>
  <c r="Q34" i="44"/>
  <c r="U36" i="44"/>
  <c r="Q36" i="44"/>
  <c r="U37" i="44"/>
  <c r="Q37" i="44"/>
  <c r="U38" i="44"/>
  <c r="Q38" i="44"/>
  <c r="U39" i="44"/>
  <c r="Q39" i="44"/>
  <c r="V18" i="44"/>
  <c r="V22" i="44"/>
  <c r="V33" i="44"/>
  <c r="V37" i="44"/>
  <c r="J11" i="40"/>
  <c r="M11" i="40" s="1"/>
  <c r="J12" i="40"/>
  <c r="M12" i="40" s="1"/>
  <c r="J9" i="40"/>
  <c r="M9" i="40" s="1"/>
  <c r="J10" i="40"/>
  <c r="M10" i="40" s="1"/>
  <c r="J8" i="40"/>
  <c r="M8" i="40" s="1"/>
  <c r="I21" i="40"/>
  <c r="L21" i="40" s="1"/>
  <c r="I25" i="40"/>
  <c r="I29" i="40"/>
  <c r="J29" i="40" s="1"/>
  <c r="M29" i="40" s="1"/>
  <c r="J25" i="40"/>
  <c r="J22" i="40"/>
  <c r="M22" i="40" s="1"/>
  <c r="J23" i="40"/>
  <c r="M23" i="40" s="1"/>
  <c r="J26" i="40"/>
  <c r="M26" i="40" s="1"/>
  <c r="J27" i="40"/>
  <c r="M27" i="40" s="1"/>
  <c r="K28" i="40"/>
  <c r="M24" i="40"/>
  <c r="L24" i="40"/>
  <c r="L29" i="40"/>
  <c r="J14" i="40"/>
  <c r="M14" i="40" s="1"/>
  <c r="J17" i="40"/>
  <c r="M17" i="40" s="1"/>
  <c r="L33" i="39"/>
  <c r="O33" i="39" s="1"/>
  <c r="L39" i="39"/>
  <c r="O39" i="39" s="1"/>
  <c r="K74" i="39"/>
  <c r="L14" i="39"/>
  <c r="O14" i="39" s="1"/>
  <c r="L15" i="39"/>
  <c r="O15" i="39" s="1"/>
  <c r="L16" i="39"/>
  <c r="O16" i="39" s="1"/>
  <c r="L17" i="39"/>
  <c r="O17" i="39" s="1"/>
  <c r="L18" i="39"/>
  <c r="O18" i="39" s="1"/>
  <c r="L19" i="39"/>
  <c r="O19" i="39" s="1"/>
  <c r="L20" i="39"/>
  <c r="O20" i="39" s="1"/>
  <c r="L21" i="39"/>
  <c r="O21" i="39" s="1"/>
  <c r="L22" i="39"/>
  <c r="O22" i="39" s="1"/>
  <c r="L23" i="39"/>
  <c r="O23" i="39" s="1"/>
  <c r="L24" i="39"/>
  <c r="O24" i="39" s="1"/>
  <c r="L25" i="39"/>
  <c r="O25" i="39" s="1"/>
  <c r="L26" i="39"/>
  <c r="O26" i="39" s="1"/>
  <c r="L27" i="39"/>
  <c r="O27" i="39" s="1"/>
  <c r="L28" i="39"/>
  <c r="O28" i="39" s="1"/>
  <c r="L29" i="39"/>
  <c r="O29" i="39" s="1"/>
  <c r="L30" i="39"/>
  <c r="O30" i="39" s="1"/>
  <c r="L31" i="39"/>
  <c r="O31" i="39" s="1"/>
  <c r="L37" i="39"/>
  <c r="O37" i="39" s="1"/>
  <c r="M13" i="38"/>
  <c r="L8" i="38"/>
  <c r="L13" i="38"/>
  <c r="M14" i="38"/>
  <c r="L14" i="38"/>
  <c r="L12" i="38"/>
  <c r="L10" i="38"/>
  <c r="I15" i="38"/>
  <c r="L15" i="38" s="1"/>
  <c r="K8" i="38"/>
  <c r="K10" i="38"/>
  <c r="K12" i="38"/>
  <c r="K14" i="38"/>
  <c r="K9" i="38"/>
  <c r="J11" i="38"/>
  <c r="K13" i="38"/>
  <c r="M14" i="39"/>
  <c r="M15" i="39"/>
  <c r="M17" i="39"/>
  <c r="M18" i="39"/>
  <c r="M21" i="39"/>
  <c r="M23" i="39"/>
  <c r="M25" i="39"/>
  <c r="M27" i="39"/>
  <c r="M29" i="39"/>
  <c r="M30" i="39"/>
  <c r="M31" i="39"/>
  <c r="L32" i="39"/>
  <c r="O32" i="39" s="1"/>
  <c r="M33" i="39"/>
  <c r="L34" i="39"/>
  <c r="O34" i="39" s="1"/>
  <c r="K35" i="39"/>
  <c r="L36" i="39"/>
  <c r="O36" i="39" s="1"/>
  <c r="T76" i="39"/>
  <c r="L38" i="39"/>
  <c r="O38" i="39" s="1"/>
  <c r="J16" i="40"/>
  <c r="M16" i="40" s="1"/>
  <c r="J18" i="40"/>
  <c r="M18" i="40" s="1"/>
  <c r="J20" i="40"/>
  <c r="M20" i="40" s="1"/>
  <c r="K24" i="40"/>
  <c r="K8" i="40"/>
  <c r="K9" i="40"/>
  <c r="K10" i="40"/>
  <c r="K11" i="40"/>
  <c r="J13" i="40"/>
  <c r="M13" i="40" s="1"/>
  <c r="J15" i="40"/>
  <c r="M15" i="40" s="1"/>
  <c r="J19" i="40"/>
  <c r="M19" i="40" s="1"/>
  <c r="C61" i="40"/>
  <c r="J30" i="40"/>
  <c r="M30" i="40" s="1"/>
  <c r="I34" i="36"/>
  <c r="L34" i="36" s="1"/>
  <c r="J21" i="40" l="1"/>
  <c r="M21" i="40" s="1"/>
  <c r="M16" i="39"/>
  <c r="K27" i="40"/>
  <c r="K12" i="40"/>
  <c r="M28" i="39"/>
  <c r="U14" i="44"/>
  <c r="V14" i="44"/>
  <c r="K17" i="40"/>
  <c r="M24" i="39"/>
  <c r="M22" i="39"/>
  <c r="M20" i="39"/>
  <c r="M26" i="39"/>
  <c r="M19" i="39"/>
  <c r="K23" i="40"/>
  <c r="K26" i="40"/>
  <c r="K14" i="40"/>
  <c r="K22" i="40"/>
  <c r="L25" i="40"/>
  <c r="M25" i="40"/>
  <c r="M39" i="39"/>
  <c r="M37" i="39"/>
  <c r="L35" i="39"/>
  <c r="O35" i="39" s="1"/>
  <c r="O76" i="39" s="1"/>
  <c r="O77" i="39" s="1"/>
  <c r="N35" i="39"/>
  <c r="J15" i="38"/>
  <c r="M11" i="38"/>
  <c r="M15" i="38"/>
  <c r="K30" i="40"/>
  <c r="K64" i="40"/>
  <c r="K21" i="40"/>
  <c r="K20" i="40"/>
  <c r="K18" i="40"/>
  <c r="K16" i="40"/>
  <c r="M38" i="39"/>
  <c r="M34" i="39"/>
  <c r="K19" i="40"/>
  <c r="K29" i="40"/>
  <c r="C63" i="40"/>
  <c r="C66" i="40" s="1"/>
  <c r="K15" i="40"/>
  <c r="K13" i="40"/>
  <c r="K25" i="40"/>
  <c r="L60" i="40"/>
  <c r="L61" i="40" s="1"/>
  <c r="M36" i="39"/>
  <c r="M32" i="39"/>
  <c r="K11" i="38"/>
  <c r="K15" i="38" s="1"/>
  <c r="J34" i="36"/>
  <c r="H25" i="37"/>
  <c r="G25" i="37"/>
  <c r="N76" i="39" l="1"/>
  <c r="N77" i="39" s="1"/>
  <c r="P35" i="44"/>
  <c r="M35" i="39"/>
  <c r="M60" i="40"/>
  <c r="M61" i="40" s="1"/>
  <c r="M34" i="36"/>
  <c r="K34" i="36"/>
  <c r="H35" i="36"/>
  <c r="G35" i="36"/>
  <c r="E35" i="36"/>
  <c r="R35" i="44" l="1"/>
  <c r="S35" i="44"/>
  <c r="Q35" i="44"/>
  <c r="V35" i="44" l="1"/>
  <c r="S76" i="44"/>
  <c r="S77" i="44" s="1"/>
  <c r="U35" i="44"/>
  <c r="R76" i="44"/>
  <c r="R77" i="44" s="1"/>
  <c r="G65" i="37"/>
  <c r="F60" i="37"/>
  <c r="C58" i="37"/>
  <c r="R56" i="37"/>
  <c r="R55" i="37"/>
  <c r="R54" i="37"/>
  <c r="R53" i="37"/>
  <c r="R52" i="37"/>
  <c r="R51" i="37"/>
  <c r="R50" i="37"/>
  <c r="K50" i="37"/>
  <c r="K51" i="37" s="1"/>
  <c r="R49" i="37"/>
  <c r="R48" i="37"/>
  <c r="R47" i="37"/>
  <c r="Q46" i="37"/>
  <c r="P46" i="37"/>
  <c r="R46" i="37" s="1"/>
  <c r="R45" i="37"/>
  <c r="R44" i="37"/>
  <c r="R43" i="37"/>
  <c r="R42" i="37"/>
  <c r="R41" i="37"/>
  <c r="R40" i="37"/>
  <c r="R39" i="37"/>
  <c r="R38" i="37"/>
  <c r="R37" i="37"/>
  <c r="R36" i="37"/>
  <c r="R35" i="37"/>
  <c r="R34" i="37"/>
  <c r="R33" i="37"/>
  <c r="I30" i="37"/>
  <c r="L30" i="37" s="1"/>
  <c r="H29" i="37"/>
  <c r="G29" i="37"/>
  <c r="E29" i="37"/>
  <c r="D29" i="37"/>
  <c r="C29" i="37"/>
  <c r="L28" i="37"/>
  <c r="J28" i="37"/>
  <c r="I27" i="37"/>
  <c r="L27" i="37" s="1"/>
  <c r="I26" i="37"/>
  <c r="L26" i="37" s="1"/>
  <c r="I25" i="37"/>
  <c r="E25" i="37"/>
  <c r="D25" i="37"/>
  <c r="I24" i="37"/>
  <c r="J24" i="37" s="1"/>
  <c r="C24" i="37"/>
  <c r="I23" i="37"/>
  <c r="L23" i="37" s="1"/>
  <c r="I22" i="37"/>
  <c r="L22" i="37" s="1"/>
  <c r="H21" i="37"/>
  <c r="G21" i="37"/>
  <c r="E21" i="37"/>
  <c r="D21" i="37"/>
  <c r="C21" i="37"/>
  <c r="I20" i="37"/>
  <c r="I19" i="37"/>
  <c r="I18" i="37"/>
  <c r="T17" i="37"/>
  <c r="I17" i="37"/>
  <c r="J17" i="37" s="1"/>
  <c r="T16" i="37"/>
  <c r="I16" i="37"/>
  <c r="I15" i="37"/>
  <c r="L15" i="37" s="1"/>
  <c r="T14" i="37"/>
  <c r="I14" i="37"/>
  <c r="L14" i="37" s="1"/>
  <c r="T13" i="37"/>
  <c r="I13" i="37"/>
  <c r="L13" i="37" s="1"/>
  <c r="T12" i="37"/>
  <c r="I12" i="37"/>
  <c r="L12" i="37" s="1"/>
  <c r="I11" i="37"/>
  <c r="J11" i="37" s="1"/>
  <c r="I10" i="37"/>
  <c r="L10" i="37" s="1"/>
  <c r="I9" i="37"/>
  <c r="J9" i="37" s="1"/>
  <c r="J8" i="37"/>
  <c r="I8" i="37"/>
  <c r="L8" i="37" s="1"/>
  <c r="I75" i="36"/>
  <c r="I71" i="36"/>
  <c r="E59" i="36"/>
  <c r="H58" i="36"/>
  <c r="C54" i="36"/>
  <c r="D42" i="36"/>
  <c r="R39" i="36"/>
  <c r="I39" i="36"/>
  <c r="L39" i="36" s="1"/>
  <c r="R38" i="36"/>
  <c r="I38" i="36"/>
  <c r="R37" i="36"/>
  <c r="I37" i="36"/>
  <c r="L37" i="36" s="1"/>
  <c r="R36" i="36"/>
  <c r="I36" i="36"/>
  <c r="L36" i="36" s="1"/>
  <c r="R35" i="36"/>
  <c r="H42" i="36"/>
  <c r="G42" i="36"/>
  <c r="E42" i="36"/>
  <c r="C35" i="36"/>
  <c r="C42" i="36" s="1"/>
  <c r="R34" i="36"/>
  <c r="R33" i="36"/>
  <c r="I33" i="36"/>
  <c r="J33" i="36" s="1"/>
  <c r="R32" i="36"/>
  <c r="I32" i="36"/>
  <c r="L32" i="36" s="1"/>
  <c r="R31" i="36"/>
  <c r="I31" i="36"/>
  <c r="J31" i="36" s="1"/>
  <c r="I30" i="36"/>
  <c r="L30" i="36" s="1"/>
  <c r="I29" i="36"/>
  <c r="J29" i="36" s="1"/>
  <c r="I28" i="36"/>
  <c r="L28" i="36" s="1"/>
  <c r="I27" i="36"/>
  <c r="J27" i="36" s="1"/>
  <c r="I26" i="36"/>
  <c r="L26" i="36" s="1"/>
  <c r="I25" i="36"/>
  <c r="J25" i="36" s="1"/>
  <c r="I24" i="36"/>
  <c r="L24" i="36" s="1"/>
  <c r="I23" i="36"/>
  <c r="J23" i="36" s="1"/>
  <c r="I22" i="36"/>
  <c r="L22" i="36" s="1"/>
  <c r="I21" i="36"/>
  <c r="J21" i="36" s="1"/>
  <c r="I20" i="36"/>
  <c r="L20" i="36" s="1"/>
  <c r="I19" i="36"/>
  <c r="J19" i="36" s="1"/>
  <c r="I18" i="36"/>
  <c r="L18" i="36" s="1"/>
  <c r="I17" i="36"/>
  <c r="J17" i="36" s="1"/>
  <c r="I16" i="36"/>
  <c r="L16" i="36" s="1"/>
  <c r="I15" i="36"/>
  <c r="J15" i="36" s="1"/>
  <c r="I14" i="36"/>
  <c r="L14" i="36" s="1"/>
  <c r="T55" i="35"/>
  <c r="T54" i="35"/>
  <c r="T53" i="35"/>
  <c r="T52" i="35"/>
  <c r="T51" i="35"/>
  <c r="T50" i="35"/>
  <c r="T47" i="35"/>
  <c r="T46" i="35"/>
  <c r="T45" i="35"/>
  <c r="T44" i="35"/>
  <c r="T43" i="35"/>
  <c r="T42" i="35"/>
  <c r="T41" i="35"/>
  <c r="T40" i="35"/>
  <c r="T39" i="35"/>
  <c r="T38" i="35"/>
  <c r="T37" i="35"/>
  <c r="T36" i="35"/>
  <c r="T33" i="35"/>
  <c r="T30" i="35"/>
  <c r="A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H15" i="35"/>
  <c r="G15" i="35"/>
  <c r="E15" i="35"/>
  <c r="D15" i="35"/>
  <c r="C15" i="35"/>
  <c r="I14" i="35"/>
  <c r="J14" i="35" s="1"/>
  <c r="X13" i="35"/>
  <c r="W13" i="35"/>
  <c r="I13" i="35"/>
  <c r="L13" i="35" s="1"/>
  <c r="I12" i="35"/>
  <c r="L12" i="35" s="1"/>
  <c r="X11" i="35"/>
  <c r="I11" i="35"/>
  <c r="J11" i="35" s="1"/>
  <c r="X10" i="35"/>
  <c r="I10" i="35"/>
  <c r="L10" i="35" s="1"/>
  <c r="I9" i="35"/>
  <c r="J9" i="35" s="1"/>
  <c r="M9" i="35" s="1"/>
  <c r="Y8" i="35"/>
  <c r="X8" i="35"/>
  <c r="I8" i="35"/>
  <c r="L8" i="35" s="1"/>
  <c r="X7" i="35"/>
  <c r="X6" i="35"/>
  <c r="X5" i="35"/>
  <c r="X4" i="35"/>
  <c r="X3" i="35"/>
  <c r="X2" i="35"/>
  <c r="X1" i="35"/>
  <c r="I29" i="37" l="1"/>
  <c r="K28" i="37"/>
  <c r="M28" i="37"/>
  <c r="J26" i="37"/>
  <c r="K26" i="37" s="1"/>
  <c r="J23" i="37"/>
  <c r="I76" i="36"/>
  <c r="J22" i="37"/>
  <c r="M22" i="37" s="1"/>
  <c r="J27" i="37"/>
  <c r="K27" i="37" s="1"/>
  <c r="J39" i="36"/>
  <c r="J37" i="36"/>
  <c r="M37" i="36" s="1"/>
  <c r="J12" i="35"/>
  <c r="J13" i="35"/>
  <c r="M13" i="35" s="1"/>
  <c r="L14" i="35"/>
  <c r="L17" i="37"/>
  <c r="J30" i="36"/>
  <c r="J28" i="36"/>
  <c r="M28" i="36" s="1"/>
  <c r="J12" i="37"/>
  <c r="J14" i="37"/>
  <c r="L9" i="37"/>
  <c r="J10" i="37"/>
  <c r="K10" i="37" s="1"/>
  <c r="L11" i="37"/>
  <c r="J26" i="36"/>
  <c r="M26" i="36" s="1"/>
  <c r="J24" i="36"/>
  <c r="M24" i="36" s="1"/>
  <c r="J16" i="36"/>
  <c r="M16" i="36" s="1"/>
  <c r="J20" i="36"/>
  <c r="J14" i="36"/>
  <c r="J18" i="36"/>
  <c r="M18" i="36" s="1"/>
  <c r="J22" i="36"/>
  <c r="M22" i="36" s="1"/>
  <c r="L17" i="36"/>
  <c r="L19" i="36"/>
  <c r="L25" i="36"/>
  <c r="L29" i="36"/>
  <c r="L31" i="36"/>
  <c r="L33" i="36"/>
  <c r="L15" i="36"/>
  <c r="L21" i="36"/>
  <c r="L23" i="36"/>
  <c r="L27" i="36"/>
  <c r="J10" i="35"/>
  <c r="J8" i="35"/>
  <c r="L9" i="35"/>
  <c r="I15" i="35"/>
  <c r="L15" i="35" s="1"/>
  <c r="K14" i="36"/>
  <c r="K10" i="35"/>
  <c r="M14" i="35"/>
  <c r="K14" i="35"/>
  <c r="K9" i="35"/>
  <c r="L11" i="35"/>
  <c r="K15" i="36"/>
  <c r="M15" i="36"/>
  <c r="K16" i="36"/>
  <c r="K17" i="36"/>
  <c r="M17" i="36"/>
  <c r="K18" i="36"/>
  <c r="K19" i="36"/>
  <c r="M19" i="36"/>
  <c r="K20" i="36"/>
  <c r="M20" i="36"/>
  <c r="K21" i="36"/>
  <c r="M21" i="36"/>
  <c r="K22" i="36"/>
  <c r="K23" i="36"/>
  <c r="M23" i="36"/>
  <c r="K24" i="36"/>
  <c r="K25" i="36"/>
  <c r="M25" i="36"/>
  <c r="K26" i="36"/>
  <c r="K27" i="36"/>
  <c r="M27" i="36"/>
  <c r="K28" i="36"/>
  <c r="K29" i="36"/>
  <c r="M29" i="36"/>
  <c r="M30" i="36"/>
  <c r="K31" i="36"/>
  <c r="M31" i="36"/>
  <c r="J32" i="36"/>
  <c r="K33" i="36"/>
  <c r="M33" i="36"/>
  <c r="I35" i="36"/>
  <c r="J35" i="36" s="1"/>
  <c r="J36" i="36"/>
  <c r="R78" i="36"/>
  <c r="M39" i="36"/>
  <c r="L38" i="36"/>
  <c r="J38" i="36"/>
  <c r="K24" i="37"/>
  <c r="K8" i="37"/>
  <c r="M8" i="37"/>
  <c r="K9" i="37"/>
  <c r="M9" i="37"/>
  <c r="K11" i="37"/>
  <c r="M11" i="37"/>
  <c r="K12" i="37"/>
  <c r="M12" i="37"/>
  <c r="J13" i="37"/>
  <c r="K14" i="37"/>
  <c r="M14" i="37"/>
  <c r="J15" i="37"/>
  <c r="L16" i="37"/>
  <c r="J16" i="37"/>
  <c r="L18" i="37"/>
  <c r="J18" i="37"/>
  <c r="L20" i="37"/>
  <c r="J20" i="37"/>
  <c r="I21" i="37"/>
  <c r="C59" i="37"/>
  <c r="M24" i="37"/>
  <c r="L24" i="37"/>
  <c r="C25" i="37"/>
  <c r="C61" i="37" s="1"/>
  <c r="C64" i="37" s="1"/>
  <c r="J25" i="37"/>
  <c r="M26" i="37"/>
  <c r="M17" i="37"/>
  <c r="K17" i="37"/>
  <c r="L19" i="37"/>
  <c r="J19" i="37"/>
  <c r="M23" i="37"/>
  <c r="K23" i="37"/>
  <c r="M27" i="37"/>
  <c r="L29" i="37"/>
  <c r="J29" i="37"/>
  <c r="J30" i="37"/>
  <c r="F14" i="34"/>
  <c r="F14" i="37" s="1"/>
  <c r="F14" i="40" s="1"/>
  <c r="F14" i="45" s="1"/>
  <c r="F13" i="34"/>
  <c r="F13" i="37" s="1"/>
  <c r="F13" i="40" s="1"/>
  <c r="F13" i="45" s="1"/>
  <c r="F12" i="34"/>
  <c r="F12" i="37" s="1"/>
  <c r="F12" i="40" s="1"/>
  <c r="F12" i="45" s="1"/>
  <c r="F11" i="34"/>
  <c r="F11" i="37" s="1"/>
  <c r="F11" i="40" s="1"/>
  <c r="F11" i="45" s="1"/>
  <c r="F10" i="34"/>
  <c r="F10" i="37" s="1"/>
  <c r="F10" i="40" s="1"/>
  <c r="F10" i="45" s="1"/>
  <c r="F9" i="34"/>
  <c r="F9" i="37" s="1"/>
  <c r="F9" i="40" s="1"/>
  <c r="F9" i="45" s="1"/>
  <c r="F8" i="34"/>
  <c r="F8" i="37" s="1"/>
  <c r="F8" i="40" s="1"/>
  <c r="F8" i="45" s="1"/>
  <c r="M10" i="37" l="1"/>
  <c r="K37" i="36"/>
  <c r="K22" i="37"/>
  <c r="M14" i="36"/>
  <c r="M29" i="37"/>
  <c r="L35" i="36"/>
  <c r="L78" i="36" s="1"/>
  <c r="L79" i="36" s="1"/>
  <c r="M35" i="36"/>
  <c r="K39" i="36"/>
  <c r="M12" i="35"/>
  <c r="K12" i="35"/>
  <c r="K13" i="35"/>
  <c r="L58" i="37"/>
  <c r="L59" i="37" s="1"/>
  <c r="K30" i="36"/>
  <c r="I42" i="36"/>
  <c r="L42" i="36" s="1"/>
  <c r="M10" i="35"/>
  <c r="K8" i="35"/>
  <c r="M8" i="35"/>
  <c r="M30" i="37"/>
  <c r="K30" i="37"/>
  <c r="M25" i="37"/>
  <c r="L25" i="37"/>
  <c r="M19" i="37"/>
  <c r="K19" i="37"/>
  <c r="K25" i="37"/>
  <c r="L21" i="37"/>
  <c r="J21" i="37"/>
  <c r="K20" i="37"/>
  <c r="M20" i="37"/>
  <c r="K18" i="37"/>
  <c r="M18" i="37"/>
  <c r="K16" i="37"/>
  <c r="M16" i="37"/>
  <c r="M15" i="37"/>
  <c r="K15" i="37"/>
  <c r="K35" i="36"/>
  <c r="M32" i="36"/>
  <c r="K32" i="36"/>
  <c r="M11" i="35"/>
  <c r="K11" i="35"/>
  <c r="J42" i="36"/>
  <c r="M42" i="36" s="1"/>
  <c r="J15" i="35"/>
  <c r="K29" i="37"/>
  <c r="M13" i="37"/>
  <c r="K13" i="37"/>
  <c r="M38" i="36"/>
  <c r="K38" i="36"/>
  <c r="M36" i="36"/>
  <c r="K36" i="36"/>
  <c r="G24" i="34"/>
  <c r="K15" i="35" l="1"/>
  <c r="K42" i="36"/>
  <c r="M78" i="36"/>
  <c r="M79" i="36" s="1"/>
  <c r="K62" i="37"/>
  <c r="K21" i="37"/>
  <c r="M21" i="37"/>
  <c r="M15" i="35"/>
  <c r="M58" i="37"/>
  <c r="M59" i="37" s="1"/>
  <c r="I26" i="33"/>
  <c r="H24" i="34" l="1"/>
  <c r="E24" i="34"/>
  <c r="H35" i="33"/>
  <c r="G35" i="33"/>
  <c r="E35" i="33"/>
  <c r="L28" i="34" l="1"/>
  <c r="G65" i="34"/>
  <c r="F60" i="34"/>
  <c r="C58" i="34"/>
  <c r="R56" i="34"/>
  <c r="R55" i="34"/>
  <c r="R54" i="34"/>
  <c r="R53" i="34"/>
  <c r="R52" i="34"/>
  <c r="R51" i="34"/>
  <c r="R50" i="34"/>
  <c r="K50" i="34"/>
  <c r="K51" i="34" s="1"/>
  <c r="R49" i="34"/>
  <c r="R48" i="34"/>
  <c r="R47" i="34"/>
  <c r="Q46" i="34"/>
  <c r="P46" i="34"/>
  <c r="R46" i="34" s="1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I30" i="34"/>
  <c r="L30" i="34" s="1"/>
  <c r="H29" i="34"/>
  <c r="G29" i="34"/>
  <c r="E29" i="34"/>
  <c r="D29" i="34"/>
  <c r="C29" i="34"/>
  <c r="J28" i="34"/>
  <c r="I27" i="34"/>
  <c r="J27" i="34" s="1"/>
  <c r="I26" i="34"/>
  <c r="L26" i="34" s="1"/>
  <c r="H25" i="34"/>
  <c r="I25" i="34" s="1"/>
  <c r="D25" i="34"/>
  <c r="C24" i="34"/>
  <c r="C25" i="34" s="1"/>
  <c r="I23" i="34"/>
  <c r="L23" i="34" s="1"/>
  <c r="I22" i="34"/>
  <c r="L22" i="34" s="1"/>
  <c r="H21" i="34"/>
  <c r="G21" i="34"/>
  <c r="E21" i="34"/>
  <c r="D21" i="34"/>
  <c r="C21" i="34"/>
  <c r="I20" i="34"/>
  <c r="L20" i="34" s="1"/>
  <c r="I19" i="34"/>
  <c r="L19" i="34" s="1"/>
  <c r="I18" i="34"/>
  <c r="J18" i="34" s="1"/>
  <c r="T17" i="34"/>
  <c r="I17" i="34"/>
  <c r="L17" i="34" s="1"/>
  <c r="T16" i="34"/>
  <c r="I16" i="34"/>
  <c r="L16" i="34" s="1"/>
  <c r="I15" i="34"/>
  <c r="L15" i="34" s="1"/>
  <c r="T14" i="34"/>
  <c r="I14" i="34"/>
  <c r="L14" i="34" s="1"/>
  <c r="T13" i="34"/>
  <c r="I13" i="34"/>
  <c r="L13" i="34" s="1"/>
  <c r="T12" i="34"/>
  <c r="I12" i="34"/>
  <c r="L12" i="34" s="1"/>
  <c r="I11" i="34"/>
  <c r="L11" i="34" s="1"/>
  <c r="I10" i="34"/>
  <c r="L10" i="34" s="1"/>
  <c r="I9" i="34"/>
  <c r="L9" i="34" s="1"/>
  <c r="I8" i="34"/>
  <c r="L8" i="34" s="1"/>
  <c r="I75" i="33"/>
  <c r="I71" i="33"/>
  <c r="I76" i="33" s="1"/>
  <c r="E59" i="33"/>
  <c r="H58" i="33"/>
  <c r="C54" i="33"/>
  <c r="D42" i="33"/>
  <c r="R39" i="33"/>
  <c r="I39" i="33"/>
  <c r="L39" i="33" s="1"/>
  <c r="R38" i="33"/>
  <c r="I38" i="33"/>
  <c r="L38" i="33" s="1"/>
  <c r="R37" i="33"/>
  <c r="I37" i="33"/>
  <c r="L37" i="33" s="1"/>
  <c r="R36" i="33"/>
  <c r="I36" i="33"/>
  <c r="L36" i="33" s="1"/>
  <c r="R35" i="33"/>
  <c r="H42" i="33"/>
  <c r="I35" i="33"/>
  <c r="J35" i="33" s="1"/>
  <c r="E42" i="33"/>
  <c r="C35" i="33"/>
  <c r="R34" i="33"/>
  <c r="I34" i="33"/>
  <c r="L34" i="33" s="1"/>
  <c r="R33" i="33"/>
  <c r="I33" i="33"/>
  <c r="L33" i="33" s="1"/>
  <c r="R32" i="33"/>
  <c r="I32" i="33"/>
  <c r="L32" i="33" s="1"/>
  <c r="R31" i="33"/>
  <c r="I31" i="33"/>
  <c r="L31" i="33" s="1"/>
  <c r="I30" i="33"/>
  <c r="L30" i="33" s="1"/>
  <c r="I29" i="33"/>
  <c r="L29" i="33" s="1"/>
  <c r="I28" i="33"/>
  <c r="L28" i="33" s="1"/>
  <c r="I27" i="33"/>
  <c r="L27" i="33" s="1"/>
  <c r="L26" i="33"/>
  <c r="I25" i="33"/>
  <c r="L25" i="33" s="1"/>
  <c r="I24" i="33"/>
  <c r="L24" i="33" s="1"/>
  <c r="I23" i="33"/>
  <c r="J23" i="33" s="1"/>
  <c r="I22" i="33"/>
  <c r="L22" i="33" s="1"/>
  <c r="I21" i="33"/>
  <c r="L21" i="33" s="1"/>
  <c r="I20" i="33"/>
  <c r="L20" i="33" s="1"/>
  <c r="I19" i="33"/>
  <c r="L19" i="33" s="1"/>
  <c r="I18" i="33"/>
  <c r="L18" i="33" s="1"/>
  <c r="I17" i="33"/>
  <c r="L17" i="33" s="1"/>
  <c r="I16" i="33"/>
  <c r="L16" i="33" s="1"/>
  <c r="I15" i="33"/>
  <c r="J15" i="33" s="1"/>
  <c r="I14" i="33"/>
  <c r="T55" i="32"/>
  <c r="T54" i="32"/>
  <c r="T53" i="32"/>
  <c r="T52" i="32"/>
  <c r="T51" i="32"/>
  <c r="T50" i="32"/>
  <c r="T47" i="32"/>
  <c r="T46" i="32"/>
  <c r="T45" i="32"/>
  <c r="T44" i="32"/>
  <c r="T43" i="32"/>
  <c r="T42" i="32"/>
  <c r="T41" i="32"/>
  <c r="T40" i="32"/>
  <c r="T39" i="32"/>
  <c r="T38" i="32"/>
  <c r="T37" i="32"/>
  <c r="T36" i="32"/>
  <c r="T33" i="32"/>
  <c r="T30" i="32"/>
  <c r="A30" i="32"/>
  <c r="T29" i="32"/>
  <c r="T28" i="32"/>
  <c r="T27" i="32"/>
  <c r="T26" i="32"/>
  <c r="T25" i="32"/>
  <c r="T24" i="32"/>
  <c r="T23" i="32"/>
  <c r="T22" i="32"/>
  <c r="T21" i="32"/>
  <c r="T20" i="32"/>
  <c r="T19" i="32"/>
  <c r="T18" i="32"/>
  <c r="T17" i="32"/>
  <c r="T16" i="32"/>
  <c r="H15" i="32"/>
  <c r="G15" i="32"/>
  <c r="E15" i="32"/>
  <c r="D15" i="32"/>
  <c r="C15" i="32"/>
  <c r="I14" i="32"/>
  <c r="J14" i="32" s="1"/>
  <c r="M14" i="32" s="1"/>
  <c r="X13" i="32"/>
  <c r="W13" i="32"/>
  <c r="I13" i="32"/>
  <c r="L13" i="32" s="1"/>
  <c r="I12" i="32"/>
  <c r="J12" i="32" s="1"/>
  <c r="M12" i="32" s="1"/>
  <c r="X11" i="32"/>
  <c r="I11" i="32"/>
  <c r="L11" i="32" s="1"/>
  <c r="X10" i="32"/>
  <c r="I10" i="32"/>
  <c r="L10" i="32" s="1"/>
  <c r="I9" i="32"/>
  <c r="L9" i="32" s="1"/>
  <c r="Y8" i="32"/>
  <c r="X8" i="32"/>
  <c r="I8" i="32"/>
  <c r="L8" i="32" s="1"/>
  <c r="X7" i="32"/>
  <c r="X6" i="32"/>
  <c r="X5" i="32"/>
  <c r="X4" i="32"/>
  <c r="X3" i="32"/>
  <c r="X2" i="32"/>
  <c r="X1" i="32"/>
  <c r="J15" i="34" l="1"/>
  <c r="J16" i="34"/>
  <c r="J27" i="33"/>
  <c r="I21" i="34"/>
  <c r="L21" i="34" s="1"/>
  <c r="I29" i="34"/>
  <c r="L29" i="34" s="1"/>
  <c r="J13" i="34"/>
  <c r="K13" i="34" s="1"/>
  <c r="J19" i="33"/>
  <c r="J19" i="34"/>
  <c r="J20" i="34"/>
  <c r="K20" i="34" s="1"/>
  <c r="L25" i="34"/>
  <c r="L35" i="33"/>
  <c r="M35" i="33"/>
  <c r="J31" i="33"/>
  <c r="L18" i="34"/>
  <c r="M18" i="34"/>
  <c r="M16" i="34"/>
  <c r="M27" i="33"/>
  <c r="J13" i="32"/>
  <c r="M13" i="32" s="1"/>
  <c r="L14" i="32"/>
  <c r="M27" i="34"/>
  <c r="L27" i="34"/>
  <c r="M28" i="34"/>
  <c r="J26" i="34"/>
  <c r="K26" i="34" s="1"/>
  <c r="K28" i="34"/>
  <c r="L12" i="32"/>
  <c r="L23" i="33"/>
  <c r="L15" i="33"/>
  <c r="I42" i="33"/>
  <c r="L14" i="33"/>
  <c r="M23" i="33"/>
  <c r="M15" i="33"/>
  <c r="J10" i="32"/>
  <c r="J8" i="32"/>
  <c r="M8" i="32" s="1"/>
  <c r="J9" i="32"/>
  <c r="M9" i="32" s="1"/>
  <c r="J17" i="33"/>
  <c r="K17" i="33" s="1"/>
  <c r="J21" i="33"/>
  <c r="K21" i="33" s="1"/>
  <c r="J25" i="33"/>
  <c r="K25" i="33" s="1"/>
  <c r="J29" i="33"/>
  <c r="K29" i="33" s="1"/>
  <c r="J33" i="33"/>
  <c r="J14" i="33"/>
  <c r="K14" i="33" s="1"/>
  <c r="J16" i="33"/>
  <c r="K16" i="33" s="1"/>
  <c r="J18" i="33"/>
  <c r="J20" i="33"/>
  <c r="K20" i="33" s="1"/>
  <c r="J22" i="33"/>
  <c r="J24" i="33"/>
  <c r="K24" i="33" s="1"/>
  <c r="J26" i="33"/>
  <c r="J28" i="33"/>
  <c r="K28" i="33" s="1"/>
  <c r="J30" i="33"/>
  <c r="J37" i="33"/>
  <c r="K37" i="33" s="1"/>
  <c r="J39" i="33"/>
  <c r="K39" i="33" s="1"/>
  <c r="K35" i="33"/>
  <c r="K26" i="33"/>
  <c r="J32" i="33"/>
  <c r="J34" i="33"/>
  <c r="R78" i="33"/>
  <c r="I15" i="32"/>
  <c r="K9" i="32"/>
  <c r="K10" i="32"/>
  <c r="J11" i="32"/>
  <c r="K12" i="32"/>
  <c r="K13" i="32"/>
  <c r="K14" i="32"/>
  <c r="L15" i="32"/>
  <c r="K15" i="33"/>
  <c r="K18" i="33"/>
  <c r="K23" i="33"/>
  <c r="K27" i="33"/>
  <c r="K33" i="33"/>
  <c r="C42" i="33"/>
  <c r="J36" i="33"/>
  <c r="J38" i="33"/>
  <c r="G42" i="33"/>
  <c r="J8" i="34"/>
  <c r="J9" i="34"/>
  <c r="J10" i="34"/>
  <c r="J11" i="34"/>
  <c r="J12" i="34"/>
  <c r="J14" i="34"/>
  <c r="K15" i="34"/>
  <c r="K16" i="34"/>
  <c r="K18" i="34"/>
  <c r="J22" i="34"/>
  <c r="E25" i="34"/>
  <c r="J29" i="34"/>
  <c r="J17" i="34"/>
  <c r="K19" i="34"/>
  <c r="J21" i="34"/>
  <c r="J23" i="34"/>
  <c r="I24" i="34"/>
  <c r="J30" i="34"/>
  <c r="C59" i="34"/>
  <c r="C61" i="34"/>
  <c r="C64" i="34" s="1"/>
  <c r="K27" i="34"/>
  <c r="K8" i="32" l="1"/>
  <c r="M15" i="34"/>
  <c r="K19" i="33"/>
  <c r="M19" i="33"/>
  <c r="M14" i="34"/>
  <c r="M11" i="34"/>
  <c r="M12" i="34"/>
  <c r="M10" i="34"/>
  <c r="M8" i="34"/>
  <c r="M20" i="34"/>
  <c r="M9" i="34"/>
  <c r="M13" i="34"/>
  <c r="M26" i="33"/>
  <c r="M24" i="33"/>
  <c r="M25" i="33"/>
  <c r="M19" i="34"/>
  <c r="L24" i="34"/>
  <c r="L58" i="34" s="1"/>
  <c r="L59" i="34" s="1"/>
  <c r="M23" i="34"/>
  <c r="M22" i="34"/>
  <c r="M21" i="34"/>
  <c r="K31" i="33"/>
  <c r="M31" i="33"/>
  <c r="M34" i="33"/>
  <c r="M33" i="33"/>
  <c r="M32" i="33"/>
  <c r="M17" i="34"/>
  <c r="M30" i="33"/>
  <c r="M28" i="33"/>
  <c r="K30" i="33"/>
  <c r="M29" i="33"/>
  <c r="M30" i="34"/>
  <c r="M26" i="34"/>
  <c r="M29" i="34"/>
  <c r="M39" i="33"/>
  <c r="M38" i="33"/>
  <c r="M36" i="33"/>
  <c r="M37" i="33"/>
  <c r="M22" i="33"/>
  <c r="K22" i="33"/>
  <c r="M20" i="33"/>
  <c r="M16" i="33"/>
  <c r="M17" i="33"/>
  <c r="M18" i="33"/>
  <c r="M14" i="33"/>
  <c r="M21" i="33"/>
  <c r="M10" i="32"/>
  <c r="K17" i="34"/>
  <c r="K29" i="34"/>
  <c r="J24" i="34"/>
  <c r="K22" i="34"/>
  <c r="K12" i="34"/>
  <c r="K10" i="34"/>
  <c r="K8" i="34"/>
  <c r="K38" i="33"/>
  <c r="M11" i="32"/>
  <c r="K11" i="32"/>
  <c r="K15" i="32" s="1"/>
  <c r="K32" i="33"/>
  <c r="L78" i="33"/>
  <c r="L79" i="33" s="1"/>
  <c r="J15" i="32"/>
  <c r="K30" i="34"/>
  <c r="K23" i="34"/>
  <c r="K62" i="34"/>
  <c r="K21" i="34"/>
  <c r="J25" i="34"/>
  <c r="K14" i="34"/>
  <c r="K11" i="34"/>
  <c r="K9" i="34"/>
  <c r="K36" i="33"/>
  <c r="L42" i="33"/>
  <c r="K34" i="33"/>
  <c r="J42" i="33"/>
  <c r="M42" i="33" s="1"/>
  <c r="E59" i="30"/>
  <c r="M24" i="34" l="1"/>
  <c r="M25" i="34"/>
  <c r="K42" i="33"/>
  <c r="M15" i="32"/>
  <c r="K25" i="34"/>
  <c r="M78" i="33"/>
  <c r="M79" i="33" s="1"/>
  <c r="K24" i="34"/>
  <c r="H24" i="31"/>
  <c r="G24" i="31"/>
  <c r="E24" i="31"/>
  <c r="H35" i="30"/>
  <c r="G35" i="30"/>
  <c r="E35" i="30"/>
  <c r="M58" i="34" l="1"/>
  <c r="M59" i="34" s="1"/>
  <c r="L28" i="31"/>
  <c r="G64" i="31"/>
  <c r="F59" i="31"/>
  <c r="C57" i="31"/>
  <c r="R55" i="31"/>
  <c r="R54" i="31"/>
  <c r="R53" i="31"/>
  <c r="R52" i="31"/>
  <c r="R51" i="31"/>
  <c r="R50" i="31"/>
  <c r="R49" i="31"/>
  <c r="K49" i="31"/>
  <c r="K50" i="31" s="1"/>
  <c r="R48" i="31"/>
  <c r="R47" i="31"/>
  <c r="R46" i="31"/>
  <c r="Q45" i="31"/>
  <c r="P45" i="31"/>
  <c r="R45" i="31" s="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I30" i="31"/>
  <c r="L30" i="31" s="1"/>
  <c r="H29" i="31"/>
  <c r="G29" i="31"/>
  <c r="E29" i="31"/>
  <c r="D29" i="31"/>
  <c r="C29" i="31"/>
  <c r="J28" i="31"/>
  <c r="I27" i="31"/>
  <c r="L27" i="31" s="1"/>
  <c r="I26" i="31"/>
  <c r="L26" i="31" s="1"/>
  <c r="H25" i="31"/>
  <c r="D25" i="31"/>
  <c r="G25" i="31"/>
  <c r="C24" i="31"/>
  <c r="C58" i="31" s="1"/>
  <c r="I23" i="31"/>
  <c r="L23" i="31" s="1"/>
  <c r="I22" i="31"/>
  <c r="L22" i="31" s="1"/>
  <c r="H21" i="31"/>
  <c r="G21" i="31"/>
  <c r="I21" i="31" s="1"/>
  <c r="E21" i="31"/>
  <c r="D21" i="31"/>
  <c r="C21" i="31"/>
  <c r="I20" i="31"/>
  <c r="L20" i="31" s="1"/>
  <c r="I19" i="31"/>
  <c r="L19" i="31" s="1"/>
  <c r="I18" i="31"/>
  <c r="L18" i="31" s="1"/>
  <c r="T17" i="31"/>
  <c r="I17" i="31"/>
  <c r="L17" i="31" s="1"/>
  <c r="T16" i="31"/>
  <c r="I16" i="31"/>
  <c r="L16" i="31" s="1"/>
  <c r="I15" i="31"/>
  <c r="L15" i="31" s="1"/>
  <c r="T14" i="31"/>
  <c r="I14" i="31"/>
  <c r="L14" i="31" s="1"/>
  <c r="T13" i="31"/>
  <c r="I13" i="31"/>
  <c r="L13" i="31" s="1"/>
  <c r="T12" i="31"/>
  <c r="J12" i="31"/>
  <c r="I12" i="31"/>
  <c r="L12" i="31" s="1"/>
  <c r="I11" i="31"/>
  <c r="L11" i="31" s="1"/>
  <c r="I10" i="31"/>
  <c r="J10" i="31" s="1"/>
  <c r="M10" i="31" s="1"/>
  <c r="I9" i="31"/>
  <c r="L9" i="31" s="1"/>
  <c r="I8" i="31"/>
  <c r="J8" i="31" s="1"/>
  <c r="I75" i="30"/>
  <c r="I71" i="30"/>
  <c r="H58" i="30"/>
  <c r="C54" i="30"/>
  <c r="H42" i="30"/>
  <c r="D42" i="30"/>
  <c r="R39" i="30"/>
  <c r="I39" i="30"/>
  <c r="L39" i="30" s="1"/>
  <c r="R38" i="30"/>
  <c r="I38" i="30"/>
  <c r="L38" i="30" s="1"/>
  <c r="R37" i="30"/>
  <c r="I37" i="30"/>
  <c r="L37" i="30" s="1"/>
  <c r="R36" i="30"/>
  <c r="I36" i="30"/>
  <c r="L36" i="30" s="1"/>
  <c r="R35" i="30"/>
  <c r="G42" i="30"/>
  <c r="C35" i="30"/>
  <c r="R34" i="30"/>
  <c r="I34" i="30"/>
  <c r="R33" i="30"/>
  <c r="I33" i="30"/>
  <c r="L33" i="30" s="1"/>
  <c r="R32" i="30"/>
  <c r="I32" i="30"/>
  <c r="R31" i="30"/>
  <c r="I31" i="30"/>
  <c r="L31" i="30" s="1"/>
  <c r="I30" i="30"/>
  <c r="L30" i="30" s="1"/>
  <c r="I29" i="30"/>
  <c r="L29" i="30" s="1"/>
  <c r="I28" i="30"/>
  <c r="L28" i="30" s="1"/>
  <c r="I27" i="30"/>
  <c r="L27" i="30" s="1"/>
  <c r="I26" i="30"/>
  <c r="L26" i="30" s="1"/>
  <c r="I25" i="30"/>
  <c r="L25" i="30" s="1"/>
  <c r="I24" i="30"/>
  <c r="L24" i="30" s="1"/>
  <c r="I23" i="30"/>
  <c r="L23" i="30" s="1"/>
  <c r="I22" i="30"/>
  <c r="I21" i="30"/>
  <c r="L21" i="30" s="1"/>
  <c r="I20" i="30"/>
  <c r="I19" i="30"/>
  <c r="L19" i="30" s="1"/>
  <c r="I18" i="30"/>
  <c r="L18" i="30" s="1"/>
  <c r="I17" i="30"/>
  <c r="L17" i="30" s="1"/>
  <c r="I16" i="30"/>
  <c r="L16" i="30" s="1"/>
  <c r="I15" i="30"/>
  <c r="I14" i="30"/>
  <c r="L14" i="30" s="1"/>
  <c r="J69" i="29"/>
  <c r="J70" i="29" s="1"/>
  <c r="T55" i="29"/>
  <c r="T54" i="29"/>
  <c r="T53" i="29"/>
  <c r="T52" i="29"/>
  <c r="T51" i="29"/>
  <c r="T50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3" i="29"/>
  <c r="T30" i="29"/>
  <c r="A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H15" i="29"/>
  <c r="G15" i="29"/>
  <c r="E15" i="29"/>
  <c r="D15" i="29"/>
  <c r="C15" i="29"/>
  <c r="I14" i="29"/>
  <c r="L14" i="29" s="1"/>
  <c r="X13" i="29"/>
  <c r="W13" i="29"/>
  <c r="I13" i="29"/>
  <c r="J13" i="29" s="1"/>
  <c r="M13" i="29" s="1"/>
  <c r="I12" i="29"/>
  <c r="J12" i="29" s="1"/>
  <c r="M12" i="29" s="1"/>
  <c r="X11" i="29"/>
  <c r="I11" i="29"/>
  <c r="L11" i="29" s="1"/>
  <c r="X10" i="29"/>
  <c r="I10" i="29"/>
  <c r="L10" i="29" s="1"/>
  <c r="I9" i="29"/>
  <c r="L9" i="29" s="1"/>
  <c r="Y8" i="29"/>
  <c r="X8" i="29"/>
  <c r="I8" i="29"/>
  <c r="L8" i="29" s="1"/>
  <c r="X7" i="29"/>
  <c r="X6" i="29"/>
  <c r="X5" i="29"/>
  <c r="X4" i="29"/>
  <c r="X3" i="29"/>
  <c r="X2" i="29"/>
  <c r="X1" i="29"/>
  <c r="J22" i="30" l="1"/>
  <c r="M22" i="30" s="1"/>
  <c r="L22" i="30"/>
  <c r="J15" i="30"/>
  <c r="M15" i="30" s="1"/>
  <c r="L15" i="30"/>
  <c r="C42" i="30"/>
  <c r="H31" i="31"/>
  <c r="J20" i="30"/>
  <c r="M20" i="30" s="1"/>
  <c r="L20" i="30"/>
  <c r="J32" i="30"/>
  <c r="M32" i="30" s="1"/>
  <c r="L32" i="30"/>
  <c r="J34" i="30"/>
  <c r="M34" i="30" s="1"/>
  <c r="L34" i="30"/>
  <c r="I25" i="31"/>
  <c r="I76" i="30"/>
  <c r="J18" i="30"/>
  <c r="M18" i="30" s="1"/>
  <c r="J25" i="30"/>
  <c r="M25" i="30" s="1"/>
  <c r="J26" i="30"/>
  <c r="M26" i="30" s="1"/>
  <c r="C40" i="30"/>
  <c r="J14" i="31"/>
  <c r="L8" i="31"/>
  <c r="L10" i="31"/>
  <c r="J9" i="31"/>
  <c r="J11" i="31"/>
  <c r="M11" i="31" s="1"/>
  <c r="M12" i="31"/>
  <c r="M8" i="31"/>
  <c r="M9" i="31"/>
  <c r="J16" i="30"/>
  <c r="M16" i="30" s="1"/>
  <c r="J14" i="30"/>
  <c r="M14" i="30" s="1"/>
  <c r="J17" i="30"/>
  <c r="J19" i="30"/>
  <c r="M19" i="30" s="1"/>
  <c r="J21" i="30"/>
  <c r="M21" i="30" s="1"/>
  <c r="J23" i="30"/>
  <c r="M23" i="30" s="1"/>
  <c r="J24" i="30"/>
  <c r="M24" i="30" s="1"/>
  <c r="J10" i="29"/>
  <c r="M10" i="29" s="1"/>
  <c r="J8" i="29"/>
  <c r="M8" i="29" s="1"/>
  <c r="J9" i="29"/>
  <c r="M9" i="29" s="1"/>
  <c r="L13" i="29"/>
  <c r="J14" i="29"/>
  <c r="M14" i="29" s="1"/>
  <c r="J38" i="30"/>
  <c r="M38" i="30" s="1"/>
  <c r="J36" i="30"/>
  <c r="M36" i="30" s="1"/>
  <c r="L12" i="29"/>
  <c r="J18" i="31"/>
  <c r="J19" i="31"/>
  <c r="K19" i="31" s="1"/>
  <c r="J20" i="31"/>
  <c r="K20" i="31" s="1"/>
  <c r="L21" i="31"/>
  <c r="J17" i="31"/>
  <c r="K17" i="31" s="1"/>
  <c r="J26" i="31"/>
  <c r="K26" i="31" s="1"/>
  <c r="J27" i="31"/>
  <c r="K27" i="31" s="1"/>
  <c r="K28" i="31"/>
  <c r="J30" i="31"/>
  <c r="K30" i="31" s="1"/>
  <c r="M28" i="31"/>
  <c r="I15" i="29"/>
  <c r="L15" i="29" s="1"/>
  <c r="J28" i="30"/>
  <c r="M28" i="30" s="1"/>
  <c r="J30" i="30"/>
  <c r="M30" i="30" s="1"/>
  <c r="I35" i="30"/>
  <c r="L35" i="30" s="1"/>
  <c r="J37" i="30"/>
  <c r="M37" i="30" s="1"/>
  <c r="J39" i="30"/>
  <c r="M39" i="30" s="1"/>
  <c r="K8" i="31"/>
  <c r="K10" i="31"/>
  <c r="K12" i="31"/>
  <c r="J16" i="31"/>
  <c r="J21" i="31"/>
  <c r="I24" i="31"/>
  <c r="L24" i="31" s="1"/>
  <c r="K8" i="29"/>
  <c r="K9" i="29"/>
  <c r="J11" i="29"/>
  <c r="K12" i="29"/>
  <c r="K13" i="29"/>
  <c r="I42" i="30"/>
  <c r="L42" i="30" s="1"/>
  <c r="K15" i="30"/>
  <c r="K16" i="30"/>
  <c r="K17" i="30"/>
  <c r="K18" i="30"/>
  <c r="K20" i="30"/>
  <c r="K21" i="30"/>
  <c r="K22" i="30"/>
  <c r="K24" i="30"/>
  <c r="K25" i="30"/>
  <c r="K26" i="30"/>
  <c r="J27" i="30"/>
  <c r="M27" i="30" s="1"/>
  <c r="J29" i="30"/>
  <c r="M29" i="30" s="1"/>
  <c r="J31" i="30"/>
  <c r="M31" i="30" s="1"/>
  <c r="J33" i="30"/>
  <c r="M33" i="30" s="1"/>
  <c r="E42" i="30"/>
  <c r="J35" i="30"/>
  <c r="M35" i="30" s="1"/>
  <c r="R78" i="30"/>
  <c r="K38" i="30"/>
  <c r="K9" i="31"/>
  <c r="K11" i="31"/>
  <c r="J13" i="31"/>
  <c r="J15" i="31"/>
  <c r="J23" i="31"/>
  <c r="K32" i="30"/>
  <c r="K18" i="31"/>
  <c r="D31" i="31"/>
  <c r="J22" i="31"/>
  <c r="E25" i="31"/>
  <c r="I29" i="31"/>
  <c r="L29" i="31" s="1"/>
  <c r="C25" i="31"/>
  <c r="K14" i="29" l="1"/>
  <c r="K10" i="29"/>
  <c r="K34" i="30"/>
  <c r="M17" i="30"/>
  <c r="K14" i="31"/>
  <c r="M14" i="31"/>
  <c r="M13" i="31"/>
  <c r="K23" i="30"/>
  <c r="K19" i="30"/>
  <c r="K14" i="30"/>
  <c r="M15" i="31"/>
  <c r="M16" i="31"/>
  <c r="K36" i="30"/>
  <c r="M19" i="31"/>
  <c r="M17" i="31"/>
  <c r="M20" i="31"/>
  <c r="M18" i="31"/>
  <c r="I31" i="31"/>
  <c r="M30" i="31"/>
  <c r="M26" i="31"/>
  <c r="M27" i="31"/>
  <c r="L25" i="31"/>
  <c r="E31" i="31"/>
  <c r="M23" i="31"/>
  <c r="C60" i="31"/>
  <c r="C63" i="31" s="1"/>
  <c r="J24" i="31"/>
  <c r="K24" i="31" s="1"/>
  <c r="M22" i="31"/>
  <c r="M21" i="31"/>
  <c r="L78" i="30"/>
  <c r="L79" i="30" s="1"/>
  <c r="K15" i="31"/>
  <c r="J29" i="31"/>
  <c r="K22" i="31"/>
  <c r="K23" i="31"/>
  <c r="K35" i="30"/>
  <c r="K31" i="30"/>
  <c r="K29" i="30"/>
  <c r="K27" i="30"/>
  <c r="M11" i="29"/>
  <c r="K11" i="29"/>
  <c r="K61" i="31"/>
  <c r="K21" i="31"/>
  <c r="K39" i="30"/>
  <c r="K30" i="30"/>
  <c r="K28" i="30"/>
  <c r="J25" i="31"/>
  <c r="K13" i="31"/>
  <c r="L57" i="31"/>
  <c r="L58" i="31" s="1"/>
  <c r="K33" i="30"/>
  <c r="C31" i="31"/>
  <c r="K16" i="31"/>
  <c r="K37" i="30"/>
  <c r="J42" i="30"/>
  <c r="M42" i="30" s="1"/>
  <c r="J15" i="29"/>
  <c r="M15" i="29" s="1"/>
  <c r="H35" i="26"/>
  <c r="G35" i="26"/>
  <c r="E35" i="26"/>
  <c r="K15" i="29" l="1"/>
  <c r="M78" i="30"/>
  <c r="M79" i="30" s="1"/>
  <c r="J31" i="31"/>
  <c r="M29" i="31"/>
  <c r="M24" i="31"/>
  <c r="M57" i="31" s="1"/>
  <c r="M58" i="31" s="1"/>
  <c r="M25" i="31"/>
  <c r="K42" i="30"/>
  <c r="K25" i="31"/>
  <c r="K29" i="31"/>
  <c r="H24" i="27"/>
  <c r="G24" i="27"/>
  <c r="E24" i="27"/>
  <c r="I36" i="26"/>
  <c r="R31" i="31" l="1"/>
  <c r="K31" i="31"/>
  <c r="L28" i="27"/>
  <c r="G64" i="27"/>
  <c r="F59" i="27"/>
  <c r="C57" i="27"/>
  <c r="R55" i="27"/>
  <c r="R54" i="27"/>
  <c r="R53" i="27"/>
  <c r="R52" i="27"/>
  <c r="R51" i="27"/>
  <c r="R50" i="27"/>
  <c r="R49" i="27"/>
  <c r="K49" i="27"/>
  <c r="K50" i="27" s="1"/>
  <c r="R48" i="27"/>
  <c r="R47" i="27"/>
  <c r="R46" i="27"/>
  <c r="Q45" i="27"/>
  <c r="P45" i="27"/>
  <c r="R45" i="27" s="1"/>
  <c r="R44" i="27"/>
  <c r="R43" i="27"/>
  <c r="R42" i="27"/>
  <c r="R41" i="27"/>
  <c r="R40" i="27"/>
  <c r="R39" i="27"/>
  <c r="R38" i="27"/>
  <c r="R37" i="27"/>
  <c r="R36" i="27"/>
  <c r="R35" i="27"/>
  <c r="R34" i="27"/>
  <c r="R33" i="27"/>
  <c r="R32" i="27"/>
  <c r="I30" i="27"/>
  <c r="L30" i="27" s="1"/>
  <c r="H29" i="27"/>
  <c r="G29" i="27"/>
  <c r="E29" i="27"/>
  <c r="D29" i="27"/>
  <c r="C29" i="27"/>
  <c r="J28" i="27"/>
  <c r="I27" i="27"/>
  <c r="L27" i="27" s="1"/>
  <c r="I26" i="27"/>
  <c r="L26" i="27" s="1"/>
  <c r="H25" i="27"/>
  <c r="D25" i="27"/>
  <c r="I24" i="27"/>
  <c r="E25" i="27"/>
  <c r="C24" i="27"/>
  <c r="C25" i="27" s="1"/>
  <c r="I23" i="27"/>
  <c r="L23" i="27" s="1"/>
  <c r="I22" i="27"/>
  <c r="L22" i="27" s="1"/>
  <c r="H21" i="27"/>
  <c r="H31" i="27" s="1"/>
  <c r="G21" i="27"/>
  <c r="E21" i="27"/>
  <c r="C21" i="27"/>
  <c r="I20" i="27"/>
  <c r="J20" i="27" s="1"/>
  <c r="I19" i="27"/>
  <c r="L19" i="27" s="1"/>
  <c r="I18" i="27"/>
  <c r="L18" i="27" s="1"/>
  <c r="T17" i="27"/>
  <c r="I17" i="27"/>
  <c r="L17" i="27" s="1"/>
  <c r="T16" i="27"/>
  <c r="J16" i="27"/>
  <c r="M16" i="27" s="1"/>
  <c r="I16" i="27"/>
  <c r="L16" i="27" s="1"/>
  <c r="J15" i="27"/>
  <c r="I15" i="27"/>
  <c r="L15" i="27" s="1"/>
  <c r="T14" i="27"/>
  <c r="I14" i="27"/>
  <c r="L14" i="27" s="1"/>
  <c r="T13" i="27"/>
  <c r="I13" i="27"/>
  <c r="L13" i="27" s="1"/>
  <c r="T12" i="27"/>
  <c r="I12" i="27"/>
  <c r="L12" i="27" s="1"/>
  <c r="I11" i="27"/>
  <c r="L11" i="27" s="1"/>
  <c r="I10" i="27"/>
  <c r="L10" i="27" s="1"/>
  <c r="I9" i="27"/>
  <c r="L9" i="27" s="1"/>
  <c r="I8" i="27"/>
  <c r="L8" i="27" s="1"/>
  <c r="I75" i="26"/>
  <c r="I71" i="26"/>
  <c r="H58" i="26"/>
  <c r="C54" i="26"/>
  <c r="D42" i="26"/>
  <c r="R39" i="26"/>
  <c r="I39" i="26"/>
  <c r="L39" i="26" s="1"/>
  <c r="R38" i="26"/>
  <c r="I38" i="26"/>
  <c r="L38" i="26" s="1"/>
  <c r="R37" i="26"/>
  <c r="I37" i="26"/>
  <c r="L37" i="26" s="1"/>
  <c r="R36" i="26"/>
  <c r="L36" i="26"/>
  <c r="R35" i="26"/>
  <c r="H42" i="26"/>
  <c r="G42" i="26"/>
  <c r="C35" i="26"/>
  <c r="R34" i="26"/>
  <c r="I34" i="26"/>
  <c r="L34" i="26" s="1"/>
  <c r="R33" i="26"/>
  <c r="I33" i="26"/>
  <c r="L33" i="26" s="1"/>
  <c r="R32" i="26"/>
  <c r="I32" i="26"/>
  <c r="L32" i="26" s="1"/>
  <c r="R31" i="26"/>
  <c r="I31" i="26"/>
  <c r="L31" i="26" s="1"/>
  <c r="I30" i="26"/>
  <c r="L30" i="26" s="1"/>
  <c r="I29" i="26"/>
  <c r="L29" i="26" s="1"/>
  <c r="I28" i="26"/>
  <c r="L28" i="26" s="1"/>
  <c r="I27" i="26"/>
  <c r="L27" i="26" s="1"/>
  <c r="I26" i="26"/>
  <c r="L26" i="26" s="1"/>
  <c r="I25" i="26"/>
  <c r="L25" i="26" s="1"/>
  <c r="I24" i="26"/>
  <c r="L24" i="26" s="1"/>
  <c r="I23" i="26"/>
  <c r="L23" i="26" s="1"/>
  <c r="I22" i="26"/>
  <c r="L22" i="26" s="1"/>
  <c r="I21" i="26"/>
  <c r="L21" i="26" s="1"/>
  <c r="I20" i="26"/>
  <c r="L20" i="26" s="1"/>
  <c r="I19" i="26"/>
  <c r="L19" i="26" s="1"/>
  <c r="I18" i="26"/>
  <c r="L18" i="26" s="1"/>
  <c r="I17" i="26"/>
  <c r="L17" i="26" s="1"/>
  <c r="I16" i="26"/>
  <c r="L16" i="26" s="1"/>
  <c r="I15" i="26"/>
  <c r="L15" i="26" s="1"/>
  <c r="I14" i="26"/>
  <c r="J14" i="26" s="1"/>
  <c r="J69" i="25"/>
  <c r="J70" i="25" s="1"/>
  <c r="T55" i="25"/>
  <c r="T54" i="25"/>
  <c r="T53" i="25"/>
  <c r="T52" i="25"/>
  <c r="T51" i="25"/>
  <c r="T50" i="25"/>
  <c r="T47" i="25"/>
  <c r="T46" i="25"/>
  <c r="T45" i="25"/>
  <c r="T44" i="25"/>
  <c r="T43" i="25"/>
  <c r="T42" i="25"/>
  <c r="T41" i="25"/>
  <c r="T40" i="25"/>
  <c r="T39" i="25"/>
  <c r="T38" i="25"/>
  <c r="T37" i="25"/>
  <c r="T36" i="25"/>
  <c r="T33" i="25"/>
  <c r="T30" i="25"/>
  <c r="A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7" i="25"/>
  <c r="T16" i="25"/>
  <c r="H15" i="25"/>
  <c r="G15" i="25"/>
  <c r="E15" i="25"/>
  <c r="D15" i="25"/>
  <c r="C15" i="25"/>
  <c r="I14" i="25"/>
  <c r="L14" i="25" s="1"/>
  <c r="X13" i="25"/>
  <c r="W13" i="25"/>
  <c r="I13" i="25"/>
  <c r="L13" i="25" s="1"/>
  <c r="I12" i="25"/>
  <c r="L12" i="25" s="1"/>
  <c r="X11" i="25"/>
  <c r="I11" i="25"/>
  <c r="L11" i="25" s="1"/>
  <c r="X10" i="25"/>
  <c r="I10" i="25"/>
  <c r="L10" i="25" s="1"/>
  <c r="I9" i="25"/>
  <c r="L9" i="25" s="1"/>
  <c r="Y8" i="25"/>
  <c r="X8" i="25"/>
  <c r="I8" i="25"/>
  <c r="L8" i="25" s="1"/>
  <c r="X7" i="25"/>
  <c r="X6" i="25"/>
  <c r="X5" i="25"/>
  <c r="X4" i="25"/>
  <c r="X3" i="25"/>
  <c r="X2" i="25"/>
  <c r="X1" i="25"/>
  <c r="L28" i="24"/>
  <c r="G24" i="19"/>
  <c r="H24" i="19"/>
  <c r="G25" i="19"/>
  <c r="H25" i="19"/>
  <c r="G26" i="19"/>
  <c r="H26" i="19"/>
  <c r="H24" i="24"/>
  <c r="G24" i="24"/>
  <c r="E24" i="24"/>
  <c r="C24" i="24"/>
  <c r="E35" i="23"/>
  <c r="H35" i="23"/>
  <c r="G35" i="23"/>
  <c r="G64" i="24"/>
  <c r="F59" i="24"/>
  <c r="C58" i="24"/>
  <c r="C57" i="24"/>
  <c r="R55" i="24"/>
  <c r="R54" i="24"/>
  <c r="R53" i="24"/>
  <c r="R52" i="24"/>
  <c r="R51" i="24"/>
  <c r="R50" i="24"/>
  <c r="R49" i="24"/>
  <c r="K49" i="24"/>
  <c r="K50" i="24" s="1"/>
  <c r="R48" i="24"/>
  <c r="R47" i="24"/>
  <c r="R46" i="24"/>
  <c r="Q45" i="24"/>
  <c r="P45" i="24"/>
  <c r="R45" i="24" s="1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I30" i="24"/>
  <c r="L30" i="24" s="1"/>
  <c r="H29" i="24"/>
  <c r="G29" i="24"/>
  <c r="E29" i="24"/>
  <c r="D29" i="24"/>
  <c r="C29" i="24"/>
  <c r="J28" i="24"/>
  <c r="M28" i="24" s="1"/>
  <c r="I27" i="24"/>
  <c r="L27" i="24" s="1"/>
  <c r="I26" i="24"/>
  <c r="L26" i="24" s="1"/>
  <c r="H25" i="24"/>
  <c r="D25" i="24"/>
  <c r="C25" i="24"/>
  <c r="L25" i="24" s="1"/>
  <c r="G25" i="24"/>
  <c r="I25" i="24"/>
  <c r="I23" i="24"/>
  <c r="L23" i="24" s="1"/>
  <c r="I22" i="24"/>
  <c r="L22" i="24" s="1"/>
  <c r="H21" i="24"/>
  <c r="H31" i="24" s="1"/>
  <c r="G21" i="24"/>
  <c r="G31" i="24"/>
  <c r="E21" i="24"/>
  <c r="C21" i="24"/>
  <c r="I20" i="24"/>
  <c r="L20" i="24" s="1"/>
  <c r="D20" i="24"/>
  <c r="I19" i="24"/>
  <c r="L19" i="24" s="1"/>
  <c r="D19" i="24"/>
  <c r="I18" i="24"/>
  <c r="L18" i="24" s="1"/>
  <c r="T17" i="24"/>
  <c r="I17" i="24"/>
  <c r="L17" i="24" s="1"/>
  <c r="T16" i="24"/>
  <c r="I16" i="24"/>
  <c r="L16" i="24" s="1"/>
  <c r="I15" i="24"/>
  <c r="L15" i="24" s="1"/>
  <c r="T14" i="24"/>
  <c r="J14" i="24"/>
  <c r="M14" i="24" s="1"/>
  <c r="I14" i="24"/>
  <c r="L14" i="24" s="1"/>
  <c r="T13" i="24"/>
  <c r="I13" i="24"/>
  <c r="L13" i="24" s="1"/>
  <c r="T12" i="24"/>
  <c r="J12" i="24"/>
  <c r="M12" i="24" s="1"/>
  <c r="I12" i="24"/>
  <c r="L12" i="24" s="1"/>
  <c r="I11" i="24"/>
  <c r="J11" i="24" s="1"/>
  <c r="M11" i="24" s="1"/>
  <c r="I10" i="24"/>
  <c r="L10" i="24" s="1"/>
  <c r="I9" i="24"/>
  <c r="L9" i="24" s="1"/>
  <c r="I8" i="24"/>
  <c r="L8" i="24" s="1"/>
  <c r="I75" i="23"/>
  <c r="I76" i="23" s="1"/>
  <c r="I71" i="23"/>
  <c r="H58" i="23"/>
  <c r="C54" i="23"/>
  <c r="D42" i="23"/>
  <c r="R39" i="23"/>
  <c r="I39" i="23"/>
  <c r="L39" i="23" s="1"/>
  <c r="R38" i="23"/>
  <c r="I38" i="23"/>
  <c r="L38" i="23" s="1"/>
  <c r="R37" i="23"/>
  <c r="I37" i="23"/>
  <c r="J37" i="23"/>
  <c r="R36" i="23"/>
  <c r="I36" i="23"/>
  <c r="L36" i="23" s="1"/>
  <c r="R35" i="23"/>
  <c r="I35" i="23"/>
  <c r="E42" i="23"/>
  <c r="C35" i="23"/>
  <c r="L35" i="23" s="1"/>
  <c r="C42" i="23"/>
  <c r="R34" i="23"/>
  <c r="I34" i="23"/>
  <c r="L34" i="23"/>
  <c r="R33" i="23"/>
  <c r="I33" i="23"/>
  <c r="L33" i="23" s="1"/>
  <c r="R32" i="23"/>
  <c r="I32" i="23"/>
  <c r="L32" i="23" s="1"/>
  <c r="R31" i="23"/>
  <c r="I31" i="23"/>
  <c r="L31" i="23"/>
  <c r="I30" i="23"/>
  <c r="L30" i="23" s="1"/>
  <c r="I29" i="23"/>
  <c r="J29" i="23"/>
  <c r="I28" i="23"/>
  <c r="L28" i="23" s="1"/>
  <c r="I27" i="23"/>
  <c r="J27" i="23"/>
  <c r="I26" i="23"/>
  <c r="J26" i="23" s="1"/>
  <c r="I25" i="23"/>
  <c r="L25" i="23"/>
  <c r="H42" i="23"/>
  <c r="G42" i="23"/>
  <c r="I23" i="23"/>
  <c r="J23" i="23"/>
  <c r="I22" i="23"/>
  <c r="L22" i="23" s="1"/>
  <c r="I21" i="23"/>
  <c r="J21" i="23"/>
  <c r="I20" i="23"/>
  <c r="L20" i="23" s="1"/>
  <c r="I19" i="23"/>
  <c r="J19" i="23"/>
  <c r="I18" i="23"/>
  <c r="L18" i="23" s="1"/>
  <c r="I17" i="23"/>
  <c r="J17" i="23"/>
  <c r="I16" i="23"/>
  <c r="L16" i="23" s="1"/>
  <c r="I15" i="23"/>
  <c r="J15" i="23"/>
  <c r="I14" i="23"/>
  <c r="J14" i="23" s="1"/>
  <c r="J69" i="22"/>
  <c r="J70" i="22" s="1"/>
  <c r="T55" i="22"/>
  <c r="T54" i="22"/>
  <c r="T53" i="22"/>
  <c r="T52" i="22"/>
  <c r="T51" i="22"/>
  <c r="T50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3" i="22"/>
  <c r="T30" i="22"/>
  <c r="A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H15" i="22"/>
  <c r="G15" i="22"/>
  <c r="E15" i="22"/>
  <c r="D15" i="22"/>
  <c r="C15" i="22"/>
  <c r="I14" i="22"/>
  <c r="L14" i="22" s="1"/>
  <c r="X13" i="22"/>
  <c r="W13" i="22"/>
  <c r="I13" i="22"/>
  <c r="L13" i="22" s="1"/>
  <c r="I12" i="22"/>
  <c r="J12" i="22" s="1"/>
  <c r="X11" i="22"/>
  <c r="I11" i="22"/>
  <c r="L11" i="22"/>
  <c r="X10" i="22"/>
  <c r="I10" i="22"/>
  <c r="L10" i="22" s="1"/>
  <c r="I9" i="22"/>
  <c r="L9" i="22"/>
  <c r="Y8" i="22"/>
  <c r="X8" i="22"/>
  <c r="J8" i="22"/>
  <c r="M8" i="22"/>
  <c r="I8" i="22"/>
  <c r="L8" i="22" s="1"/>
  <c r="X7" i="22"/>
  <c r="X6" i="22"/>
  <c r="X5" i="22"/>
  <c r="X4" i="22"/>
  <c r="X3" i="22"/>
  <c r="X2" i="22"/>
  <c r="X1" i="22"/>
  <c r="B9" i="21"/>
  <c r="F23" i="21"/>
  <c r="F19" i="21"/>
  <c r="F15" i="21"/>
  <c r="D23" i="21"/>
  <c r="D28" i="21"/>
  <c r="C56" i="18"/>
  <c r="I31" i="19"/>
  <c r="L31" i="19" s="1"/>
  <c r="H35" i="19"/>
  <c r="G35" i="19"/>
  <c r="C29" i="20"/>
  <c r="C25" i="20"/>
  <c r="H24" i="20"/>
  <c r="G24" i="20"/>
  <c r="F59" i="20"/>
  <c r="E24" i="20"/>
  <c r="C21" i="20"/>
  <c r="C31" i="20" s="1"/>
  <c r="E21" i="20"/>
  <c r="I9" i="20"/>
  <c r="L9" i="20"/>
  <c r="I10" i="20"/>
  <c r="L10" i="20"/>
  <c r="I11" i="20"/>
  <c r="L11" i="20"/>
  <c r="I12" i="20"/>
  <c r="L12" i="20"/>
  <c r="I13" i="20"/>
  <c r="L13" i="20"/>
  <c r="I14" i="20"/>
  <c r="L14" i="20"/>
  <c r="I15" i="20"/>
  <c r="L15" i="20"/>
  <c r="I16" i="20"/>
  <c r="J16" i="20"/>
  <c r="I17" i="20"/>
  <c r="L17" i="20"/>
  <c r="I18" i="20"/>
  <c r="J18" i="20"/>
  <c r="I19" i="20"/>
  <c r="L19" i="20"/>
  <c r="I20" i="20"/>
  <c r="L20" i="20"/>
  <c r="I22" i="20"/>
  <c r="L22" i="20"/>
  <c r="I23" i="20"/>
  <c r="J23" i="20"/>
  <c r="I26" i="20"/>
  <c r="J26" i="20"/>
  <c r="I27" i="20"/>
  <c r="L27" i="20"/>
  <c r="I28" i="20"/>
  <c r="J28" i="20"/>
  <c r="I30" i="20"/>
  <c r="L30" i="20"/>
  <c r="H21" i="20"/>
  <c r="G21" i="20"/>
  <c r="I21" i="20" s="1"/>
  <c r="D20" i="20"/>
  <c r="D19" i="20"/>
  <c r="D31" i="20" s="1"/>
  <c r="D21" i="20"/>
  <c r="H29" i="20"/>
  <c r="G29" i="20"/>
  <c r="I29" i="20"/>
  <c r="D29" i="20"/>
  <c r="E29" i="20"/>
  <c r="H25" i="20"/>
  <c r="G25" i="20"/>
  <c r="D25" i="20"/>
  <c r="E25" i="20"/>
  <c r="C35" i="19"/>
  <c r="C40" i="19" s="1"/>
  <c r="E35" i="19"/>
  <c r="I11" i="18"/>
  <c r="L11" i="18" s="1"/>
  <c r="I8" i="20"/>
  <c r="J8" i="20"/>
  <c r="T12" i="20"/>
  <c r="T13" i="20"/>
  <c r="T14" i="20"/>
  <c r="T16" i="20"/>
  <c r="T17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P45" i="20"/>
  <c r="Q45" i="20"/>
  <c r="R45" i="20"/>
  <c r="R46" i="20"/>
  <c r="R47" i="20"/>
  <c r="R48" i="20"/>
  <c r="K49" i="20"/>
  <c r="K50" i="20" s="1"/>
  <c r="R49" i="20"/>
  <c r="R50" i="20"/>
  <c r="R51" i="20"/>
  <c r="R52" i="20"/>
  <c r="R53" i="20"/>
  <c r="R54" i="20"/>
  <c r="R55" i="20"/>
  <c r="C57" i="20"/>
  <c r="C58" i="20"/>
  <c r="G64" i="20"/>
  <c r="I14" i="19"/>
  <c r="J14" i="19"/>
  <c r="I15" i="19"/>
  <c r="J15" i="19" s="1"/>
  <c r="I16" i="19"/>
  <c r="L16" i="19" s="1"/>
  <c r="J16" i="19"/>
  <c r="I17" i="19"/>
  <c r="J17" i="19"/>
  <c r="I18" i="19"/>
  <c r="J18" i="19" s="1"/>
  <c r="I19" i="19"/>
  <c r="J19" i="19"/>
  <c r="I20" i="19"/>
  <c r="J20" i="19"/>
  <c r="L20" i="19"/>
  <c r="I21" i="19"/>
  <c r="J21" i="19" s="1"/>
  <c r="I22" i="19"/>
  <c r="J22" i="19"/>
  <c r="I23" i="19"/>
  <c r="J23" i="19" s="1"/>
  <c r="I24" i="19"/>
  <c r="J24" i="19"/>
  <c r="I25" i="19"/>
  <c r="J25" i="19" s="1"/>
  <c r="I26" i="19"/>
  <c r="L26" i="19" s="1"/>
  <c r="J26" i="19"/>
  <c r="I27" i="19"/>
  <c r="J27" i="19"/>
  <c r="I28" i="19"/>
  <c r="J28" i="19" s="1"/>
  <c r="I29" i="19"/>
  <c r="J29" i="19"/>
  <c r="I30" i="19"/>
  <c r="J30" i="19" s="1"/>
  <c r="R31" i="19"/>
  <c r="I32" i="19"/>
  <c r="L32" i="19" s="1"/>
  <c r="J32" i="19"/>
  <c r="M32" i="19" s="1"/>
  <c r="R32" i="19"/>
  <c r="I33" i="19"/>
  <c r="L33" i="19" s="1"/>
  <c r="J33" i="19"/>
  <c r="R33" i="19"/>
  <c r="I34" i="19"/>
  <c r="J34" i="19"/>
  <c r="R34" i="19"/>
  <c r="I35" i="19"/>
  <c r="J35" i="19" s="1"/>
  <c r="R35" i="19"/>
  <c r="I36" i="19"/>
  <c r="J36" i="19"/>
  <c r="R36" i="19"/>
  <c r="I37" i="19"/>
  <c r="J37" i="19" s="1"/>
  <c r="R37" i="19"/>
  <c r="I38" i="19"/>
  <c r="L38" i="19" s="1"/>
  <c r="J38" i="19"/>
  <c r="R38" i="19"/>
  <c r="I39" i="19"/>
  <c r="J39" i="19"/>
  <c r="R39" i="19"/>
  <c r="C42" i="19"/>
  <c r="D42" i="19"/>
  <c r="E42" i="19"/>
  <c r="G42" i="19"/>
  <c r="H42" i="19"/>
  <c r="C54" i="19"/>
  <c r="H58" i="19"/>
  <c r="I71" i="19"/>
  <c r="I76" i="19" s="1"/>
  <c r="I75" i="19"/>
  <c r="X1" i="18"/>
  <c r="X2" i="18"/>
  <c r="X3" i="18"/>
  <c r="X4" i="18"/>
  <c r="X5" i="18"/>
  <c r="X6" i="18"/>
  <c r="X7" i="18"/>
  <c r="I8" i="18"/>
  <c r="J8" i="18"/>
  <c r="K8" i="18" s="1"/>
  <c r="L8" i="18"/>
  <c r="X8" i="18"/>
  <c r="Y8" i="18"/>
  <c r="Z8" i="18" s="1"/>
  <c r="I9" i="18"/>
  <c r="J9" i="18"/>
  <c r="K9" i="18" s="1"/>
  <c r="L9" i="18"/>
  <c r="I10" i="18"/>
  <c r="J10" i="18"/>
  <c r="K10" i="18" s="1"/>
  <c r="L10" i="18"/>
  <c r="X10" i="18"/>
  <c r="J11" i="18"/>
  <c r="X11" i="18"/>
  <c r="I12" i="18"/>
  <c r="L12" i="18" s="1"/>
  <c r="I13" i="18"/>
  <c r="J13" i="18" s="1"/>
  <c r="K13" i="18" s="1"/>
  <c r="W13" i="18"/>
  <c r="X13" i="18"/>
  <c r="I14" i="18"/>
  <c r="J14" i="18"/>
  <c r="C15" i="18"/>
  <c r="D15" i="18"/>
  <c r="E15" i="18"/>
  <c r="G15" i="18"/>
  <c r="H15" i="18"/>
  <c r="I15" i="18"/>
  <c r="L15" i="18" s="1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A30" i="18"/>
  <c r="T30" i="18"/>
  <c r="T33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50" i="18"/>
  <c r="T51" i="18"/>
  <c r="T52" i="18"/>
  <c r="T53" i="18"/>
  <c r="T54" i="18"/>
  <c r="T55" i="18"/>
  <c r="J69" i="18"/>
  <c r="J70" i="18" s="1"/>
  <c r="I8" i="17"/>
  <c r="J8" i="17" s="1"/>
  <c r="I9" i="17"/>
  <c r="J9" i="17" s="1"/>
  <c r="I10" i="17"/>
  <c r="J10" i="17" s="1"/>
  <c r="I11" i="17"/>
  <c r="J11" i="17" s="1"/>
  <c r="I12" i="17"/>
  <c r="J12" i="17" s="1"/>
  <c r="T12" i="17"/>
  <c r="I13" i="17"/>
  <c r="J13" i="17"/>
  <c r="T13" i="17"/>
  <c r="I14" i="17"/>
  <c r="J14" i="17" s="1"/>
  <c r="T14" i="17"/>
  <c r="I15" i="17"/>
  <c r="J15" i="17" s="1"/>
  <c r="L15" i="17"/>
  <c r="I16" i="17"/>
  <c r="J16" i="17" s="1"/>
  <c r="L16" i="17"/>
  <c r="T16" i="17"/>
  <c r="I17" i="17"/>
  <c r="L17" i="17" s="1"/>
  <c r="J17" i="17"/>
  <c r="M17" i="17" s="1"/>
  <c r="T17" i="17"/>
  <c r="I18" i="17"/>
  <c r="J18" i="17" s="1"/>
  <c r="L18" i="17"/>
  <c r="I19" i="17"/>
  <c r="J19" i="17"/>
  <c r="M19" i="17" s="1"/>
  <c r="K19" i="17"/>
  <c r="L19" i="17"/>
  <c r="I20" i="17"/>
  <c r="L20" i="17" s="1"/>
  <c r="J20" i="17"/>
  <c r="M20" i="17" s="1"/>
  <c r="I21" i="17"/>
  <c r="L21" i="17" s="1"/>
  <c r="I22" i="17"/>
  <c r="J22" i="17" s="1"/>
  <c r="L22" i="17"/>
  <c r="I23" i="17"/>
  <c r="J23" i="17"/>
  <c r="M23" i="17" s="1"/>
  <c r="K23" i="17"/>
  <c r="L23" i="17"/>
  <c r="I24" i="17"/>
  <c r="L24" i="17" s="1"/>
  <c r="J24" i="17"/>
  <c r="M24" i="17" s="1"/>
  <c r="I25" i="17"/>
  <c r="L25" i="17" s="1"/>
  <c r="I26" i="17"/>
  <c r="J26" i="17" s="1"/>
  <c r="L26" i="17"/>
  <c r="I27" i="17"/>
  <c r="J27" i="17"/>
  <c r="M27" i="17" s="1"/>
  <c r="K27" i="17"/>
  <c r="L27" i="17"/>
  <c r="I28" i="17"/>
  <c r="L28" i="17" s="1"/>
  <c r="J28" i="17"/>
  <c r="M28" i="17" s="1"/>
  <c r="I29" i="17"/>
  <c r="L29" i="17" s="1"/>
  <c r="I30" i="17"/>
  <c r="J30" i="17" s="1"/>
  <c r="L30" i="17"/>
  <c r="C31" i="17"/>
  <c r="D31" i="17"/>
  <c r="E31" i="17"/>
  <c r="G31" i="17"/>
  <c r="H31" i="17"/>
  <c r="I31" i="17"/>
  <c r="L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P45" i="17"/>
  <c r="Q45" i="17"/>
  <c r="R45" i="17"/>
  <c r="R46" i="17"/>
  <c r="R47" i="17"/>
  <c r="R48" i="17"/>
  <c r="K49" i="17"/>
  <c r="K50" i="17" s="1"/>
  <c r="R49" i="17"/>
  <c r="R50" i="17"/>
  <c r="R51" i="17"/>
  <c r="R52" i="17"/>
  <c r="R53" i="17"/>
  <c r="R54" i="17"/>
  <c r="R55" i="17"/>
  <c r="C57" i="17"/>
  <c r="C58" i="17"/>
  <c r="C60" i="17"/>
  <c r="C63" i="17" s="1"/>
  <c r="G64" i="17"/>
  <c r="I14" i="16"/>
  <c r="L14" i="16" s="1"/>
  <c r="J14" i="16"/>
  <c r="M14" i="16" s="1"/>
  <c r="I15" i="16"/>
  <c r="L15" i="16" s="1"/>
  <c r="I16" i="16"/>
  <c r="J16" i="16" s="1"/>
  <c r="L16" i="16"/>
  <c r="I17" i="16"/>
  <c r="J17" i="16"/>
  <c r="M17" i="16" s="1"/>
  <c r="K17" i="16"/>
  <c r="L17" i="16"/>
  <c r="I18" i="16"/>
  <c r="L18" i="16" s="1"/>
  <c r="J18" i="16"/>
  <c r="M18" i="16" s="1"/>
  <c r="I19" i="16"/>
  <c r="L19" i="16" s="1"/>
  <c r="I20" i="16"/>
  <c r="J20" i="16" s="1"/>
  <c r="L20" i="16"/>
  <c r="I21" i="16"/>
  <c r="J21" i="16"/>
  <c r="M21" i="16" s="1"/>
  <c r="K21" i="16"/>
  <c r="L21" i="16"/>
  <c r="I22" i="16"/>
  <c r="L22" i="16" s="1"/>
  <c r="J22" i="16"/>
  <c r="M22" i="16" s="1"/>
  <c r="I23" i="16"/>
  <c r="L23" i="16" s="1"/>
  <c r="I24" i="16"/>
  <c r="J24" i="16" s="1"/>
  <c r="L24" i="16"/>
  <c r="I25" i="16"/>
  <c r="J25" i="16"/>
  <c r="M25" i="16" s="1"/>
  <c r="K25" i="16"/>
  <c r="L25" i="16"/>
  <c r="I26" i="16"/>
  <c r="L26" i="16" s="1"/>
  <c r="J26" i="16"/>
  <c r="I27" i="16"/>
  <c r="I28" i="16"/>
  <c r="J28" i="16" s="1"/>
  <c r="K28" i="16"/>
  <c r="L28" i="16"/>
  <c r="M28" i="16"/>
  <c r="I29" i="16"/>
  <c r="J29" i="16"/>
  <c r="M29" i="16" s="1"/>
  <c r="L29" i="16"/>
  <c r="I30" i="16"/>
  <c r="L30" i="16" s="1"/>
  <c r="J30" i="16"/>
  <c r="K30" i="16" s="1"/>
  <c r="I31" i="16"/>
  <c r="J31" i="16"/>
  <c r="K31" i="16" s="1"/>
  <c r="L31" i="16"/>
  <c r="R31" i="16"/>
  <c r="I32" i="16"/>
  <c r="J32" i="16"/>
  <c r="M32" i="16" s="1"/>
  <c r="L32" i="16"/>
  <c r="R32" i="16"/>
  <c r="I33" i="16"/>
  <c r="L33" i="16" s="1"/>
  <c r="R33" i="16"/>
  <c r="I34" i="16"/>
  <c r="J34" i="16"/>
  <c r="M34" i="16" s="1"/>
  <c r="K34" i="16"/>
  <c r="L34" i="16"/>
  <c r="R34" i="16"/>
  <c r="I35" i="16"/>
  <c r="J35" i="16"/>
  <c r="K35" i="16" s="1"/>
  <c r="L35" i="16"/>
  <c r="R35" i="16"/>
  <c r="I36" i="16"/>
  <c r="J36" i="16"/>
  <c r="M36" i="16" s="1"/>
  <c r="L36" i="16"/>
  <c r="R36" i="16"/>
  <c r="I37" i="16"/>
  <c r="J37" i="16" s="1"/>
  <c r="L37" i="16"/>
  <c r="R37" i="16"/>
  <c r="I38" i="16"/>
  <c r="L38" i="16" s="1"/>
  <c r="J38" i="16"/>
  <c r="M38" i="16" s="1"/>
  <c r="R38" i="16"/>
  <c r="I39" i="16"/>
  <c r="J39" i="16" s="1"/>
  <c r="L39" i="16"/>
  <c r="R39" i="16"/>
  <c r="C41" i="16"/>
  <c r="D41" i="16"/>
  <c r="E41" i="16"/>
  <c r="G41" i="16"/>
  <c r="H41" i="16"/>
  <c r="I41" i="16"/>
  <c r="L41" i="16" s="1"/>
  <c r="C53" i="16"/>
  <c r="H57" i="16"/>
  <c r="I70" i="16"/>
  <c r="I74" i="16"/>
  <c r="I75" i="16" s="1"/>
  <c r="X1" i="15"/>
  <c r="X2" i="15"/>
  <c r="X3" i="15"/>
  <c r="X4" i="15"/>
  <c r="X5" i="15"/>
  <c r="X6" i="15"/>
  <c r="X7" i="15"/>
  <c r="I8" i="15"/>
  <c r="J8" i="15" s="1"/>
  <c r="L8" i="15"/>
  <c r="X8" i="15"/>
  <c r="I9" i="15"/>
  <c r="L9" i="15" s="1"/>
  <c r="J9" i="15"/>
  <c r="K9" i="15" s="1"/>
  <c r="I10" i="15"/>
  <c r="L10" i="15" s="1"/>
  <c r="J10" i="15"/>
  <c r="K10" i="15" s="1"/>
  <c r="X10" i="15"/>
  <c r="I11" i="15"/>
  <c r="L11" i="15" s="1"/>
  <c r="X11" i="15"/>
  <c r="I12" i="15"/>
  <c r="J12" i="15" s="1"/>
  <c r="K12" i="15" s="1"/>
  <c r="L12" i="15"/>
  <c r="I13" i="15"/>
  <c r="J13" i="15" s="1"/>
  <c r="K13" i="15" s="1"/>
  <c r="L13" i="15"/>
  <c r="W13" i="15"/>
  <c r="X13" i="15"/>
  <c r="I14" i="15"/>
  <c r="J14" i="15"/>
  <c r="K14" i="15" s="1"/>
  <c r="L14" i="15"/>
  <c r="C15" i="15"/>
  <c r="D15" i="15"/>
  <c r="E15" i="15"/>
  <c r="G15" i="15"/>
  <c r="H15" i="15"/>
  <c r="I15" i="15"/>
  <c r="L15" i="15" s="1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A30" i="15"/>
  <c r="T30" i="15"/>
  <c r="T33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50" i="15"/>
  <c r="T51" i="15"/>
  <c r="T52" i="15"/>
  <c r="T53" i="15"/>
  <c r="T54" i="15"/>
  <c r="T55" i="15"/>
  <c r="J69" i="15"/>
  <c r="J70" i="15" s="1"/>
  <c r="I8" i="12"/>
  <c r="L8" i="12" s="1"/>
  <c r="J8" i="12"/>
  <c r="M8" i="12" s="1"/>
  <c r="I9" i="12"/>
  <c r="L9" i="12" s="1"/>
  <c r="I10" i="12"/>
  <c r="J10" i="12" s="1"/>
  <c r="L10" i="12"/>
  <c r="I11" i="12"/>
  <c r="J11" i="12" s="1"/>
  <c r="L11" i="12"/>
  <c r="I12" i="12"/>
  <c r="J12" i="12"/>
  <c r="M12" i="12" s="1"/>
  <c r="L12" i="12"/>
  <c r="T12" i="12"/>
  <c r="I13" i="12"/>
  <c r="J13" i="12" s="1"/>
  <c r="L13" i="12"/>
  <c r="T13" i="12"/>
  <c r="I14" i="12"/>
  <c r="J14" i="12"/>
  <c r="M14" i="12" s="1"/>
  <c r="L14" i="12"/>
  <c r="T14" i="12"/>
  <c r="I15" i="12"/>
  <c r="J15" i="12" s="1"/>
  <c r="L15" i="12"/>
  <c r="I16" i="12"/>
  <c r="J16" i="12" s="1"/>
  <c r="L16" i="12"/>
  <c r="T16" i="12"/>
  <c r="I17" i="12"/>
  <c r="L17" i="12" s="1"/>
  <c r="T17" i="12"/>
  <c r="I18" i="12"/>
  <c r="J18" i="12" s="1"/>
  <c r="L18" i="12"/>
  <c r="I19" i="12"/>
  <c r="J19" i="12"/>
  <c r="M19" i="12" s="1"/>
  <c r="L19" i="12"/>
  <c r="I20" i="12"/>
  <c r="L20" i="12" s="1"/>
  <c r="I21" i="12"/>
  <c r="J21" i="12" s="1"/>
  <c r="L21" i="12"/>
  <c r="I22" i="12"/>
  <c r="J22" i="12" s="1"/>
  <c r="L22" i="12"/>
  <c r="I23" i="12"/>
  <c r="J23" i="12"/>
  <c r="M23" i="12" s="1"/>
  <c r="L23" i="12"/>
  <c r="I24" i="12"/>
  <c r="L24" i="12" s="1"/>
  <c r="I26" i="12"/>
  <c r="J26" i="12" s="1"/>
  <c r="L26" i="12"/>
  <c r="I27" i="12"/>
  <c r="J27" i="12"/>
  <c r="M27" i="12" s="1"/>
  <c r="L27" i="12"/>
  <c r="I28" i="12"/>
  <c r="L28" i="12" s="1"/>
  <c r="I30" i="12"/>
  <c r="J30" i="12" s="1"/>
  <c r="L30" i="12"/>
  <c r="C31" i="12"/>
  <c r="D31" i="12"/>
  <c r="E31" i="12"/>
  <c r="G31" i="12"/>
  <c r="H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P45" i="12"/>
  <c r="Q45" i="12"/>
  <c r="R45" i="12"/>
  <c r="R46" i="12"/>
  <c r="R47" i="12"/>
  <c r="R48" i="12"/>
  <c r="K49" i="12"/>
  <c r="K50" i="12" s="1"/>
  <c r="R49" i="12"/>
  <c r="R50" i="12"/>
  <c r="R51" i="12"/>
  <c r="R52" i="12"/>
  <c r="R53" i="12"/>
  <c r="R54" i="12"/>
  <c r="R55" i="12"/>
  <c r="C57" i="12"/>
  <c r="C58" i="12"/>
  <c r="C60" i="12"/>
  <c r="K61" i="12"/>
  <c r="C63" i="12"/>
  <c r="G64" i="12"/>
  <c r="I14" i="13"/>
  <c r="L14" i="13" s="1"/>
  <c r="J14" i="13"/>
  <c r="I15" i="13"/>
  <c r="I16" i="13"/>
  <c r="J16" i="13" s="1"/>
  <c r="L16" i="13"/>
  <c r="I17" i="13"/>
  <c r="J17" i="13"/>
  <c r="K17" i="13"/>
  <c r="L17" i="13"/>
  <c r="M17" i="13"/>
  <c r="I18" i="13"/>
  <c r="J18" i="13"/>
  <c r="L18" i="13"/>
  <c r="I19" i="13"/>
  <c r="I20" i="13"/>
  <c r="J20" i="13" s="1"/>
  <c r="L20" i="13"/>
  <c r="I21" i="13"/>
  <c r="J21" i="13" s="1"/>
  <c r="M21" i="13" s="1"/>
  <c r="L21" i="13"/>
  <c r="I22" i="13"/>
  <c r="J22" i="13"/>
  <c r="L22" i="13"/>
  <c r="I23" i="13"/>
  <c r="I24" i="13"/>
  <c r="J24" i="13" s="1"/>
  <c r="L24" i="13"/>
  <c r="I25" i="13"/>
  <c r="J25" i="13" s="1"/>
  <c r="M25" i="13" s="1"/>
  <c r="L25" i="13"/>
  <c r="I26" i="13"/>
  <c r="J26" i="13"/>
  <c r="L26" i="13"/>
  <c r="I27" i="13"/>
  <c r="I28" i="13"/>
  <c r="J28" i="13" s="1"/>
  <c r="L28" i="13"/>
  <c r="I29" i="13"/>
  <c r="J29" i="13" s="1"/>
  <c r="M29" i="13" s="1"/>
  <c r="L29" i="13"/>
  <c r="I30" i="13"/>
  <c r="J30" i="13"/>
  <c r="L30" i="13"/>
  <c r="I31" i="13"/>
  <c r="R31" i="13"/>
  <c r="I32" i="13"/>
  <c r="J32" i="13" s="1"/>
  <c r="M32" i="13" s="1"/>
  <c r="K32" i="13"/>
  <c r="L32" i="13"/>
  <c r="R32" i="13"/>
  <c r="I33" i="13"/>
  <c r="R33" i="13"/>
  <c r="I34" i="13"/>
  <c r="J34" i="13"/>
  <c r="M34" i="13" s="1"/>
  <c r="K34" i="13"/>
  <c r="L34" i="13"/>
  <c r="R34" i="13"/>
  <c r="I35" i="13"/>
  <c r="R35" i="13"/>
  <c r="I36" i="13"/>
  <c r="J36" i="13"/>
  <c r="M36" i="13" s="1"/>
  <c r="K36" i="13"/>
  <c r="L36" i="13"/>
  <c r="R36" i="13"/>
  <c r="I37" i="13"/>
  <c r="R37" i="13"/>
  <c r="I38" i="13"/>
  <c r="J38" i="13"/>
  <c r="M38" i="13" s="1"/>
  <c r="K38" i="13"/>
  <c r="L38" i="13"/>
  <c r="R38" i="13"/>
  <c r="I39" i="13"/>
  <c r="R39" i="13"/>
  <c r="C41" i="13"/>
  <c r="D41" i="13"/>
  <c r="E41" i="13"/>
  <c r="G41" i="13"/>
  <c r="H41" i="13"/>
  <c r="C53" i="13"/>
  <c r="H57" i="13"/>
  <c r="I70" i="13"/>
  <c r="I74" i="13"/>
  <c r="I75" i="13"/>
  <c r="R77" i="13"/>
  <c r="X1" i="14"/>
  <c r="X2" i="14"/>
  <c r="X3" i="14"/>
  <c r="X4" i="14"/>
  <c r="X5" i="14"/>
  <c r="X6" i="14"/>
  <c r="X7" i="14"/>
  <c r="I8" i="14"/>
  <c r="J8" i="14" s="1"/>
  <c r="L8" i="14"/>
  <c r="X8" i="14"/>
  <c r="I9" i="14"/>
  <c r="L9" i="14" s="1"/>
  <c r="J9" i="14"/>
  <c r="I10" i="14"/>
  <c r="X10" i="14"/>
  <c r="I11" i="14"/>
  <c r="J11" i="14"/>
  <c r="M11" i="14" s="1"/>
  <c r="K11" i="14"/>
  <c r="L11" i="14"/>
  <c r="X11" i="14"/>
  <c r="I12" i="14"/>
  <c r="I13" i="14"/>
  <c r="J13" i="14" s="1"/>
  <c r="L13" i="14"/>
  <c r="W13" i="14"/>
  <c r="X13" i="14"/>
  <c r="I14" i="14"/>
  <c r="C15" i="14"/>
  <c r="D15" i="14"/>
  <c r="E15" i="14"/>
  <c r="G15" i="14"/>
  <c r="H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A30" i="14"/>
  <c r="T30" i="14"/>
  <c r="T33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50" i="14"/>
  <c r="T51" i="14"/>
  <c r="T52" i="14"/>
  <c r="T53" i="14"/>
  <c r="T54" i="14"/>
  <c r="T55" i="14"/>
  <c r="J69" i="14"/>
  <c r="J70" i="14"/>
  <c r="F18" i="13"/>
  <c r="F18" i="16" s="1"/>
  <c r="F18" i="19" s="1"/>
  <c r="F18" i="23" s="1"/>
  <c r="F18" i="26" s="1"/>
  <c r="F18" i="30" s="1"/>
  <c r="F18" i="33" s="1"/>
  <c r="F18" i="36" s="1"/>
  <c r="F18" i="39" s="1"/>
  <c r="F18" i="44" s="1"/>
  <c r="I14" i="6"/>
  <c r="J14" i="6" s="1"/>
  <c r="L14" i="6"/>
  <c r="I15" i="6"/>
  <c r="J15" i="6"/>
  <c r="M15" i="6" s="1"/>
  <c r="K15" i="6"/>
  <c r="L15" i="6"/>
  <c r="I16" i="6"/>
  <c r="L16" i="6" s="1"/>
  <c r="J16" i="6"/>
  <c r="I17" i="6"/>
  <c r="F18" i="6"/>
  <c r="I18" i="6"/>
  <c r="J18" i="6"/>
  <c r="M18" i="6" s="1"/>
  <c r="K18" i="6"/>
  <c r="L18" i="6"/>
  <c r="I19" i="6"/>
  <c r="L19" i="6" s="1"/>
  <c r="J19" i="6"/>
  <c r="I20" i="6"/>
  <c r="I21" i="6"/>
  <c r="J21" i="6" s="1"/>
  <c r="L21" i="6"/>
  <c r="I22" i="6"/>
  <c r="J22" i="6"/>
  <c r="M22" i="6" s="1"/>
  <c r="K22" i="6"/>
  <c r="L22" i="6"/>
  <c r="I23" i="6"/>
  <c r="L23" i="6" s="1"/>
  <c r="J23" i="6"/>
  <c r="I24" i="6"/>
  <c r="I25" i="6"/>
  <c r="J25" i="6" s="1"/>
  <c r="L25" i="6"/>
  <c r="I26" i="6"/>
  <c r="J26" i="6"/>
  <c r="M26" i="6" s="1"/>
  <c r="K26" i="6"/>
  <c r="L26" i="6"/>
  <c r="I27" i="6"/>
  <c r="L27" i="6" s="1"/>
  <c r="J27" i="6"/>
  <c r="I28" i="6"/>
  <c r="I29" i="6"/>
  <c r="J29" i="6" s="1"/>
  <c r="L29" i="6"/>
  <c r="I30" i="6"/>
  <c r="J30" i="6"/>
  <c r="M30" i="6" s="1"/>
  <c r="K30" i="6"/>
  <c r="L30" i="6"/>
  <c r="I31" i="6"/>
  <c r="L31" i="6" s="1"/>
  <c r="R31" i="6"/>
  <c r="I32" i="6"/>
  <c r="J32" i="6" s="1"/>
  <c r="M32" i="6" s="1"/>
  <c r="L32" i="6"/>
  <c r="R32" i="6"/>
  <c r="I33" i="6"/>
  <c r="L33" i="6" s="1"/>
  <c r="R33" i="6"/>
  <c r="I34" i="6"/>
  <c r="J34" i="6" s="1"/>
  <c r="M34" i="6" s="1"/>
  <c r="L34" i="6"/>
  <c r="R34" i="6"/>
  <c r="I35" i="6"/>
  <c r="L35" i="6" s="1"/>
  <c r="R35" i="6"/>
  <c r="I36" i="6"/>
  <c r="J36" i="6" s="1"/>
  <c r="M36" i="6" s="1"/>
  <c r="L36" i="6"/>
  <c r="R36" i="6"/>
  <c r="I37" i="6"/>
  <c r="L37" i="6" s="1"/>
  <c r="R37" i="6"/>
  <c r="I38" i="6"/>
  <c r="J38" i="6" s="1"/>
  <c r="M38" i="6" s="1"/>
  <c r="L38" i="6"/>
  <c r="R38" i="6"/>
  <c r="I39" i="6"/>
  <c r="L39" i="6" s="1"/>
  <c r="R39" i="6"/>
  <c r="C40" i="6"/>
  <c r="D40" i="6"/>
  <c r="E40" i="6"/>
  <c r="G40" i="6"/>
  <c r="H40" i="6"/>
  <c r="C54" i="6"/>
  <c r="H58" i="6"/>
  <c r="I71" i="6"/>
  <c r="I75" i="6"/>
  <c r="I76" i="6"/>
  <c r="X1" i="8"/>
  <c r="X2" i="8"/>
  <c r="X3" i="8"/>
  <c r="X4" i="8"/>
  <c r="X5" i="8"/>
  <c r="X6" i="8"/>
  <c r="X7" i="8"/>
  <c r="S8" i="8"/>
  <c r="T8" i="8"/>
  <c r="X8" i="8"/>
  <c r="S9" i="8"/>
  <c r="T9" i="8"/>
  <c r="X9" i="8"/>
  <c r="S10" i="8"/>
  <c r="T10" i="8"/>
  <c r="X10" i="8"/>
  <c r="S11" i="8"/>
  <c r="T11" i="8"/>
  <c r="X11" i="8"/>
  <c r="S12" i="8"/>
  <c r="T12" i="8"/>
  <c r="S13" i="8"/>
  <c r="T13" i="8"/>
  <c r="W13" i="8"/>
  <c r="X13" i="8"/>
  <c r="S14" i="8"/>
  <c r="T14" i="8"/>
  <c r="F8" i="9"/>
  <c r="I8" i="9"/>
  <c r="J8" i="9"/>
  <c r="K8" i="9" s="1"/>
  <c r="L8" i="9"/>
  <c r="N8" i="9"/>
  <c r="O8" i="9" s="1"/>
  <c r="P8" i="9"/>
  <c r="F9" i="9"/>
  <c r="I9" i="9"/>
  <c r="J9" i="9"/>
  <c r="M9" i="9" s="1"/>
  <c r="L9" i="9"/>
  <c r="N9" i="9"/>
  <c r="P9" i="9" s="1"/>
  <c r="F10" i="9"/>
  <c r="I10" i="9"/>
  <c r="J10" i="9"/>
  <c r="K10" i="9" s="1"/>
  <c r="L10" i="9"/>
  <c r="N10" i="9"/>
  <c r="O10" i="9" s="1"/>
  <c r="P10" i="9"/>
  <c r="F11" i="9"/>
  <c r="I11" i="9"/>
  <c r="J11" i="9"/>
  <c r="M11" i="9" s="1"/>
  <c r="L11" i="9"/>
  <c r="N11" i="9"/>
  <c r="P11" i="9" s="1"/>
  <c r="F12" i="9"/>
  <c r="I12" i="9"/>
  <c r="J12" i="9"/>
  <c r="K12" i="9" s="1"/>
  <c r="L12" i="9"/>
  <c r="N12" i="9"/>
  <c r="O12" i="9" s="1"/>
  <c r="P12" i="9"/>
  <c r="F13" i="9"/>
  <c r="I13" i="9"/>
  <c r="J13" i="9"/>
  <c r="M13" i="9" s="1"/>
  <c r="L13" i="9"/>
  <c r="N13" i="9"/>
  <c r="P13" i="9" s="1"/>
  <c r="F14" i="9"/>
  <c r="I14" i="9"/>
  <c r="J14" i="9"/>
  <c r="K14" i="9" s="1"/>
  <c r="L14" i="9"/>
  <c r="N14" i="9"/>
  <c r="O14" i="9" s="1"/>
  <c r="P14" i="9"/>
  <c r="F15" i="9"/>
  <c r="I15" i="9"/>
  <c r="J15" i="9"/>
  <c r="M15" i="9" s="1"/>
  <c r="L15" i="9"/>
  <c r="N15" i="9"/>
  <c r="P15" i="9" s="1"/>
  <c r="F16" i="9"/>
  <c r="I16" i="9"/>
  <c r="J16" i="9"/>
  <c r="K16" i="9" s="1"/>
  <c r="L16" i="9"/>
  <c r="N16" i="9"/>
  <c r="O16" i="9" s="1"/>
  <c r="P16" i="9"/>
  <c r="F17" i="9"/>
  <c r="I17" i="9"/>
  <c r="J17" i="9"/>
  <c r="M17" i="9" s="1"/>
  <c r="L17" i="9"/>
  <c r="N17" i="9"/>
  <c r="P17" i="9" s="1"/>
  <c r="F18" i="9"/>
  <c r="I18" i="9"/>
  <c r="J18" i="9"/>
  <c r="K18" i="9" s="1"/>
  <c r="L18" i="9"/>
  <c r="N18" i="9"/>
  <c r="O18" i="9" s="1"/>
  <c r="P18" i="9"/>
  <c r="F19" i="9"/>
  <c r="I19" i="9"/>
  <c r="J19" i="9"/>
  <c r="M19" i="9" s="1"/>
  <c r="L19" i="9"/>
  <c r="N19" i="9"/>
  <c r="P19" i="9" s="1"/>
  <c r="F20" i="9"/>
  <c r="I20" i="9"/>
  <c r="J20" i="9"/>
  <c r="K20" i="9" s="1"/>
  <c r="L20" i="9"/>
  <c r="N20" i="9"/>
  <c r="O20" i="9" s="1"/>
  <c r="P20" i="9"/>
  <c r="C21" i="9"/>
  <c r="L21" i="9" s="1"/>
  <c r="D21" i="9"/>
  <c r="E21" i="9"/>
  <c r="F21" i="9" s="1"/>
  <c r="G21" i="9"/>
  <c r="H21" i="9"/>
  <c r="I21" i="9"/>
  <c r="F22" i="9"/>
  <c r="I22" i="9"/>
  <c r="J22" i="9" s="1"/>
  <c r="F23" i="9"/>
  <c r="I23" i="9"/>
  <c r="L23" i="9" s="1"/>
  <c r="F24" i="9"/>
  <c r="I24" i="9"/>
  <c r="J24" i="9" s="1"/>
  <c r="C25" i="9"/>
  <c r="D25" i="9"/>
  <c r="E25" i="9"/>
  <c r="F25" i="9"/>
  <c r="G25" i="9"/>
  <c r="I25" i="9" s="1"/>
  <c r="H25" i="9"/>
  <c r="F26" i="9"/>
  <c r="I26" i="9"/>
  <c r="J26" i="9"/>
  <c r="M26" i="9" s="1"/>
  <c r="L26" i="9"/>
  <c r="N26" i="9"/>
  <c r="P26" i="9" s="1"/>
  <c r="F27" i="9"/>
  <c r="I27" i="9"/>
  <c r="J27" i="9"/>
  <c r="K27" i="9" s="1"/>
  <c r="L27" i="9"/>
  <c r="N27" i="9"/>
  <c r="O27" i="9" s="1"/>
  <c r="P27" i="9"/>
  <c r="F28" i="9"/>
  <c r="I28" i="9"/>
  <c r="J28" i="9"/>
  <c r="M28" i="9" s="1"/>
  <c r="L28" i="9"/>
  <c r="N28" i="9"/>
  <c r="P28" i="9" s="1"/>
  <c r="B29" i="9"/>
  <c r="C29" i="9"/>
  <c r="D29" i="9"/>
  <c r="E29" i="9"/>
  <c r="F29" i="9"/>
  <c r="G29" i="9"/>
  <c r="H29" i="9"/>
  <c r="I29" i="9" s="1"/>
  <c r="F30" i="9"/>
  <c r="I30" i="9"/>
  <c r="J30" i="9"/>
  <c r="K30" i="9" s="1"/>
  <c r="L30" i="9"/>
  <c r="N30" i="9"/>
  <c r="O30" i="9" s="1"/>
  <c r="P30" i="9"/>
  <c r="X1" i="4"/>
  <c r="X2" i="4"/>
  <c r="X3" i="4"/>
  <c r="X4" i="4"/>
  <c r="X5" i="4"/>
  <c r="X6" i="4"/>
  <c r="X7" i="4"/>
  <c r="S8" i="4"/>
  <c r="T8" i="4"/>
  <c r="X8" i="4"/>
  <c r="S9" i="4"/>
  <c r="T9" i="4"/>
  <c r="X9" i="4"/>
  <c r="S10" i="4"/>
  <c r="T10" i="4"/>
  <c r="X10" i="4"/>
  <c r="S11" i="4"/>
  <c r="T11" i="4"/>
  <c r="X11" i="4"/>
  <c r="S12" i="4"/>
  <c r="T12" i="4"/>
  <c r="S13" i="4"/>
  <c r="T13" i="4"/>
  <c r="W13" i="4"/>
  <c r="X13" i="4"/>
  <c r="S14" i="4"/>
  <c r="T14" i="4"/>
  <c r="F9" i="12"/>
  <c r="F9" i="17" s="1"/>
  <c r="F9" i="20" s="1"/>
  <c r="F9" i="24" s="1"/>
  <c r="F9" i="27" s="1"/>
  <c r="F9" i="31" s="1"/>
  <c r="F10" i="12"/>
  <c r="F10" i="17" s="1"/>
  <c r="F10" i="20" s="1"/>
  <c r="F10" i="24" s="1"/>
  <c r="F10" i="27" s="1"/>
  <c r="F10" i="31" s="1"/>
  <c r="F11" i="12"/>
  <c r="F11" i="17" s="1"/>
  <c r="F11" i="20" s="1"/>
  <c r="F11" i="24" s="1"/>
  <c r="F11" i="27" s="1"/>
  <c r="F11" i="31" s="1"/>
  <c r="F12" i="12"/>
  <c r="F12" i="17" s="1"/>
  <c r="F12" i="20" s="1"/>
  <c r="F12" i="24" s="1"/>
  <c r="F12" i="27" s="1"/>
  <c r="F12" i="31" s="1"/>
  <c r="F13" i="12"/>
  <c r="F13" i="17" s="1"/>
  <c r="F13" i="20" s="1"/>
  <c r="F13" i="24" s="1"/>
  <c r="F13" i="27" s="1"/>
  <c r="F13" i="31" s="1"/>
  <c r="F14" i="12"/>
  <c r="F14" i="17" s="1"/>
  <c r="F14" i="20" s="1"/>
  <c r="F14" i="24" s="1"/>
  <c r="F14" i="27" s="1"/>
  <c r="F14" i="31" s="1"/>
  <c r="F15" i="12"/>
  <c r="F15" i="17" s="1"/>
  <c r="F15" i="20" s="1"/>
  <c r="F15" i="24" s="1"/>
  <c r="F15" i="27" s="1"/>
  <c r="F15" i="31" s="1"/>
  <c r="F15" i="34" s="1"/>
  <c r="F15" i="37" s="1"/>
  <c r="F15" i="40" s="1"/>
  <c r="F15" i="45" s="1"/>
  <c r="F27" i="12"/>
  <c r="F27" i="17" s="1"/>
  <c r="F27" i="20" s="1"/>
  <c r="F27" i="24" s="1"/>
  <c r="F27" i="27" s="1"/>
  <c r="F27" i="31" s="1"/>
  <c r="F27" i="34" s="1"/>
  <c r="F27" i="37" s="1"/>
  <c r="F27" i="40" s="1"/>
  <c r="F27" i="45" s="1"/>
  <c r="F28" i="12"/>
  <c r="F28" i="17" s="1"/>
  <c r="F28" i="20" s="1"/>
  <c r="F28" i="24" s="1"/>
  <c r="F28" i="27" s="1"/>
  <c r="F28" i="31" s="1"/>
  <c r="F28" i="34" s="1"/>
  <c r="F28" i="37" s="1"/>
  <c r="F28" i="40" s="1"/>
  <c r="F28" i="45" s="1"/>
  <c r="F30" i="12"/>
  <c r="F30" i="17" s="1"/>
  <c r="F30" i="20" s="1"/>
  <c r="F30" i="24" s="1"/>
  <c r="F30" i="27" s="1"/>
  <c r="F30" i="31" s="1"/>
  <c r="F30" i="34" s="1"/>
  <c r="F30" i="37" s="1"/>
  <c r="F30" i="40" s="1"/>
  <c r="F30" i="45" s="1"/>
  <c r="F15" i="13"/>
  <c r="F15" i="16" s="1"/>
  <c r="F15" i="19" s="1"/>
  <c r="F15" i="23" s="1"/>
  <c r="F15" i="26" s="1"/>
  <c r="F15" i="30" s="1"/>
  <c r="F15" i="33" s="1"/>
  <c r="F15" i="36" s="1"/>
  <c r="F15" i="39" s="1"/>
  <c r="F15" i="44" s="1"/>
  <c r="F16" i="13"/>
  <c r="F16" i="16" s="1"/>
  <c r="F16" i="19" s="1"/>
  <c r="F16" i="23" s="1"/>
  <c r="F16" i="26" s="1"/>
  <c r="F16" i="30" s="1"/>
  <c r="F16" i="33" s="1"/>
  <c r="F16" i="36" s="1"/>
  <c r="F16" i="39" s="1"/>
  <c r="F16" i="44" s="1"/>
  <c r="F17" i="13"/>
  <c r="F17" i="16" s="1"/>
  <c r="F17" i="19" s="1"/>
  <c r="F17" i="23" s="1"/>
  <c r="F17" i="26" s="1"/>
  <c r="F17" i="30" s="1"/>
  <c r="F17" i="33" s="1"/>
  <c r="F17" i="36" s="1"/>
  <c r="F17" i="39" s="1"/>
  <c r="F17" i="44" s="1"/>
  <c r="F19" i="13"/>
  <c r="F19" i="16" s="1"/>
  <c r="F19" i="19" s="1"/>
  <c r="F19" i="23" s="1"/>
  <c r="F19" i="26" s="1"/>
  <c r="F19" i="30" s="1"/>
  <c r="F19" i="33" s="1"/>
  <c r="F19" i="36" s="1"/>
  <c r="F19" i="39" s="1"/>
  <c r="F19" i="44" s="1"/>
  <c r="F20" i="13"/>
  <c r="F20" i="16" s="1"/>
  <c r="F20" i="19" s="1"/>
  <c r="F20" i="23" s="1"/>
  <c r="F20" i="26" s="1"/>
  <c r="F20" i="30" s="1"/>
  <c r="F20" i="33" s="1"/>
  <c r="F20" i="36" s="1"/>
  <c r="F20" i="39" s="1"/>
  <c r="F20" i="44" s="1"/>
  <c r="F21" i="13"/>
  <c r="F21" i="16" s="1"/>
  <c r="F21" i="19" s="1"/>
  <c r="F21" i="23" s="1"/>
  <c r="F21" i="26" s="1"/>
  <c r="F21" i="30" s="1"/>
  <c r="F21" i="33" s="1"/>
  <c r="F21" i="36" s="1"/>
  <c r="F21" i="39" s="1"/>
  <c r="F21" i="44" s="1"/>
  <c r="F22" i="13"/>
  <c r="F22" i="16" s="1"/>
  <c r="F22" i="19" s="1"/>
  <c r="F22" i="23" s="1"/>
  <c r="F22" i="26" s="1"/>
  <c r="F22" i="30" s="1"/>
  <c r="F22" i="33" s="1"/>
  <c r="F22" i="36" s="1"/>
  <c r="F22" i="39" s="1"/>
  <c r="F22" i="44" s="1"/>
  <c r="F23" i="13"/>
  <c r="F23" i="16" s="1"/>
  <c r="F23" i="19" s="1"/>
  <c r="F23" i="23" s="1"/>
  <c r="F23" i="26" s="1"/>
  <c r="F23" i="30" s="1"/>
  <c r="F23" i="33" s="1"/>
  <c r="F23" i="36" s="1"/>
  <c r="F23" i="39" s="1"/>
  <c r="F23" i="44" s="1"/>
  <c r="F24" i="13"/>
  <c r="F24" i="16" s="1"/>
  <c r="F24" i="19" s="1"/>
  <c r="F24" i="23" s="1"/>
  <c r="F24" i="26" s="1"/>
  <c r="F24" i="30" s="1"/>
  <c r="F24" i="33" s="1"/>
  <c r="F24" i="36" s="1"/>
  <c r="F24" i="39" s="1"/>
  <c r="F24" i="44" s="1"/>
  <c r="F25" i="13"/>
  <c r="F25" i="16" s="1"/>
  <c r="F25" i="19" s="1"/>
  <c r="F25" i="23" s="1"/>
  <c r="F25" i="26" s="1"/>
  <c r="F25" i="30" s="1"/>
  <c r="F25" i="33" s="1"/>
  <c r="F25" i="36" s="1"/>
  <c r="F25" i="39" s="1"/>
  <c r="F25" i="44" s="1"/>
  <c r="F26" i="13"/>
  <c r="F26" i="16" s="1"/>
  <c r="F26" i="19" s="1"/>
  <c r="F26" i="23" s="1"/>
  <c r="F26" i="26" s="1"/>
  <c r="F26" i="30" s="1"/>
  <c r="F26" i="33" s="1"/>
  <c r="F26" i="36" s="1"/>
  <c r="F26" i="39" s="1"/>
  <c r="F26" i="44" s="1"/>
  <c r="F27" i="13"/>
  <c r="F27" i="16" s="1"/>
  <c r="F27" i="19" s="1"/>
  <c r="F27" i="23" s="1"/>
  <c r="F27" i="26" s="1"/>
  <c r="F27" i="30" s="1"/>
  <c r="F27" i="33" s="1"/>
  <c r="F27" i="36" s="1"/>
  <c r="F27" i="39" s="1"/>
  <c r="F27" i="44" s="1"/>
  <c r="F28" i="13"/>
  <c r="F28" i="16" s="1"/>
  <c r="F28" i="19" s="1"/>
  <c r="F28" i="23" s="1"/>
  <c r="F28" i="26" s="1"/>
  <c r="F28" i="30" s="1"/>
  <c r="F28" i="33" s="1"/>
  <c r="F28" i="36" s="1"/>
  <c r="F28" i="39" s="1"/>
  <c r="F28" i="44" s="1"/>
  <c r="F29" i="13"/>
  <c r="F29" i="16" s="1"/>
  <c r="F29" i="19" s="1"/>
  <c r="F29" i="23" s="1"/>
  <c r="F29" i="26" s="1"/>
  <c r="F29" i="30" s="1"/>
  <c r="F29" i="33" s="1"/>
  <c r="F29" i="36" s="1"/>
  <c r="F29" i="39" s="1"/>
  <c r="F29" i="44" s="1"/>
  <c r="F30" i="13"/>
  <c r="F30" i="16" s="1"/>
  <c r="F30" i="19" s="1"/>
  <c r="F30" i="23" s="1"/>
  <c r="F30" i="26" s="1"/>
  <c r="F30" i="30" s="1"/>
  <c r="F30" i="33" s="1"/>
  <c r="F30" i="36" s="1"/>
  <c r="F30" i="39" s="1"/>
  <c r="F30" i="44" s="1"/>
  <c r="F31" i="13"/>
  <c r="F31" i="16" s="1"/>
  <c r="F31" i="19" s="1"/>
  <c r="F31" i="23" s="1"/>
  <c r="F31" i="26" s="1"/>
  <c r="F31" i="30" s="1"/>
  <c r="F31" i="33" s="1"/>
  <c r="F31" i="36" s="1"/>
  <c r="F31" i="39" s="1"/>
  <c r="F31" i="44" s="1"/>
  <c r="F32" i="13"/>
  <c r="F32" i="16" s="1"/>
  <c r="F32" i="19" s="1"/>
  <c r="F32" i="23" s="1"/>
  <c r="F32" i="26" s="1"/>
  <c r="F32" i="30" s="1"/>
  <c r="F32" i="33" s="1"/>
  <c r="F32" i="36" s="1"/>
  <c r="F32" i="39" s="1"/>
  <c r="F32" i="44" s="1"/>
  <c r="F33" i="13"/>
  <c r="F33" i="16" s="1"/>
  <c r="F33" i="19" s="1"/>
  <c r="F33" i="23" s="1"/>
  <c r="F33" i="26" s="1"/>
  <c r="F33" i="30" s="1"/>
  <c r="F33" i="33" s="1"/>
  <c r="F33" i="36" s="1"/>
  <c r="F33" i="39" s="1"/>
  <c r="F33" i="44" s="1"/>
  <c r="F34" i="13"/>
  <c r="F34" i="16" s="1"/>
  <c r="F34" i="19" s="1"/>
  <c r="F34" i="23" s="1"/>
  <c r="F34" i="26" s="1"/>
  <c r="F34" i="30" s="1"/>
  <c r="F34" i="33" s="1"/>
  <c r="F34" i="36" s="1"/>
  <c r="F34" i="39" s="1"/>
  <c r="F34" i="44" s="1"/>
  <c r="F35" i="13"/>
  <c r="F35" i="16" s="1"/>
  <c r="F35" i="19" s="1"/>
  <c r="F35" i="23" s="1"/>
  <c r="F35" i="26" s="1"/>
  <c r="F35" i="30" s="1"/>
  <c r="F35" i="33" s="1"/>
  <c r="F35" i="36" s="1"/>
  <c r="F35" i="39" s="1"/>
  <c r="F35" i="44" s="1"/>
  <c r="F36" i="13"/>
  <c r="F36" i="16" s="1"/>
  <c r="F36" i="19" s="1"/>
  <c r="F36" i="23" s="1"/>
  <c r="F36" i="26" s="1"/>
  <c r="F36" i="30" s="1"/>
  <c r="F36" i="33" s="1"/>
  <c r="F36" i="36" s="1"/>
  <c r="F36" i="39" s="1"/>
  <c r="F36" i="44" s="1"/>
  <c r="F37" i="13"/>
  <c r="F37" i="16" s="1"/>
  <c r="F37" i="19" s="1"/>
  <c r="F37" i="23" s="1"/>
  <c r="F37" i="26" s="1"/>
  <c r="F37" i="30" s="1"/>
  <c r="F37" i="33" s="1"/>
  <c r="F37" i="36" s="1"/>
  <c r="F37" i="39" s="1"/>
  <c r="F37" i="44" s="1"/>
  <c r="F38" i="13"/>
  <c r="F38" i="16" s="1"/>
  <c r="F38" i="19" s="1"/>
  <c r="F38" i="23" s="1"/>
  <c r="F38" i="26" s="1"/>
  <c r="F38" i="30" s="1"/>
  <c r="F38" i="33" s="1"/>
  <c r="F38" i="36" s="1"/>
  <c r="F38" i="39" s="1"/>
  <c r="F38" i="44" s="1"/>
  <c r="F39" i="13"/>
  <c r="F39" i="16" s="1"/>
  <c r="F39" i="19" s="1"/>
  <c r="F39" i="23" s="1"/>
  <c r="F39" i="26" s="1"/>
  <c r="F39" i="30" s="1"/>
  <c r="F39" i="33" s="1"/>
  <c r="F39" i="36" s="1"/>
  <c r="F39" i="39" s="1"/>
  <c r="F39" i="44" s="1"/>
  <c r="F9" i="14"/>
  <c r="F9" i="15" s="1"/>
  <c r="F9" i="18" s="1"/>
  <c r="F9" i="22" s="1"/>
  <c r="F9" i="25" s="1"/>
  <c r="F9" i="29" s="1"/>
  <c r="F9" i="32" s="1"/>
  <c r="F9" i="35" s="1"/>
  <c r="F9" i="38" s="1"/>
  <c r="F9" i="43" s="1"/>
  <c r="F10" i="14"/>
  <c r="F10" i="15" s="1"/>
  <c r="F10" i="18" s="1"/>
  <c r="F10" i="22" s="1"/>
  <c r="F10" i="25" s="1"/>
  <c r="F10" i="29" s="1"/>
  <c r="F10" i="32" s="1"/>
  <c r="F10" i="35" s="1"/>
  <c r="F10" i="38" s="1"/>
  <c r="F10" i="43" s="1"/>
  <c r="F11" i="14"/>
  <c r="F11" i="15" s="1"/>
  <c r="F11" i="18" s="1"/>
  <c r="F11" i="22" s="1"/>
  <c r="F11" i="25" s="1"/>
  <c r="F11" i="29" s="1"/>
  <c r="F11" i="32" s="1"/>
  <c r="F11" i="35" s="1"/>
  <c r="F11" i="38" s="1"/>
  <c r="F11" i="43" s="1"/>
  <c r="F12" i="14"/>
  <c r="F12" i="15" s="1"/>
  <c r="F12" i="18" s="1"/>
  <c r="F12" i="22" s="1"/>
  <c r="F12" i="25" s="1"/>
  <c r="F12" i="29" s="1"/>
  <c r="F12" i="32" s="1"/>
  <c r="F12" i="35" s="1"/>
  <c r="F12" i="38" s="1"/>
  <c r="F12" i="43" s="1"/>
  <c r="F13" i="14"/>
  <c r="F13" i="15" s="1"/>
  <c r="F13" i="18" s="1"/>
  <c r="F13" i="22" s="1"/>
  <c r="F13" i="25" s="1"/>
  <c r="F13" i="29" s="1"/>
  <c r="F13" i="32" s="1"/>
  <c r="F13" i="35" s="1"/>
  <c r="F13" i="38" s="1"/>
  <c r="F13" i="43" s="1"/>
  <c r="F14" i="14"/>
  <c r="F14" i="15" s="1"/>
  <c r="F14" i="18" s="1"/>
  <c r="F14" i="22" s="1"/>
  <c r="F14" i="25" s="1"/>
  <c r="F14" i="29" s="1"/>
  <c r="F14" i="32" s="1"/>
  <c r="F14" i="35" s="1"/>
  <c r="F14" i="38" s="1"/>
  <c r="F14" i="43" s="1"/>
  <c r="L8" i="20"/>
  <c r="L25" i="19"/>
  <c r="L24" i="19"/>
  <c r="L14" i="17"/>
  <c r="L13" i="17"/>
  <c r="L12" i="17"/>
  <c r="L11" i="17"/>
  <c r="L10" i="17"/>
  <c r="L57" i="17" s="1"/>
  <c r="L58" i="17" s="1"/>
  <c r="L9" i="17"/>
  <c r="L8" i="17"/>
  <c r="K14" i="17"/>
  <c r="K13" i="17"/>
  <c r="K12" i="17"/>
  <c r="K11" i="17"/>
  <c r="K10" i="17"/>
  <c r="K9" i="17"/>
  <c r="K8" i="17"/>
  <c r="M14" i="17"/>
  <c r="M13" i="17"/>
  <c r="M12" i="17"/>
  <c r="M11" i="17"/>
  <c r="M10" i="17"/>
  <c r="M9" i="17"/>
  <c r="M8" i="17"/>
  <c r="E31" i="20"/>
  <c r="C60" i="20"/>
  <c r="C63" i="20" s="1"/>
  <c r="H31" i="20"/>
  <c r="K39" i="19"/>
  <c r="M39" i="19"/>
  <c r="L39" i="19"/>
  <c r="K38" i="19"/>
  <c r="M38" i="19"/>
  <c r="L37" i="19"/>
  <c r="K37" i="19"/>
  <c r="M37" i="19"/>
  <c r="K36" i="19"/>
  <c r="M36" i="19"/>
  <c r="L36" i="19"/>
  <c r="L35" i="19"/>
  <c r="K33" i="19"/>
  <c r="M33" i="19"/>
  <c r="K32" i="19"/>
  <c r="L30" i="19"/>
  <c r="K30" i="19"/>
  <c r="L29" i="19"/>
  <c r="K29" i="19"/>
  <c r="L28" i="19"/>
  <c r="K28" i="19"/>
  <c r="L27" i="19"/>
  <c r="K27" i="19"/>
  <c r="M30" i="19"/>
  <c r="M29" i="19"/>
  <c r="M28" i="19"/>
  <c r="M27" i="19"/>
  <c r="L14" i="18"/>
  <c r="L13" i="18"/>
  <c r="M13" i="18"/>
  <c r="K11" i="18"/>
  <c r="M14" i="15"/>
  <c r="M13" i="15"/>
  <c r="M12" i="15"/>
  <c r="M10" i="15"/>
  <c r="M9" i="15"/>
  <c r="L34" i="19"/>
  <c r="K34" i="19"/>
  <c r="M34" i="19"/>
  <c r="M35" i="19"/>
  <c r="K35" i="19"/>
  <c r="J19" i="20"/>
  <c r="J20" i="20"/>
  <c r="K20" i="20" s="1"/>
  <c r="L18" i="20"/>
  <c r="J17" i="20"/>
  <c r="L16" i="20"/>
  <c r="J15" i="20"/>
  <c r="K15" i="20" s="1"/>
  <c r="M16" i="20"/>
  <c r="K16" i="20"/>
  <c r="J30" i="20"/>
  <c r="K30" i="20"/>
  <c r="L28" i="20"/>
  <c r="M28" i="20"/>
  <c r="K28" i="20"/>
  <c r="M26" i="20"/>
  <c r="K26" i="20"/>
  <c r="J27" i="20"/>
  <c r="L26" i="20"/>
  <c r="M23" i="20"/>
  <c r="K23" i="20"/>
  <c r="L23" i="20"/>
  <c r="L57" i="20" s="1"/>
  <c r="L58" i="20" s="1"/>
  <c r="J22" i="20"/>
  <c r="I24" i="20"/>
  <c r="L24" i="20" s="1"/>
  <c r="I25" i="20"/>
  <c r="J24" i="20"/>
  <c r="M24" i="20" s="1"/>
  <c r="K14" i="18"/>
  <c r="M14" i="18"/>
  <c r="M11" i="18"/>
  <c r="M10" i="18"/>
  <c r="M9" i="18"/>
  <c r="M8" i="18"/>
  <c r="M20" i="20"/>
  <c r="M19" i="20"/>
  <c r="K19" i="20"/>
  <c r="M15" i="20"/>
  <c r="M30" i="20"/>
  <c r="M22" i="20"/>
  <c r="K22" i="20"/>
  <c r="K24" i="20"/>
  <c r="J14" i="20"/>
  <c r="M14" i="20"/>
  <c r="J13" i="20"/>
  <c r="M13" i="20" s="1"/>
  <c r="K13" i="20"/>
  <c r="J12" i="20"/>
  <c r="K12" i="20"/>
  <c r="M12" i="20"/>
  <c r="F25" i="21"/>
  <c r="K8" i="20"/>
  <c r="M8" i="20"/>
  <c r="L29" i="20"/>
  <c r="J29" i="20"/>
  <c r="M29" i="20" s="1"/>
  <c r="J21" i="20"/>
  <c r="K21" i="20" s="1"/>
  <c r="L21" i="20"/>
  <c r="M18" i="20"/>
  <c r="K18" i="20"/>
  <c r="J10" i="20"/>
  <c r="M10" i="20" s="1"/>
  <c r="K14" i="20"/>
  <c r="J11" i="20"/>
  <c r="J9" i="20"/>
  <c r="M9" i="20" s="1"/>
  <c r="K61" i="20"/>
  <c r="M21" i="20"/>
  <c r="K10" i="20"/>
  <c r="M11" i="20"/>
  <c r="K11" i="20"/>
  <c r="K9" i="20"/>
  <c r="K11" i="24"/>
  <c r="J13" i="24"/>
  <c r="M13" i="24" s="1"/>
  <c r="J15" i="24"/>
  <c r="M15" i="24" s="1"/>
  <c r="D21" i="24"/>
  <c r="D31" i="24" s="1"/>
  <c r="J20" i="24"/>
  <c r="M20" i="24" s="1"/>
  <c r="K12" i="24"/>
  <c r="K14" i="24"/>
  <c r="J16" i="24"/>
  <c r="M16" i="24" s="1"/>
  <c r="J18" i="24"/>
  <c r="M18" i="24" s="1"/>
  <c r="C31" i="24"/>
  <c r="E25" i="24"/>
  <c r="I24" i="24"/>
  <c r="J24" i="24" s="1"/>
  <c r="K24" i="24" s="1"/>
  <c r="J30" i="24"/>
  <c r="M30" i="24" s="1"/>
  <c r="I21" i="24"/>
  <c r="I24" i="23"/>
  <c r="L24" i="23"/>
  <c r="J32" i="23"/>
  <c r="J34" i="23"/>
  <c r="M34" i="23" s="1"/>
  <c r="J36" i="23"/>
  <c r="J38" i="23"/>
  <c r="C40" i="23"/>
  <c r="K8" i="22"/>
  <c r="J11" i="22"/>
  <c r="K16" i="24"/>
  <c r="E31" i="24"/>
  <c r="J21" i="24"/>
  <c r="K61" i="24" s="1"/>
  <c r="K30" i="24"/>
  <c r="K18" i="24"/>
  <c r="K15" i="24"/>
  <c r="K13" i="24"/>
  <c r="K36" i="23"/>
  <c r="K34" i="23"/>
  <c r="J24" i="23"/>
  <c r="M24" i="23"/>
  <c r="K24" i="23"/>
  <c r="J19" i="24"/>
  <c r="M19" i="24" s="1"/>
  <c r="I29" i="24"/>
  <c r="K28" i="24"/>
  <c r="J29" i="24"/>
  <c r="J27" i="24"/>
  <c r="J26" i="24"/>
  <c r="M26" i="24" s="1"/>
  <c r="J22" i="24"/>
  <c r="M22" i="24" s="1"/>
  <c r="J39" i="23"/>
  <c r="L37" i="23"/>
  <c r="M39" i="23"/>
  <c r="M37" i="23"/>
  <c r="K37" i="23"/>
  <c r="M36" i="23"/>
  <c r="K12" i="22"/>
  <c r="M12" i="22"/>
  <c r="M27" i="23"/>
  <c r="K27" i="23"/>
  <c r="K29" i="23"/>
  <c r="L29" i="23"/>
  <c r="L27" i="23"/>
  <c r="J28" i="23"/>
  <c r="J30" i="23"/>
  <c r="K30" i="23" s="1"/>
  <c r="M29" i="23"/>
  <c r="M28" i="23"/>
  <c r="J14" i="22"/>
  <c r="J13" i="22"/>
  <c r="K13" i="22" s="1"/>
  <c r="I15" i="22"/>
  <c r="L15" i="22"/>
  <c r="M11" i="22"/>
  <c r="K11" i="22"/>
  <c r="K29" i="24"/>
  <c r="K26" i="24"/>
  <c r="K22" i="24"/>
  <c r="K39" i="23"/>
  <c r="M30" i="23"/>
  <c r="K28" i="23"/>
  <c r="M14" i="22"/>
  <c r="K14" i="22"/>
  <c r="M13" i="22"/>
  <c r="J25" i="24"/>
  <c r="I31" i="24"/>
  <c r="K32" i="23"/>
  <c r="J31" i="23"/>
  <c r="M31" i="23" s="1"/>
  <c r="J33" i="23"/>
  <c r="M33" i="23"/>
  <c r="M32" i="23"/>
  <c r="K21" i="24"/>
  <c r="J35" i="23"/>
  <c r="M35" i="23" s="1"/>
  <c r="K25" i="24"/>
  <c r="K31" i="23"/>
  <c r="K33" i="23"/>
  <c r="K35" i="23"/>
  <c r="J8" i="24"/>
  <c r="M8" i="24" s="1"/>
  <c r="J10" i="24"/>
  <c r="M10" i="24" s="1"/>
  <c r="M26" i="23"/>
  <c r="K26" i="23"/>
  <c r="L26" i="23"/>
  <c r="J25" i="23"/>
  <c r="K25" i="23" s="1"/>
  <c r="M15" i="23"/>
  <c r="K15" i="23"/>
  <c r="M17" i="23"/>
  <c r="K17" i="23"/>
  <c r="M19" i="23"/>
  <c r="K19" i="23"/>
  <c r="M21" i="23"/>
  <c r="K21" i="23"/>
  <c r="M23" i="23"/>
  <c r="K23" i="23"/>
  <c r="M14" i="23"/>
  <c r="K14" i="23"/>
  <c r="L14" i="23"/>
  <c r="L23" i="23"/>
  <c r="L21" i="23"/>
  <c r="L19" i="23"/>
  <c r="L17" i="23"/>
  <c r="L15" i="23"/>
  <c r="I42" i="23"/>
  <c r="L42" i="23" s="1"/>
  <c r="J16" i="23"/>
  <c r="K16" i="23"/>
  <c r="J18" i="23"/>
  <c r="K18" i="23" s="1"/>
  <c r="J20" i="23"/>
  <c r="K20" i="23" s="1"/>
  <c r="J22" i="23"/>
  <c r="K22" i="23" s="1"/>
  <c r="K21" i="19"/>
  <c r="M21" i="19"/>
  <c r="K20" i="19"/>
  <c r="M20" i="19"/>
  <c r="K16" i="19"/>
  <c r="M16" i="19"/>
  <c r="L14" i="19"/>
  <c r="L22" i="19"/>
  <c r="L17" i="19"/>
  <c r="M26" i="19"/>
  <c r="K26" i="19"/>
  <c r="I42" i="19"/>
  <c r="L42" i="19"/>
  <c r="M25" i="19"/>
  <c r="K25" i="19"/>
  <c r="M24" i="19"/>
  <c r="K24" i="19"/>
  <c r="M23" i="19"/>
  <c r="K23" i="19"/>
  <c r="M18" i="19"/>
  <c r="K18" i="19"/>
  <c r="K14" i="19"/>
  <c r="M14" i="19"/>
  <c r="M22" i="19"/>
  <c r="K22" i="19"/>
  <c r="M19" i="19"/>
  <c r="K19" i="19"/>
  <c r="K17" i="19"/>
  <c r="M17" i="19"/>
  <c r="K15" i="19"/>
  <c r="M15" i="19"/>
  <c r="L23" i="19"/>
  <c r="L19" i="19"/>
  <c r="L15" i="19"/>
  <c r="M16" i="23"/>
  <c r="J10" i="22"/>
  <c r="M10" i="22" s="1"/>
  <c r="J9" i="22"/>
  <c r="M9" i="22"/>
  <c r="K10" i="24"/>
  <c r="K8" i="24"/>
  <c r="M18" i="23"/>
  <c r="M22" i="23"/>
  <c r="K9" i="22"/>
  <c r="J11" i="25"/>
  <c r="M11" i="25" s="1"/>
  <c r="J32" i="26"/>
  <c r="J34" i="26"/>
  <c r="I35" i="26"/>
  <c r="I42" i="26" s="1"/>
  <c r="J36" i="26"/>
  <c r="C42" i="26"/>
  <c r="C40" i="26"/>
  <c r="J38" i="26"/>
  <c r="J8" i="27"/>
  <c r="J9" i="27"/>
  <c r="J10" i="27"/>
  <c r="K10" i="27" s="1"/>
  <c r="J11" i="27"/>
  <c r="J12" i="27"/>
  <c r="M12" i="27" s="1"/>
  <c r="J14" i="27"/>
  <c r="M14" i="27" s="1"/>
  <c r="K15" i="27"/>
  <c r="K16" i="27"/>
  <c r="J17" i="27"/>
  <c r="K17" i="27" s="1"/>
  <c r="D21" i="27"/>
  <c r="J19" i="27"/>
  <c r="K19" i="27" s="1"/>
  <c r="J22" i="27"/>
  <c r="E31" i="27"/>
  <c r="J23" i="27"/>
  <c r="K23" i="27" s="1"/>
  <c r="J24" i="27"/>
  <c r="K24" i="27" s="1"/>
  <c r="G25" i="27"/>
  <c r="I25" i="27" s="1"/>
  <c r="J25" i="27" s="1"/>
  <c r="J30" i="27"/>
  <c r="M30" i="27" s="1"/>
  <c r="K8" i="27"/>
  <c r="K30" i="27"/>
  <c r="K22" i="27"/>
  <c r="K14" i="27"/>
  <c r="K11" i="27"/>
  <c r="K9" i="27"/>
  <c r="K32" i="26"/>
  <c r="K12" i="27"/>
  <c r="K34" i="26"/>
  <c r="K11" i="25"/>
  <c r="K10" i="22" l="1"/>
  <c r="K15" i="22" s="1"/>
  <c r="K38" i="23"/>
  <c r="K42" i="23" s="1"/>
  <c r="M38" i="23"/>
  <c r="M20" i="23"/>
  <c r="M57" i="20"/>
  <c r="M58" i="20" s="1"/>
  <c r="M24" i="9"/>
  <c r="N24" i="9"/>
  <c r="K24" i="9"/>
  <c r="M22" i="9"/>
  <c r="N22" i="9"/>
  <c r="K22" i="9"/>
  <c r="J15" i="22"/>
  <c r="M15" i="22" s="1"/>
  <c r="J42" i="23"/>
  <c r="M42" i="23" s="1"/>
  <c r="L78" i="23"/>
  <c r="L79" i="23" s="1"/>
  <c r="K19" i="24"/>
  <c r="K29" i="20"/>
  <c r="M27" i="24"/>
  <c r="K27" i="24"/>
  <c r="L31" i="24"/>
  <c r="M27" i="20"/>
  <c r="K27" i="20"/>
  <c r="M17" i="20"/>
  <c r="J31" i="20"/>
  <c r="M31" i="20" s="1"/>
  <c r="K17" i="20"/>
  <c r="M25" i="23"/>
  <c r="J25" i="20"/>
  <c r="L25" i="20"/>
  <c r="L29" i="9"/>
  <c r="J29" i="9"/>
  <c r="J25" i="9"/>
  <c r="L25" i="9"/>
  <c r="K20" i="24"/>
  <c r="I31" i="20"/>
  <c r="L31" i="20" s="1"/>
  <c r="Q30" i="9"/>
  <c r="M30" i="9"/>
  <c r="O28" i="9"/>
  <c r="K28" i="9"/>
  <c r="Q27" i="9"/>
  <c r="M27" i="9"/>
  <c r="O26" i="9"/>
  <c r="K26" i="9"/>
  <c r="L24" i="9"/>
  <c r="J23" i="9"/>
  <c r="L22" i="9"/>
  <c r="J21" i="9"/>
  <c r="Q20" i="9"/>
  <c r="M20" i="9"/>
  <c r="O19" i="9"/>
  <c r="K19" i="9"/>
  <c r="Q18" i="9"/>
  <c r="M18" i="9"/>
  <c r="O17" i="9"/>
  <c r="K17" i="9"/>
  <c r="Q16" i="9"/>
  <c r="M16" i="9"/>
  <c r="O15" i="9"/>
  <c r="K15" i="9"/>
  <c r="Q14" i="9"/>
  <c r="M14" i="9"/>
  <c r="O13" i="9"/>
  <c r="K13" i="9"/>
  <c r="Q12" i="9"/>
  <c r="M12" i="9"/>
  <c r="O11" i="9"/>
  <c r="K11" i="9"/>
  <c r="Q10" i="9"/>
  <c r="M10" i="9"/>
  <c r="O9" i="9"/>
  <c r="K9" i="9"/>
  <c r="Q8" i="9"/>
  <c r="M8" i="9"/>
  <c r="M27" i="6"/>
  <c r="K27" i="6"/>
  <c r="M19" i="6"/>
  <c r="K19" i="6"/>
  <c r="L17" i="6"/>
  <c r="L78" i="6" s="1"/>
  <c r="L79" i="6" s="1"/>
  <c r="J17" i="6"/>
  <c r="I40" i="6"/>
  <c r="L40" i="6" s="1"/>
  <c r="K14" i="6"/>
  <c r="M14" i="6"/>
  <c r="L12" i="14"/>
  <c r="J12" i="14"/>
  <c r="L10" i="14"/>
  <c r="J10" i="14"/>
  <c r="L39" i="13"/>
  <c r="J39" i="13"/>
  <c r="L37" i="13"/>
  <c r="J37" i="13"/>
  <c r="L35" i="13"/>
  <c r="J35" i="13"/>
  <c r="L33" i="13"/>
  <c r="J33" i="13"/>
  <c r="K29" i="13"/>
  <c r="K21" i="13"/>
  <c r="K30" i="12"/>
  <c r="M30" i="12"/>
  <c r="K22" i="12"/>
  <c r="M22" i="12"/>
  <c r="K18" i="12"/>
  <c r="M18" i="12"/>
  <c r="K11" i="12"/>
  <c r="M11" i="12"/>
  <c r="K37" i="16"/>
  <c r="M37" i="16"/>
  <c r="K29" i="6"/>
  <c r="M29" i="6"/>
  <c r="L24" i="6"/>
  <c r="J24" i="6"/>
  <c r="K21" i="6"/>
  <c r="M21" i="6"/>
  <c r="M16" i="6"/>
  <c r="K16" i="6"/>
  <c r="M9" i="14"/>
  <c r="K9" i="14"/>
  <c r="K8" i="14"/>
  <c r="M8" i="14"/>
  <c r="M30" i="13"/>
  <c r="K30" i="13"/>
  <c r="L27" i="13"/>
  <c r="J27" i="13"/>
  <c r="K24" i="13"/>
  <c r="M24" i="13"/>
  <c r="M22" i="13"/>
  <c r="K22" i="13"/>
  <c r="L19" i="13"/>
  <c r="J19" i="13"/>
  <c r="L15" i="13"/>
  <c r="I41" i="13"/>
  <c r="L41" i="13" s="1"/>
  <c r="J15" i="13"/>
  <c r="K16" i="12"/>
  <c r="M16" i="12"/>
  <c r="L57" i="12"/>
  <c r="L58" i="12" s="1"/>
  <c r="Q28" i="9"/>
  <c r="Q26" i="9"/>
  <c r="Q19" i="9"/>
  <c r="Q17" i="9"/>
  <c r="Q15" i="9"/>
  <c r="Q13" i="9"/>
  <c r="Q11" i="9"/>
  <c r="Q9" i="9"/>
  <c r="J39" i="6"/>
  <c r="K38" i="6"/>
  <c r="J37" i="6"/>
  <c r="K36" i="6"/>
  <c r="J35" i="6"/>
  <c r="K34" i="6"/>
  <c r="J33" i="6"/>
  <c r="K32" i="6"/>
  <c r="J31" i="6"/>
  <c r="M23" i="6"/>
  <c r="K23" i="6"/>
  <c r="L14" i="14"/>
  <c r="J14" i="14"/>
  <c r="K13" i="14"/>
  <c r="M13" i="14"/>
  <c r="K25" i="13"/>
  <c r="M14" i="13"/>
  <c r="K14" i="13"/>
  <c r="K26" i="12"/>
  <c r="M26" i="12"/>
  <c r="K21" i="12"/>
  <c r="M21" i="12"/>
  <c r="K13" i="12"/>
  <c r="M13" i="12"/>
  <c r="K10" i="12"/>
  <c r="M10" i="12"/>
  <c r="K8" i="15"/>
  <c r="M8" i="15"/>
  <c r="K39" i="16"/>
  <c r="M39" i="16"/>
  <c r="L28" i="6"/>
  <c r="J28" i="6"/>
  <c r="K25" i="6"/>
  <c r="M25" i="6"/>
  <c r="L20" i="6"/>
  <c r="J20" i="6"/>
  <c r="L31" i="13"/>
  <c r="J31" i="13"/>
  <c r="K28" i="13"/>
  <c r="M28" i="13"/>
  <c r="M26" i="13"/>
  <c r="K26" i="13"/>
  <c r="L23" i="13"/>
  <c r="J23" i="13"/>
  <c r="K20" i="13"/>
  <c r="M20" i="13"/>
  <c r="M18" i="13"/>
  <c r="K18" i="13"/>
  <c r="K16" i="13"/>
  <c r="M16" i="13"/>
  <c r="L77" i="13"/>
  <c r="L78" i="13" s="1"/>
  <c r="K15" i="12"/>
  <c r="M15" i="12"/>
  <c r="I15" i="14"/>
  <c r="L15" i="14" s="1"/>
  <c r="K36" i="16"/>
  <c r="M35" i="16"/>
  <c r="J33" i="16"/>
  <c r="K32" i="16"/>
  <c r="M31" i="16"/>
  <c r="M30" i="16"/>
  <c r="K22" i="17"/>
  <c r="M22" i="17"/>
  <c r="L21" i="24"/>
  <c r="I29" i="12"/>
  <c r="J28" i="12"/>
  <c r="K27" i="12"/>
  <c r="I25" i="12"/>
  <c r="J24" i="12"/>
  <c r="K23" i="12"/>
  <c r="J20" i="12"/>
  <c r="K19" i="12"/>
  <c r="J17" i="12"/>
  <c r="K14" i="12"/>
  <c r="K12" i="12"/>
  <c r="J9" i="12"/>
  <c r="K8" i="12"/>
  <c r="J11" i="15"/>
  <c r="K38" i="16"/>
  <c r="K29" i="16"/>
  <c r="L27" i="16"/>
  <c r="L77" i="16" s="1"/>
  <c r="L78" i="16" s="1"/>
  <c r="J27" i="16"/>
  <c r="K24" i="16"/>
  <c r="M24" i="16"/>
  <c r="K18" i="17"/>
  <c r="M18" i="17"/>
  <c r="M15" i="17"/>
  <c r="M57" i="17" s="1"/>
  <c r="M58" i="17" s="1"/>
  <c r="K15" i="17"/>
  <c r="G27" i="21"/>
  <c r="L58" i="15"/>
  <c r="M26" i="16"/>
  <c r="K26" i="16"/>
  <c r="K20" i="16"/>
  <c r="M20" i="16"/>
  <c r="K30" i="17"/>
  <c r="M30" i="17"/>
  <c r="L24" i="24"/>
  <c r="K16" i="16"/>
  <c r="M16" i="16"/>
  <c r="K26" i="17"/>
  <c r="M26" i="17"/>
  <c r="K16" i="17"/>
  <c r="M16" i="17"/>
  <c r="L29" i="24"/>
  <c r="L21" i="19"/>
  <c r="L18" i="19"/>
  <c r="L78" i="19" s="1"/>
  <c r="L79" i="19" s="1"/>
  <c r="J31" i="19"/>
  <c r="J9" i="24"/>
  <c r="J17" i="24"/>
  <c r="C60" i="24"/>
  <c r="C63" i="24" s="1"/>
  <c r="J23" i="24"/>
  <c r="L11" i="24"/>
  <c r="L57" i="24" s="1"/>
  <c r="L58" i="24" s="1"/>
  <c r="M29" i="24"/>
  <c r="M25" i="24"/>
  <c r="M21" i="24"/>
  <c r="J23" i="16"/>
  <c r="K22" i="16"/>
  <c r="J19" i="16"/>
  <c r="K18" i="16"/>
  <c r="J15" i="16"/>
  <c r="K14" i="16"/>
  <c r="J29" i="17"/>
  <c r="K28" i="17"/>
  <c r="J25" i="17"/>
  <c r="K24" i="17"/>
  <c r="J21" i="17"/>
  <c r="K20" i="17"/>
  <c r="K17" i="17"/>
  <c r="J12" i="18"/>
  <c r="G31" i="20"/>
  <c r="L12" i="22"/>
  <c r="M24" i="24"/>
  <c r="C58" i="27"/>
  <c r="I29" i="27"/>
  <c r="R78" i="19"/>
  <c r="R78" i="26"/>
  <c r="F20" i="12"/>
  <c r="F20" i="17" s="1"/>
  <c r="F20" i="20" s="1"/>
  <c r="F20" i="24" s="1"/>
  <c r="F20" i="27" s="1"/>
  <c r="F20" i="31" s="1"/>
  <c r="F20" i="34" s="1"/>
  <c r="F20" i="37" s="1"/>
  <c r="F20" i="40" s="1"/>
  <c r="F20" i="45" s="1"/>
  <c r="F19" i="12"/>
  <c r="F19" i="17" s="1"/>
  <c r="F18" i="12"/>
  <c r="F18" i="17" s="1"/>
  <c r="F18" i="20" s="1"/>
  <c r="F18" i="24" s="1"/>
  <c r="F18" i="27" s="1"/>
  <c r="F18" i="31" s="1"/>
  <c r="F18" i="34" s="1"/>
  <c r="F18" i="37" s="1"/>
  <c r="F18" i="40" s="1"/>
  <c r="F18" i="45" s="1"/>
  <c r="F17" i="12"/>
  <c r="F17" i="17" s="1"/>
  <c r="F17" i="20" s="1"/>
  <c r="F17" i="24" s="1"/>
  <c r="F17" i="27" s="1"/>
  <c r="F17" i="31" s="1"/>
  <c r="F17" i="34" s="1"/>
  <c r="F17" i="37" s="1"/>
  <c r="F17" i="40" s="1"/>
  <c r="F17" i="45" s="1"/>
  <c r="F16" i="12"/>
  <c r="F16" i="17" s="1"/>
  <c r="F16" i="20" s="1"/>
  <c r="F16" i="24" s="1"/>
  <c r="F16" i="27" s="1"/>
  <c r="F16" i="31" s="1"/>
  <c r="F16" i="34" s="1"/>
  <c r="F16" i="37" s="1"/>
  <c r="F16" i="40" s="1"/>
  <c r="F16" i="45" s="1"/>
  <c r="F26" i="12"/>
  <c r="F26" i="17" s="1"/>
  <c r="F26" i="20" s="1"/>
  <c r="F26" i="24" s="1"/>
  <c r="F26" i="27" s="1"/>
  <c r="F26" i="31" s="1"/>
  <c r="F26" i="34" s="1"/>
  <c r="F26" i="37" s="1"/>
  <c r="F26" i="40" s="1"/>
  <c r="F26" i="45" s="1"/>
  <c r="F24" i="12"/>
  <c r="F24" i="17" s="1"/>
  <c r="F24" i="20" s="1"/>
  <c r="F24" i="24" s="1"/>
  <c r="F24" i="27" s="1"/>
  <c r="F24" i="31" s="1"/>
  <c r="F24" i="34" s="1"/>
  <c r="F24" i="37" s="1"/>
  <c r="F24" i="40" s="1"/>
  <c r="F24" i="45" s="1"/>
  <c r="F23" i="12"/>
  <c r="F23" i="17" s="1"/>
  <c r="F23" i="20" s="1"/>
  <c r="F23" i="24" s="1"/>
  <c r="F23" i="27" s="1"/>
  <c r="F23" i="31" s="1"/>
  <c r="F23" i="34" s="1"/>
  <c r="F23" i="37" s="1"/>
  <c r="F23" i="40" s="1"/>
  <c r="F23" i="45" s="1"/>
  <c r="F22" i="12"/>
  <c r="F22" i="17" s="1"/>
  <c r="F22" i="20" s="1"/>
  <c r="F22" i="24" s="1"/>
  <c r="F22" i="27" s="1"/>
  <c r="F22" i="31" s="1"/>
  <c r="F22" i="34" s="1"/>
  <c r="F22" i="37" s="1"/>
  <c r="F22" i="40" s="1"/>
  <c r="F22" i="45" s="1"/>
  <c r="N21" i="13"/>
  <c r="N18" i="13"/>
  <c r="N18" i="16" s="1"/>
  <c r="N23" i="13"/>
  <c r="O23" i="13" s="1"/>
  <c r="N19" i="13"/>
  <c r="N19" i="16" s="1"/>
  <c r="N39" i="13"/>
  <c r="N39" i="16" s="1"/>
  <c r="N36" i="13"/>
  <c r="N11" i="12"/>
  <c r="N11" i="17" s="1"/>
  <c r="O11" i="17" s="1"/>
  <c r="F29" i="12"/>
  <c r="F29" i="17" s="1"/>
  <c r="F29" i="20" s="1"/>
  <c r="F29" i="24" s="1"/>
  <c r="F29" i="27" s="1"/>
  <c r="F29" i="31" s="1"/>
  <c r="F29" i="34" s="1"/>
  <c r="F29" i="37" s="1"/>
  <c r="F29" i="40" s="1"/>
  <c r="F29" i="45" s="1"/>
  <c r="N9" i="12"/>
  <c r="N9" i="17" s="1"/>
  <c r="O9" i="17" s="1"/>
  <c r="R78" i="23"/>
  <c r="N10" i="12"/>
  <c r="N10" i="17" s="1"/>
  <c r="O10" i="17" s="1"/>
  <c r="N8" i="12"/>
  <c r="N8" i="17" s="1"/>
  <c r="Q8" i="17" s="1"/>
  <c r="S8" i="17" s="1"/>
  <c r="N20" i="6"/>
  <c r="Q20" i="6" s="1"/>
  <c r="N34" i="13"/>
  <c r="O34" i="13" s="1"/>
  <c r="F14" i="13"/>
  <c r="F14" i="16" s="1"/>
  <c r="F14" i="19" s="1"/>
  <c r="N39" i="6"/>
  <c r="O39" i="6" s="1"/>
  <c r="F39" i="6"/>
  <c r="N38" i="6"/>
  <c r="Q38" i="6" s="1"/>
  <c r="T38" i="6" s="1"/>
  <c r="F38" i="6"/>
  <c r="N37" i="6"/>
  <c r="Q37" i="6" s="1"/>
  <c r="F37" i="6"/>
  <c r="N36" i="6"/>
  <c r="F36" i="6"/>
  <c r="N35" i="6"/>
  <c r="O35" i="6" s="1"/>
  <c r="F35" i="6"/>
  <c r="N34" i="6"/>
  <c r="Q34" i="6" s="1"/>
  <c r="T34" i="6" s="1"/>
  <c r="F34" i="6"/>
  <c r="N33" i="6"/>
  <c r="Q33" i="6" s="1"/>
  <c r="F33" i="6"/>
  <c r="F32" i="6"/>
  <c r="F31" i="6"/>
  <c r="F30" i="6"/>
  <c r="F29" i="6"/>
  <c r="F28" i="6"/>
  <c r="F27" i="6"/>
  <c r="N26" i="6"/>
  <c r="Q26" i="6" s="1"/>
  <c r="T26" i="6" s="1"/>
  <c r="F26" i="6"/>
  <c r="F25" i="6"/>
  <c r="F24" i="6"/>
  <c r="N23" i="6"/>
  <c r="O23" i="6" s="1"/>
  <c r="F23" i="6"/>
  <c r="F22" i="6"/>
  <c r="N21" i="6"/>
  <c r="O21" i="6" s="1"/>
  <c r="F21" i="6"/>
  <c r="F20" i="6"/>
  <c r="F19" i="6"/>
  <c r="N18" i="6"/>
  <c r="Q18" i="6" s="1"/>
  <c r="T18" i="6" s="1"/>
  <c r="F17" i="6"/>
  <c r="F16" i="6"/>
  <c r="F15" i="6"/>
  <c r="F14" i="6"/>
  <c r="Q11" i="17"/>
  <c r="S11" i="17" s="1"/>
  <c r="Q10" i="17"/>
  <c r="S10" i="17" s="1"/>
  <c r="N10" i="20"/>
  <c r="P10" i="20" s="1"/>
  <c r="R10" i="20" s="1"/>
  <c r="Q9" i="17"/>
  <c r="S9" i="17" s="1"/>
  <c r="N9" i="20"/>
  <c r="Q9" i="20" s="1"/>
  <c r="S9" i="20" s="1"/>
  <c r="P8" i="17"/>
  <c r="R8" i="17" s="1"/>
  <c r="F8" i="12"/>
  <c r="F8" i="17" s="1"/>
  <c r="F8" i="20" s="1"/>
  <c r="F8" i="24" s="1"/>
  <c r="F8" i="27" s="1"/>
  <c r="F8" i="31" s="1"/>
  <c r="F8" i="14"/>
  <c r="F15" i="14" s="1"/>
  <c r="N23" i="16"/>
  <c r="Q23" i="13"/>
  <c r="N21" i="16"/>
  <c r="O21" i="13"/>
  <c r="Q21" i="13"/>
  <c r="T21" i="13" s="1"/>
  <c r="P21" i="13"/>
  <c r="S21" i="13" s="1"/>
  <c r="F19" i="20"/>
  <c r="O11" i="12"/>
  <c r="P11" i="12"/>
  <c r="R11" i="12" s="1"/>
  <c r="Q10" i="12"/>
  <c r="S10" i="12" s="1"/>
  <c r="O9" i="12"/>
  <c r="P9" i="12"/>
  <c r="R9" i="12" s="1"/>
  <c r="Q8" i="12"/>
  <c r="O8" i="17"/>
  <c r="N10" i="14"/>
  <c r="R78" i="6"/>
  <c r="R77" i="16"/>
  <c r="L24" i="27"/>
  <c r="J13" i="27"/>
  <c r="J18" i="27"/>
  <c r="M17" i="27"/>
  <c r="M15" i="27"/>
  <c r="J27" i="26"/>
  <c r="J13" i="25"/>
  <c r="J14" i="25"/>
  <c r="M14" i="25" s="1"/>
  <c r="L25" i="27"/>
  <c r="K25" i="27"/>
  <c r="C31" i="27"/>
  <c r="M25" i="27"/>
  <c r="M24" i="27"/>
  <c r="M23" i="27"/>
  <c r="M22" i="27"/>
  <c r="C60" i="27"/>
  <c r="C63" i="27" s="1"/>
  <c r="I21" i="27"/>
  <c r="J21" i="27" s="1"/>
  <c r="M21" i="27" s="1"/>
  <c r="M20" i="27"/>
  <c r="K20" i="27"/>
  <c r="D31" i="27"/>
  <c r="L20" i="27"/>
  <c r="M19" i="27"/>
  <c r="J31" i="26"/>
  <c r="J29" i="27"/>
  <c r="J26" i="27"/>
  <c r="J27" i="27"/>
  <c r="K28" i="27"/>
  <c r="L29" i="27"/>
  <c r="M28" i="27"/>
  <c r="I76" i="26"/>
  <c r="J23" i="26"/>
  <c r="M23" i="26" s="1"/>
  <c r="J29" i="26"/>
  <c r="M29" i="26" s="1"/>
  <c r="J37" i="26"/>
  <c r="L35" i="26"/>
  <c r="K38" i="26"/>
  <c r="K36" i="26"/>
  <c r="J12" i="25"/>
  <c r="M12" i="25"/>
  <c r="M13" i="27"/>
  <c r="L57" i="27"/>
  <c r="L58" i="27" s="1"/>
  <c r="M11" i="27"/>
  <c r="M10" i="27"/>
  <c r="M9" i="27"/>
  <c r="M8" i="27"/>
  <c r="J25" i="26"/>
  <c r="J15" i="26"/>
  <c r="M15" i="26" s="1"/>
  <c r="J19" i="26"/>
  <c r="J17" i="26"/>
  <c r="J21" i="26"/>
  <c r="M21" i="26" s="1"/>
  <c r="L42" i="26"/>
  <c r="M14" i="26"/>
  <c r="K14" i="26"/>
  <c r="L14" i="26"/>
  <c r="M38" i="26"/>
  <c r="M37" i="26"/>
  <c r="M36" i="26"/>
  <c r="M34" i="26"/>
  <c r="M32" i="26"/>
  <c r="M31" i="26"/>
  <c r="M27" i="26"/>
  <c r="M19" i="26"/>
  <c r="M17" i="26"/>
  <c r="J35" i="26"/>
  <c r="J16" i="26"/>
  <c r="J18" i="26"/>
  <c r="J20" i="26"/>
  <c r="J22" i="26"/>
  <c r="J24" i="26"/>
  <c r="J26" i="26"/>
  <c r="J28" i="26"/>
  <c r="J30" i="26"/>
  <c r="J33" i="26"/>
  <c r="E42" i="26"/>
  <c r="J39" i="26"/>
  <c r="J10" i="25"/>
  <c r="M10" i="25" s="1"/>
  <c r="I15" i="25"/>
  <c r="L15" i="25" s="1"/>
  <c r="J8" i="25"/>
  <c r="M8" i="25" s="1"/>
  <c r="J9" i="25"/>
  <c r="M9" i="25"/>
  <c r="K12" i="18" l="1"/>
  <c r="K15" i="18" s="1"/>
  <c r="M12" i="18"/>
  <c r="J15" i="18"/>
  <c r="M15" i="18" s="1"/>
  <c r="M17" i="24"/>
  <c r="K17" i="24"/>
  <c r="J31" i="24"/>
  <c r="M31" i="24" s="1"/>
  <c r="M17" i="12"/>
  <c r="K17" i="12"/>
  <c r="M24" i="12"/>
  <c r="K24" i="12"/>
  <c r="L29" i="12"/>
  <c r="J29" i="12"/>
  <c r="K33" i="16"/>
  <c r="M33" i="16"/>
  <c r="K14" i="14"/>
  <c r="M14" i="14"/>
  <c r="K31" i="6"/>
  <c r="M31" i="6"/>
  <c r="K35" i="6"/>
  <c r="M35" i="6"/>
  <c r="K39" i="6"/>
  <c r="M39" i="6"/>
  <c r="J15" i="14"/>
  <c r="M15" i="14" s="1"/>
  <c r="K24" i="6"/>
  <c r="M24" i="6"/>
  <c r="K17" i="6"/>
  <c r="M17" i="6"/>
  <c r="J40" i="6"/>
  <c r="M40" i="6" s="1"/>
  <c r="K21" i="9"/>
  <c r="M21" i="9"/>
  <c r="N21" i="9"/>
  <c r="Q24" i="9"/>
  <c r="O24" i="9"/>
  <c r="P24" i="9"/>
  <c r="M78" i="23"/>
  <c r="M79" i="23" s="1"/>
  <c r="T23" i="13"/>
  <c r="M25" i="17"/>
  <c r="K25" i="17"/>
  <c r="M15" i="16"/>
  <c r="K15" i="16"/>
  <c r="K41" i="16" s="1"/>
  <c r="J41" i="16"/>
  <c r="M41" i="16" s="1"/>
  <c r="M23" i="16"/>
  <c r="K23" i="16"/>
  <c r="M9" i="24"/>
  <c r="M57" i="24" s="1"/>
  <c r="M58" i="24" s="1"/>
  <c r="K9" i="24"/>
  <c r="M9" i="12"/>
  <c r="K9" i="12"/>
  <c r="L25" i="12"/>
  <c r="I31" i="12"/>
  <c r="L31" i="12" s="1"/>
  <c r="J25" i="12"/>
  <c r="K23" i="13"/>
  <c r="K41" i="13" s="1"/>
  <c r="M23" i="13"/>
  <c r="K20" i="6"/>
  <c r="M20" i="6"/>
  <c r="K28" i="6"/>
  <c r="K40" i="6" s="1"/>
  <c r="M28" i="6"/>
  <c r="K19" i="13"/>
  <c r="M19" i="13"/>
  <c r="K33" i="13"/>
  <c r="M33" i="13"/>
  <c r="K37" i="13"/>
  <c r="M37" i="13"/>
  <c r="K10" i="14"/>
  <c r="M10" i="14"/>
  <c r="N25" i="9"/>
  <c r="K25" i="9"/>
  <c r="K25" i="20"/>
  <c r="K31" i="20" s="1"/>
  <c r="M25" i="20"/>
  <c r="Q22" i="9"/>
  <c r="O22" i="9"/>
  <c r="P22" i="9"/>
  <c r="M23" i="24"/>
  <c r="K23" i="24"/>
  <c r="M31" i="19"/>
  <c r="M78" i="19" s="1"/>
  <c r="M79" i="19" s="1"/>
  <c r="K31" i="19"/>
  <c r="K42" i="19" s="1"/>
  <c r="J42" i="19"/>
  <c r="M42" i="19" s="1"/>
  <c r="M20" i="12"/>
  <c r="K20" i="12"/>
  <c r="K33" i="6"/>
  <c r="M33" i="6"/>
  <c r="M78" i="6" s="1"/>
  <c r="M79" i="6" s="1"/>
  <c r="K37" i="6"/>
  <c r="M37" i="6"/>
  <c r="T37" i="6" s="1"/>
  <c r="K15" i="13"/>
  <c r="M15" i="13"/>
  <c r="M77" i="13" s="1"/>
  <c r="M78" i="13" s="1"/>
  <c r="J41" i="13"/>
  <c r="M41" i="13" s="1"/>
  <c r="K23" i="9"/>
  <c r="M23" i="9"/>
  <c r="N23" i="9"/>
  <c r="M29" i="9"/>
  <c r="N29" i="9"/>
  <c r="K29" i="9"/>
  <c r="L78" i="26"/>
  <c r="L79" i="26" s="1"/>
  <c r="K61" i="27"/>
  <c r="F8" i="15"/>
  <c r="P11" i="17"/>
  <c r="R11" i="17" s="1"/>
  <c r="T20" i="6"/>
  <c r="M21" i="17"/>
  <c r="K61" i="17"/>
  <c r="K21" i="17"/>
  <c r="K31" i="17" s="1"/>
  <c r="J31" i="17"/>
  <c r="M31" i="17" s="1"/>
  <c r="M29" i="17"/>
  <c r="K29" i="17"/>
  <c r="M19" i="16"/>
  <c r="K19" i="16"/>
  <c r="K27" i="16"/>
  <c r="M27" i="16"/>
  <c r="K11" i="15"/>
  <c r="K15" i="15" s="1"/>
  <c r="J15" i="15"/>
  <c r="M15" i="15" s="1"/>
  <c r="M11" i="15"/>
  <c r="M28" i="12"/>
  <c r="K28" i="12"/>
  <c r="K31" i="13"/>
  <c r="M31" i="13"/>
  <c r="K27" i="13"/>
  <c r="M27" i="13"/>
  <c r="K35" i="13"/>
  <c r="M35" i="13"/>
  <c r="K39" i="13"/>
  <c r="M39" i="13"/>
  <c r="K12" i="14"/>
  <c r="K15" i="14" s="1"/>
  <c r="M12" i="14"/>
  <c r="M25" i="9"/>
  <c r="F25" i="12"/>
  <c r="F25" i="17" s="1"/>
  <c r="F25" i="20" s="1"/>
  <c r="F25" i="24" s="1"/>
  <c r="F25" i="27" s="1"/>
  <c r="F25" i="31" s="1"/>
  <c r="F25" i="34" s="1"/>
  <c r="F25" i="37" s="1"/>
  <c r="F25" i="40" s="1"/>
  <c r="F25" i="45" s="1"/>
  <c r="P23" i="13"/>
  <c r="S23" i="13" s="1"/>
  <c r="P39" i="13"/>
  <c r="S39" i="13" s="1"/>
  <c r="N9" i="14"/>
  <c r="Q19" i="13"/>
  <c r="T19" i="13" s="1"/>
  <c r="P19" i="13"/>
  <c r="S19" i="13" s="1"/>
  <c r="P23" i="6"/>
  <c r="S23" i="6" s="1"/>
  <c r="P18" i="13"/>
  <c r="S18" i="13" s="1"/>
  <c r="O19" i="13"/>
  <c r="Q35" i="6"/>
  <c r="T35" i="6" s="1"/>
  <c r="N19" i="6"/>
  <c r="O19" i="6" s="1"/>
  <c r="N22" i="6"/>
  <c r="Q22" i="6" s="1"/>
  <c r="T22" i="6" s="1"/>
  <c r="N31" i="6"/>
  <c r="O31" i="6" s="1"/>
  <c r="N22" i="13"/>
  <c r="N22" i="16" s="1"/>
  <c r="P22" i="16" s="1"/>
  <c r="S22" i="16" s="1"/>
  <c r="Q39" i="13"/>
  <c r="T39" i="13" s="1"/>
  <c r="F41" i="13"/>
  <c r="Q34" i="13"/>
  <c r="T34" i="13" s="1"/>
  <c r="O39" i="13"/>
  <c r="F41" i="16"/>
  <c r="Q39" i="6"/>
  <c r="T39" i="6" s="1"/>
  <c r="N34" i="16"/>
  <c r="Q34" i="16" s="1"/>
  <c r="T34" i="16" s="1"/>
  <c r="N36" i="16"/>
  <c r="Q36" i="16" s="1"/>
  <c r="T36" i="16" s="1"/>
  <c r="P36" i="13"/>
  <c r="S36" i="13" s="1"/>
  <c r="N28" i="12"/>
  <c r="N28" i="17" s="1"/>
  <c r="N26" i="12"/>
  <c r="O26" i="12" s="1"/>
  <c r="N14" i="14"/>
  <c r="N32" i="6"/>
  <c r="P32" i="6" s="1"/>
  <c r="S32" i="6" s="1"/>
  <c r="Q18" i="13"/>
  <c r="T18" i="13" s="1"/>
  <c r="P34" i="13"/>
  <c r="S34" i="13" s="1"/>
  <c r="O36" i="13"/>
  <c r="N25" i="6"/>
  <c r="N27" i="6"/>
  <c r="N28" i="6"/>
  <c r="Q28" i="6" s="1"/>
  <c r="T28" i="6" s="1"/>
  <c r="N29" i="6"/>
  <c r="N30" i="6"/>
  <c r="Q30" i="6" s="1"/>
  <c r="T30" i="6" s="1"/>
  <c r="N13" i="14"/>
  <c r="P13" i="14" s="1"/>
  <c r="P10" i="17"/>
  <c r="R10" i="17" s="1"/>
  <c r="P8" i="12"/>
  <c r="R8" i="12" s="1"/>
  <c r="O8" i="12"/>
  <c r="Q9" i="12"/>
  <c r="S9" i="12" s="1"/>
  <c r="P10" i="12"/>
  <c r="R10" i="12" s="1"/>
  <c r="O10" i="12"/>
  <c r="Q11" i="12"/>
  <c r="S11" i="12" s="1"/>
  <c r="N8" i="20"/>
  <c r="O8" i="20" s="1"/>
  <c r="P9" i="17"/>
  <c r="R9" i="17" s="1"/>
  <c r="N11" i="20"/>
  <c r="P11" i="20" s="1"/>
  <c r="R11" i="20" s="1"/>
  <c r="P35" i="6"/>
  <c r="S35" i="6" s="1"/>
  <c r="Q36" i="13"/>
  <c r="T36" i="13" s="1"/>
  <c r="P27" i="6"/>
  <c r="S27" i="6" s="1"/>
  <c r="N24" i="6"/>
  <c r="Q24" i="6" s="1"/>
  <c r="T24" i="6" s="1"/>
  <c r="O18" i="13"/>
  <c r="Q21" i="6"/>
  <c r="T21" i="6" s="1"/>
  <c r="Q23" i="6"/>
  <c r="T23" i="6" s="1"/>
  <c r="P21" i="6"/>
  <c r="S21" i="6" s="1"/>
  <c r="N14" i="6"/>
  <c r="Q14" i="6" s="1"/>
  <c r="T14" i="6" s="1"/>
  <c r="N15" i="6"/>
  <c r="N16" i="6"/>
  <c r="Q16" i="6" s="1"/>
  <c r="T16" i="6" s="1"/>
  <c r="N17" i="6"/>
  <c r="P39" i="6"/>
  <c r="S39" i="6" s="1"/>
  <c r="F40" i="6"/>
  <c r="O18" i="6"/>
  <c r="P18" i="6"/>
  <c r="S18" i="6" s="1"/>
  <c r="O20" i="6"/>
  <c r="P20" i="6"/>
  <c r="S20" i="6" s="1"/>
  <c r="O22" i="6"/>
  <c r="O26" i="6"/>
  <c r="P26" i="6"/>
  <c r="S26" i="6" s="1"/>
  <c r="O32" i="6"/>
  <c r="O33" i="6"/>
  <c r="P33" i="6"/>
  <c r="S33" i="6" s="1"/>
  <c r="O34" i="6"/>
  <c r="P34" i="6"/>
  <c r="S34" i="6" s="1"/>
  <c r="O36" i="6"/>
  <c r="P36" i="6"/>
  <c r="S36" i="6" s="1"/>
  <c r="Q36" i="6"/>
  <c r="T36" i="6" s="1"/>
  <c r="O37" i="6"/>
  <c r="P37" i="6"/>
  <c r="S37" i="6" s="1"/>
  <c r="O38" i="6"/>
  <c r="P38" i="6"/>
  <c r="S38" i="6" s="1"/>
  <c r="N9" i="24"/>
  <c r="P9" i="20"/>
  <c r="R9" i="20" s="1"/>
  <c r="O9" i="20"/>
  <c r="Q10" i="20"/>
  <c r="S10" i="20" s="1"/>
  <c r="O10" i="20"/>
  <c r="N10" i="24"/>
  <c r="N11" i="24"/>
  <c r="N26" i="17"/>
  <c r="O28" i="12"/>
  <c r="P28" i="12"/>
  <c r="R28" i="12" s="1"/>
  <c r="N8" i="14"/>
  <c r="N9" i="15"/>
  <c r="P9" i="14"/>
  <c r="S9" i="14" s="1"/>
  <c r="O9" i="14"/>
  <c r="Q9" i="14"/>
  <c r="T9" i="14" s="1"/>
  <c r="P18" i="16"/>
  <c r="S18" i="16" s="1"/>
  <c r="O18" i="16"/>
  <c r="Q18" i="16"/>
  <c r="T18" i="16" s="1"/>
  <c r="N18" i="19"/>
  <c r="P19" i="16"/>
  <c r="S19" i="16" s="1"/>
  <c r="O19" i="16"/>
  <c r="Q19" i="16"/>
  <c r="T19" i="16" s="1"/>
  <c r="N19" i="19"/>
  <c r="S8" i="12"/>
  <c r="N10" i="15"/>
  <c r="P10" i="14"/>
  <c r="O10" i="14"/>
  <c r="Q10" i="14"/>
  <c r="N13" i="15"/>
  <c r="O13" i="14"/>
  <c r="F14" i="23"/>
  <c r="F42" i="19"/>
  <c r="F19" i="24"/>
  <c r="P21" i="16"/>
  <c r="S21" i="16" s="1"/>
  <c r="O21" i="16"/>
  <c r="Q21" i="16"/>
  <c r="T21" i="16" s="1"/>
  <c r="N21" i="19"/>
  <c r="P23" i="16"/>
  <c r="S23" i="16" s="1"/>
  <c r="O23" i="16"/>
  <c r="Q23" i="16"/>
  <c r="T23" i="16" s="1"/>
  <c r="N23" i="19"/>
  <c r="P39" i="16"/>
  <c r="S39" i="16" s="1"/>
  <c r="O39" i="16"/>
  <c r="Q39" i="16"/>
  <c r="T39" i="16" s="1"/>
  <c r="N39" i="19"/>
  <c r="F8" i="18"/>
  <c r="F8" i="22" s="1"/>
  <c r="F8" i="25" s="1"/>
  <c r="F8" i="29" s="1"/>
  <c r="F8" i="32" s="1"/>
  <c r="F8" i="35" s="1"/>
  <c r="F8" i="38" s="1"/>
  <c r="F8" i="43" s="1"/>
  <c r="F15" i="15"/>
  <c r="O22" i="16"/>
  <c r="N22" i="19"/>
  <c r="P36" i="16"/>
  <c r="S36" i="16" s="1"/>
  <c r="K13" i="27"/>
  <c r="M18" i="27"/>
  <c r="K18" i="27"/>
  <c r="K27" i="26"/>
  <c r="K14" i="25"/>
  <c r="M13" i="25"/>
  <c r="K13" i="25"/>
  <c r="I31" i="27"/>
  <c r="L31" i="27" s="1"/>
  <c r="L21" i="27"/>
  <c r="K21" i="27"/>
  <c r="K31" i="26"/>
  <c r="M27" i="27"/>
  <c r="K27" i="27"/>
  <c r="M26" i="27"/>
  <c r="K26" i="27"/>
  <c r="J31" i="27"/>
  <c r="K29" i="27"/>
  <c r="M29" i="27"/>
  <c r="K37" i="26"/>
  <c r="K23" i="26"/>
  <c r="K29" i="26"/>
  <c r="K12" i="25"/>
  <c r="K25" i="26"/>
  <c r="M25" i="26"/>
  <c r="K15" i="26"/>
  <c r="K19" i="26"/>
  <c r="K21" i="26"/>
  <c r="K17" i="26"/>
  <c r="K22" i="26"/>
  <c r="M22" i="26"/>
  <c r="M39" i="26"/>
  <c r="K39" i="26"/>
  <c r="M33" i="26"/>
  <c r="K33" i="26"/>
  <c r="K28" i="26"/>
  <c r="M28" i="26"/>
  <c r="K24" i="26"/>
  <c r="M24" i="26"/>
  <c r="K20" i="26"/>
  <c r="M20" i="26"/>
  <c r="K16" i="26"/>
  <c r="M16" i="26"/>
  <c r="J42" i="26"/>
  <c r="M42" i="26" s="1"/>
  <c r="K30" i="26"/>
  <c r="M30" i="26"/>
  <c r="K26" i="26"/>
  <c r="M26" i="26"/>
  <c r="K18" i="26"/>
  <c r="M18" i="26"/>
  <c r="K35" i="26"/>
  <c r="M35" i="26"/>
  <c r="K10" i="25"/>
  <c r="K9" i="25"/>
  <c r="J15" i="25"/>
  <c r="M15" i="25" s="1"/>
  <c r="K8" i="25"/>
  <c r="K31" i="12" l="1"/>
  <c r="K15" i="25"/>
  <c r="P14" i="6"/>
  <c r="O23" i="9"/>
  <c r="P23" i="9"/>
  <c r="Q23" i="9"/>
  <c r="O25" i="9"/>
  <c r="P25" i="9"/>
  <c r="Q25" i="9"/>
  <c r="T33" i="6"/>
  <c r="P31" i="6"/>
  <c r="S31" i="6" s="1"/>
  <c r="P29" i="9"/>
  <c r="Q29" i="9"/>
  <c r="O29" i="9"/>
  <c r="K25" i="12"/>
  <c r="M25" i="12"/>
  <c r="M57" i="12"/>
  <c r="M58" i="12" s="1"/>
  <c r="M77" i="16"/>
  <c r="M78" i="16" s="1"/>
  <c r="O21" i="9"/>
  <c r="Q21" i="9"/>
  <c r="P21" i="9"/>
  <c r="K29" i="12"/>
  <c r="M29" i="12"/>
  <c r="K31" i="24"/>
  <c r="J31" i="12"/>
  <c r="M31" i="12" s="1"/>
  <c r="N11" i="14"/>
  <c r="O22" i="13"/>
  <c r="Q26" i="12"/>
  <c r="S26" i="12" s="1"/>
  <c r="Q11" i="20"/>
  <c r="S11" i="20" s="1"/>
  <c r="Q8" i="20"/>
  <c r="S8" i="20" s="1"/>
  <c r="Q28" i="12"/>
  <c r="S28" i="12" s="1"/>
  <c r="Q19" i="6"/>
  <c r="T19" i="6" s="1"/>
  <c r="P19" i="6"/>
  <c r="S19" i="6" s="1"/>
  <c r="Q31" i="6"/>
  <c r="T31" i="6" s="1"/>
  <c r="Q22" i="16"/>
  <c r="T22" i="16" s="1"/>
  <c r="P22" i="6"/>
  <c r="S22" i="6" s="1"/>
  <c r="Q22" i="13"/>
  <c r="T22" i="13" s="1"/>
  <c r="O16" i="6"/>
  <c r="P22" i="13"/>
  <c r="S22" i="13" s="1"/>
  <c r="P34" i="16"/>
  <c r="S34" i="16" s="1"/>
  <c r="O36" i="16"/>
  <c r="O34" i="16"/>
  <c r="N36" i="19"/>
  <c r="P36" i="19" s="1"/>
  <c r="S36" i="19" s="1"/>
  <c r="N34" i="19"/>
  <c r="P34" i="19" s="1"/>
  <c r="S34" i="19" s="1"/>
  <c r="Q32" i="6"/>
  <c r="T32" i="6" s="1"/>
  <c r="P16" i="6"/>
  <c r="S16" i="6" s="1"/>
  <c r="N40" i="6"/>
  <c r="Q40" i="6" s="1"/>
  <c r="O14" i="6"/>
  <c r="P28" i="6"/>
  <c r="S28" i="6" s="1"/>
  <c r="P26" i="12"/>
  <c r="R26" i="12" s="1"/>
  <c r="P14" i="14"/>
  <c r="O14" i="14"/>
  <c r="N14" i="15"/>
  <c r="Q14" i="14"/>
  <c r="P30" i="6"/>
  <c r="S30" i="6" s="1"/>
  <c r="P24" i="6"/>
  <c r="S24" i="6" s="1"/>
  <c r="O25" i="6"/>
  <c r="P25" i="6"/>
  <c r="S25" i="6" s="1"/>
  <c r="Q25" i="6"/>
  <c r="T25" i="6" s="1"/>
  <c r="N32" i="13"/>
  <c r="O29" i="6"/>
  <c r="Q29" i="6"/>
  <c r="T29" i="6" s="1"/>
  <c r="P29" i="6"/>
  <c r="S29" i="6" s="1"/>
  <c r="O27" i="6"/>
  <c r="Q27" i="6"/>
  <c r="T27" i="6" s="1"/>
  <c r="O30" i="6"/>
  <c r="O28" i="6"/>
  <c r="O24" i="6"/>
  <c r="N12" i="14"/>
  <c r="N15" i="14" s="1"/>
  <c r="Q13" i="14"/>
  <c r="N29" i="12"/>
  <c r="O11" i="20"/>
  <c r="N8" i="24"/>
  <c r="Q8" i="24" s="1"/>
  <c r="S8" i="24" s="1"/>
  <c r="P8" i="20"/>
  <c r="R8" i="20" s="1"/>
  <c r="N27" i="12"/>
  <c r="N30" i="12"/>
  <c r="N18" i="12"/>
  <c r="N16" i="12"/>
  <c r="N14" i="12"/>
  <c r="N12" i="12"/>
  <c r="N22" i="12"/>
  <c r="N15" i="12"/>
  <c r="N13" i="12"/>
  <c r="N23" i="12"/>
  <c r="N21" i="12"/>
  <c r="N19" i="12"/>
  <c r="N17" i="12"/>
  <c r="N25" i="12"/>
  <c r="N24" i="12"/>
  <c r="N20" i="12"/>
  <c r="F21" i="12"/>
  <c r="N35" i="13"/>
  <c r="N38" i="13"/>
  <c r="N37" i="13"/>
  <c r="N33" i="13"/>
  <c r="N31" i="13"/>
  <c r="N30" i="13"/>
  <c r="N28" i="13"/>
  <c r="N29" i="13"/>
  <c r="N27" i="13"/>
  <c r="N26" i="13"/>
  <c r="N25" i="13"/>
  <c r="N24" i="13"/>
  <c r="O17" i="6"/>
  <c r="P17" i="6"/>
  <c r="S17" i="6" s="1"/>
  <c r="Q17" i="6"/>
  <c r="T17" i="6" s="1"/>
  <c r="O15" i="6"/>
  <c r="Q15" i="6"/>
  <c r="P15" i="6"/>
  <c r="S15" i="6" s="1"/>
  <c r="N16" i="13"/>
  <c r="N14" i="13"/>
  <c r="N17" i="13"/>
  <c r="N15" i="13"/>
  <c r="N20" i="13"/>
  <c r="S14" i="6"/>
  <c r="P28" i="17"/>
  <c r="R28" i="17" s="1"/>
  <c r="Q28" i="17"/>
  <c r="S28" i="17" s="1"/>
  <c r="N28" i="20"/>
  <c r="O28" i="17"/>
  <c r="P26" i="17"/>
  <c r="R26" i="17" s="1"/>
  <c r="O26" i="17"/>
  <c r="Q26" i="17"/>
  <c r="S26" i="17" s="1"/>
  <c r="N26" i="20"/>
  <c r="Q11" i="24"/>
  <c r="S11" i="24" s="1"/>
  <c r="P11" i="24"/>
  <c r="R11" i="24" s="1"/>
  <c r="O11" i="24"/>
  <c r="N11" i="27"/>
  <c r="P10" i="24"/>
  <c r="R10" i="24" s="1"/>
  <c r="Q10" i="24"/>
  <c r="S10" i="24" s="1"/>
  <c r="O10" i="24"/>
  <c r="N10" i="27"/>
  <c r="Q9" i="24"/>
  <c r="S9" i="24" s="1"/>
  <c r="P9" i="24"/>
  <c r="R9" i="24" s="1"/>
  <c r="O9" i="24"/>
  <c r="N9" i="27"/>
  <c r="N8" i="15"/>
  <c r="Q8" i="14"/>
  <c r="T8" i="14" s="1"/>
  <c r="P8" i="14"/>
  <c r="S8" i="14" s="1"/>
  <c r="O8" i="14"/>
  <c r="O36" i="19"/>
  <c r="N22" i="23"/>
  <c r="P22" i="19"/>
  <c r="S22" i="19" s="1"/>
  <c r="Q22" i="19"/>
  <c r="T22" i="19" s="1"/>
  <c r="O22" i="19"/>
  <c r="F15" i="22"/>
  <c r="F15" i="25" s="1"/>
  <c r="F15" i="29" s="1"/>
  <c r="F15" i="32" s="1"/>
  <c r="F15" i="18"/>
  <c r="Q39" i="19"/>
  <c r="T39" i="19" s="1"/>
  <c r="P39" i="19"/>
  <c r="S39" i="19" s="1"/>
  <c r="O39" i="19"/>
  <c r="N39" i="23"/>
  <c r="Q34" i="19"/>
  <c r="T34" i="19" s="1"/>
  <c r="N34" i="23"/>
  <c r="P23" i="19"/>
  <c r="S23" i="19" s="1"/>
  <c r="Q23" i="19"/>
  <c r="T23" i="19" s="1"/>
  <c r="N23" i="23"/>
  <c r="O23" i="19"/>
  <c r="N21" i="23"/>
  <c r="O21" i="19"/>
  <c r="P21" i="19"/>
  <c r="S21" i="19" s="1"/>
  <c r="Q21" i="19"/>
  <c r="T21" i="19" s="1"/>
  <c r="F14" i="26"/>
  <c r="F42" i="23"/>
  <c r="T10" i="14"/>
  <c r="S10" i="14"/>
  <c r="N9" i="18"/>
  <c r="Q9" i="15"/>
  <c r="T9" i="15" s="1"/>
  <c r="P9" i="15"/>
  <c r="S9" i="15" s="1"/>
  <c r="O9" i="15"/>
  <c r="F19" i="27"/>
  <c r="F19" i="31" s="1"/>
  <c r="F19" i="34" s="1"/>
  <c r="F19" i="37" s="1"/>
  <c r="F19" i="40" s="1"/>
  <c r="F19" i="45" s="1"/>
  <c r="O13" i="15"/>
  <c r="P13" i="15"/>
  <c r="Q13" i="15"/>
  <c r="N13" i="18"/>
  <c r="O10" i="15"/>
  <c r="Q10" i="15"/>
  <c r="P10" i="15"/>
  <c r="N10" i="18"/>
  <c r="O19" i="19"/>
  <c r="N19" i="23"/>
  <c r="P19" i="19"/>
  <c r="S19" i="19" s="1"/>
  <c r="Q19" i="19"/>
  <c r="T19" i="19" s="1"/>
  <c r="P18" i="19"/>
  <c r="S18" i="19" s="1"/>
  <c r="Q18" i="19"/>
  <c r="T18" i="19" s="1"/>
  <c r="N18" i="23"/>
  <c r="O18" i="19"/>
  <c r="M57" i="27"/>
  <c r="M58" i="27" s="1"/>
  <c r="M31" i="27"/>
  <c r="K31" i="27"/>
  <c r="K42" i="26"/>
  <c r="M78" i="26"/>
  <c r="M79" i="26" s="1"/>
  <c r="Q15" i="14" l="1"/>
  <c r="P15" i="14"/>
  <c r="N11" i="15"/>
  <c r="O11" i="14"/>
  <c r="Q11" i="14"/>
  <c r="P11" i="14"/>
  <c r="N8" i="27"/>
  <c r="O8" i="24"/>
  <c r="O34" i="19"/>
  <c r="N36" i="23"/>
  <c r="P36" i="23" s="1"/>
  <c r="S36" i="23" s="1"/>
  <c r="Q36" i="19"/>
  <c r="T36" i="19" s="1"/>
  <c r="P40" i="6"/>
  <c r="T14" i="14"/>
  <c r="T13" i="14"/>
  <c r="O14" i="15"/>
  <c r="P14" i="15"/>
  <c r="Q14" i="15"/>
  <c r="N14" i="18"/>
  <c r="S14" i="14"/>
  <c r="S13" i="14"/>
  <c r="N32" i="16"/>
  <c r="Q32" i="13"/>
  <c r="T32" i="13" s="1"/>
  <c r="O32" i="13"/>
  <c r="P32" i="13"/>
  <c r="S32" i="13" s="1"/>
  <c r="P78" i="6"/>
  <c r="P79" i="6" s="1"/>
  <c r="P12" i="14"/>
  <c r="Q12" i="14"/>
  <c r="N12" i="15"/>
  <c r="O12" i="14"/>
  <c r="O15" i="14" s="1"/>
  <c r="N15" i="15"/>
  <c r="P15" i="15" s="1"/>
  <c r="P31" i="15" s="1"/>
  <c r="P32" i="15" s="1"/>
  <c r="N27" i="17"/>
  <c r="O27" i="12"/>
  <c r="P27" i="12"/>
  <c r="R27" i="12" s="1"/>
  <c r="N29" i="17"/>
  <c r="P29" i="12"/>
  <c r="O29" i="12"/>
  <c r="Q29" i="12"/>
  <c r="P8" i="24"/>
  <c r="R8" i="24" s="1"/>
  <c r="Q27" i="12"/>
  <c r="S27" i="12" s="1"/>
  <c r="R31" i="38"/>
  <c r="N30" i="17"/>
  <c r="P30" i="12"/>
  <c r="R30" i="12" s="1"/>
  <c r="O30" i="12"/>
  <c r="Q30" i="12"/>
  <c r="S30" i="12" s="1"/>
  <c r="R31" i="18"/>
  <c r="R31" i="35"/>
  <c r="R31" i="43"/>
  <c r="P31" i="14"/>
  <c r="P32" i="14" s="1"/>
  <c r="R31" i="32"/>
  <c r="R31" i="15"/>
  <c r="R31" i="25"/>
  <c r="R31" i="14"/>
  <c r="Q20" i="12"/>
  <c r="S20" i="12" s="1"/>
  <c r="P20" i="12"/>
  <c r="R20" i="12" s="1"/>
  <c r="N20" i="17"/>
  <c r="O20" i="12"/>
  <c r="N17" i="17"/>
  <c r="Q17" i="12"/>
  <c r="S17" i="12" s="1"/>
  <c r="O17" i="12"/>
  <c r="P17" i="12"/>
  <c r="R17" i="12" s="1"/>
  <c r="Q19" i="12"/>
  <c r="S19" i="12" s="1"/>
  <c r="P19" i="12"/>
  <c r="R19" i="12" s="1"/>
  <c r="O19" i="12"/>
  <c r="N19" i="17"/>
  <c r="N13" i="17"/>
  <c r="O13" i="12"/>
  <c r="P13" i="12"/>
  <c r="R13" i="12" s="1"/>
  <c r="Q13" i="12"/>
  <c r="S13" i="12" s="1"/>
  <c r="N15" i="17"/>
  <c r="Q15" i="12"/>
  <c r="S15" i="12" s="1"/>
  <c r="P15" i="12"/>
  <c r="R15" i="12" s="1"/>
  <c r="O15" i="12"/>
  <c r="N22" i="17"/>
  <c r="Q22" i="12"/>
  <c r="S22" i="12" s="1"/>
  <c r="O22" i="12"/>
  <c r="P22" i="12"/>
  <c r="R22" i="12" s="1"/>
  <c r="O24" i="12"/>
  <c r="N24" i="17"/>
  <c r="Q24" i="12"/>
  <c r="S24" i="12" s="1"/>
  <c r="P24" i="12"/>
  <c r="R24" i="12" s="1"/>
  <c r="N25" i="17"/>
  <c r="O25" i="12"/>
  <c r="P25" i="12"/>
  <c r="Q25" i="12"/>
  <c r="N21" i="17"/>
  <c r="Q21" i="12"/>
  <c r="O21" i="12"/>
  <c r="P21" i="12"/>
  <c r="O23" i="12"/>
  <c r="Q23" i="12"/>
  <c r="S23" i="12" s="1"/>
  <c r="P23" i="12"/>
  <c r="R23" i="12" s="1"/>
  <c r="N23" i="17"/>
  <c r="N12" i="17"/>
  <c r="Q12" i="12"/>
  <c r="O12" i="12"/>
  <c r="P12" i="12"/>
  <c r="N31" i="12"/>
  <c r="N14" i="17"/>
  <c r="O14" i="12"/>
  <c r="P14" i="12"/>
  <c r="R14" i="12" s="1"/>
  <c r="Q14" i="12"/>
  <c r="S14" i="12" s="1"/>
  <c r="N16" i="17"/>
  <c r="Q16" i="12"/>
  <c r="S16" i="12" s="1"/>
  <c r="P16" i="12"/>
  <c r="R16" i="12" s="1"/>
  <c r="O16" i="12"/>
  <c r="Q18" i="12"/>
  <c r="S18" i="12" s="1"/>
  <c r="P18" i="12"/>
  <c r="R18" i="12" s="1"/>
  <c r="O18" i="12"/>
  <c r="N18" i="17"/>
  <c r="F21" i="17"/>
  <c r="F31" i="12"/>
  <c r="O40" i="6"/>
  <c r="P35" i="13"/>
  <c r="S35" i="13" s="1"/>
  <c r="Q35" i="13"/>
  <c r="T35" i="13" s="1"/>
  <c r="N35" i="16"/>
  <c r="O35" i="13"/>
  <c r="N38" i="16"/>
  <c r="Q38" i="13"/>
  <c r="T38" i="13" s="1"/>
  <c r="O38" i="13"/>
  <c r="P38" i="13"/>
  <c r="S38" i="13" s="1"/>
  <c r="N37" i="16"/>
  <c r="O37" i="13"/>
  <c r="P37" i="13"/>
  <c r="S37" i="13" s="1"/>
  <c r="Q37" i="13"/>
  <c r="T37" i="13" s="1"/>
  <c r="N31" i="16"/>
  <c r="O31" i="13"/>
  <c r="P31" i="13"/>
  <c r="S31" i="13" s="1"/>
  <c r="Q31" i="13"/>
  <c r="T31" i="13" s="1"/>
  <c r="N33" i="16"/>
  <c r="O33" i="13"/>
  <c r="P33" i="13"/>
  <c r="S33" i="13" s="1"/>
  <c r="Q33" i="13"/>
  <c r="T33" i="13" s="1"/>
  <c r="P27" i="13"/>
  <c r="S27" i="13" s="1"/>
  <c r="Q27" i="13"/>
  <c r="T27" i="13" s="1"/>
  <c r="N27" i="16"/>
  <c r="O27" i="13"/>
  <c r="P29" i="13"/>
  <c r="S29" i="13" s="1"/>
  <c r="Q29" i="13"/>
  <c r="T29" i="13" s="1"/>
  <c r="N29" i="16"/>
  <c r="O29" i="13"/>
  <c r="P28" i="13"/>
  <c r="S28" i="13" s="1"/>
  <c r="Q28" i="13"/>
  <c r="T28" i="13" s="1"/>
  <c r="N28" i="16"/>
  <c r="O28" i="13"/>
  <c r="P30" i="13"/>
  <c r="S30" i="13" s="1"/>
  <c r="Q30" i="13"/>
  <c r="T30" i="13" s="1"/>
  <c r="N30" i="16"/>
  <c r="O30" i="13"/>
  <c r="P26" i="13"/>
  <c r="S26" i="13" s="1"/>
  <c r="Q26" i="13"/>
  <c r="T26" i="13" s="1"/>
  <c r="N26" i="16"/>
  <c r="O26" i="13"/>
  <c r="P25" i="13"/>
  <c r="S25" i="13" s="1"/>
  <c r="Q25" i="13"/>
  <c r="T25" i="13" s="1"/>
  <c r="N25" i="16"/>
  <c r="O25" i="13"/>
  <c r="N24" i="16"/>
  <c r="P24" i="13"/>
  <c r="S24" i="13" s="1"/>
  <c r="O24" i="13"/>
  <c r="Q24" i="13"/>
  <c r="T24" i="13" s="1"/>
  <c r="N15" i="16"/>
  <c r="O15" i="13"/>
  <c r="P15" i="13"/>
  <c r="S15" i="13" s="1"/>
  <c r="Q15" i="13"/>
  <c r="T15" i="13" s="1"/>
  <c r="N17" i="16"/>
  <c r="O17" i="13"/>
  <c r="P17" i="13"/>
  <c r="S17" i="13" s="1"/>
  <c r="Q17" i="13"/>
  <c r="T17" i="13" s="1"/>
  <c r="N14" i="16"/>
  <c r="O14" i="13"/>
  <c r="P14" i="13"/>
  <c r="S14" i="13" s="1"/>
  <c r="Q14" i="13"/>
  <c r="T14" i="13" s="1"/>
  <c r="N16" i="16"/>
  <c r="O16" i="13"/>
  <c r="P16" i="13"/>
  <c r="S16" i="13" s="1"/>
  <c r="Q16" i="13"/>
  <c r="T16" i="13" s="1"/>
  <c r="T15" i="6"/>
  <c r="Q78" i="6"/>
  <c r="Q79" i="6" s="1"/>
  <c r="N20" i="16"/>
  <c r="Q20" i="13"/>
  <c r="N41" i="13"/>
  <c r="P20" i="13"/>
  <c r="O20" i="13"/>
  <c r="N8" i="31"/>
  <c r="Q8" i="27"/>
  <c r="S8" i="27" s="1"/>
  <c r="P8" i="27"/>
  <c r="R8" i="27" s="1"/>
  <c r="O8" i="27"/>
  <c r="N9" i="31"/>
  <c r="P9" i="27"/>
  <c r="R9" i="27" s="1"/>
  <c r="Q9" i="27"/>
  <c r="S9" i="27" s="1"/>
  <c r="O9" i="27"/>
  <c r="N10" i="31"/>
  <c r="O10" i="27"/>
  <c r="P10" i="27"/>
  <c r="R10" i="27" s="1"/>
  <c r="Q10" i="27"/>
  <c r="S10" i="27" s="1"/>
  <c r="N11" i="31"/>
  <c r="P11" i="27"/>
  <c r="R11" i="27" s="1"/>
  <c r="Q11" i="27"/>
  <c r="S11" i="27" s="1"/>
  <c r="O11" i="27"/>
  <c r="Q26" i="20"/>
  <c r="S26" i="20" s="1"/>
  <c r="O26" i="20"/>
  <c r="N26" i="24"/>
  <c r="P26" i="20"/>
  <c r="R26" i="20" s="1"/>
  <c r="P28" i="20"/>
  <c r="R28" i="20" s="1"/>
  <c r="Q28" i="20"/>
  <c r="S28" i="20" s="1"/>
  <c r="O28" i="20"/>
  <c r="N28" i="24"/>
  <c r="N8" i="18"/>
  <c r="P8" i="15"/>
  <c r="S8" i="15" s="1"/>
  <c r="Q8" i="15"/>
  <c r="T8" i="15" s="1"/>
  <c r="O8" i="15"/>
  <c r="Q19" i="23"/>
  <c r="T19" i="23" s="1"/>
  <c r="P19" i="23"/>
  <c r="S19" i="23" s="1"/>
  <c r="O19" i="23"/>
  <c r="N19" i="26"/>
  <c r="S10" i="15"/>
  <c r="Q15" i="15"/>
  <c r="P9" i="18"/>
  <c r="S9" i="18" s="1"/>
  <c r="O9" i="18"/>
  <c r="Q9" i="18"/>
  <c r="T9" i="18" s="1"/>
  <c r="N9" i="22"/>
  <c r="T15" i="14"/>
  <c r="Q31" i="14"/>
  <c r="F14" i="30"/>
  <c r="F42" i="26"/>
  <c r="Q34" i="23"/>
  <c r="T34" i="23" s="1"/>
  <c r="P34" i="23"/>
  <c r="S34" i="23" s="1"/>
  <c r="O34" i="23"/>
  <c r="N34" i="26"/>
  <c r="O39" i="23"/>
  <c r="Q39" i="23"/>
  <c r="T39" i="23" s="1"/>
  <c r="P39" i="23"/>
  <c r="S39" i="23" s="1"/>
  <c r="N39" i="26"/>
  <c r="Q22" i="23"/>
  <c r="T22" i="23" s="1"/>
  <c r="P22" i="23"/>
  <c r="S22" i="23" s="1"/>
  <c r="O22" i="23"/>
  <c r="N22" i="26"/>
  <c r="N36" i="26"/>
  <c r="Q18" i="23"/>
  <c r="T18" i="23" s="1"/>
  <c r="O18" i="23"/>
  <c r="P18" i="23"/>
  <c r="S18" i="23" s="1"/>
  <c r="N18" i="26"/>
  <c r="O10" i="18"/>
  <c r="Q10" i="18"/>
  <c r="P10" i="18"/>
  <c r="N10" i="22"/>
  <c r="T10" i="15"/>
  <c r="Q13" i="18"/>
  <c r="P13" i="18"/>
  <c r="O13" i="18"/>
  <c r="N13" i="22"/>
  <c r="Q21" i="23"/>
  <c r="T21" i="23" s="1"/>
  <c r="P21" i="23"/>
  <c r="S21" i="23" s="1"/>
  <c r="O21" i="23"/>
  <c r="N21" i="26"/>
  <c r="Q23" i="23"/>
  <c r="T23" i="23" s="1"/>
  <c r="P23" i="23"/>
  <c r="S23" i="23" s="1"/>
  <c r="O23" i="23"/>
  <c r="N23" i="26"/>
  <c r="F15" i="38"/>
  <c r="F15" i="43" s="1"/>
  <c r="F15" i="35"/>
  <c r="R31" i="29" l="1"/>
  <c r="R31" i="22"/>
  <c r="S11" i="14"/>
  <c r="P34" i="14"/>
  <c r="P35" i="14" s="1"/>
  <c r="T11" i="14"/>
  <c r="Q34" i="14"/>
  <c r="O11" i="15"/>
  <c r="Q11" i="15"/>
  <c r="N11" i="18"/>
  <c r="P11" i="15"/>
  <c r="S11" i="15" s="1"/>
  <c r="O36" i="23"/>
  <c r="Q36" i="23"/>
  <c r="T36" i="23" s="1"/>
  <c r="O14" i="18"/>
  <c r="P14" i="18"/>
  <c r="Q14" i="18"/>
  <c r="N14" i="22"/>
  <c r="S13" i="15"/>
  <c r="S14" i="15"/>
  <c r="T14" i="15"/>
  <c r="T13" i="15"/>
  <c r="O32" i="16"/>
  <c r="P32" i="16"/>
  <c r="S32" i="16" s="1"/>
  <c r="Q32" i="16"/>
  <c r="T32" i="16" s="1"/>
  <c r="N32" i="19"/>
  <c r="O41" i="13"/>
  <c r="T12" i="14"/>
  <c r="Q48" i="14"/>
  <c r="Q12" i="15"/>
  <c r="P12" i="15"/>
  <c r="O12" i="15"/>
  <c r="O15" i="15" s="1"/>
  <c r="N12" i="18"/>
  <c r="S12" i="14"/>
  <c r="P48" i="14"/>
  <c r="P49" i="14" s="1"/>
  <c r="O29" i="17"/>
  <c r="Q29" i="17"/>
  <c r="N29" i="20"/>
  <c r="P29" i="17"/>
  <c r="N27" i="20"/>
  <c r="O27" i="17"/>
  <c r="P27" i="17"/>
  <c r="R27" i="17" s="1"/>
  <c r="Q27" i="17"/>
  <c r="S27" i="17" s="1"/>
  <c r="Q30" i="17"/>
  <c r="S30" i="17" s="1"/>
  <c r="N30" i="20"/>
  <c r="P30" i="17"/>
  <c r="R30" i="17" s="1"/>
  <c r="O30" i="17"/>
  <c r="O16" i="17"/>
  <c r="N16" i="20"/>
  <c r="Q16" i="17"/>
  <c r="S16" i="17" s="1"/>
  <c r="P16" i="17"/>
  <c r="R16" i="17" s="1"/>
  <c r="O14" i="17"/>
  <c r="N14" i="20"/>
  <c r="Q14" i="17"/>
  <c r="S14" i="17" s="1"/>
  <c r="P14" i="17"/>
  <c r="R14" i="17" s="1"/>
  <c r="R12" i="12"/>
  <c r="P59" i="12"/>
  <c r="P61" i="12" s="1"/>
  <c r="S12" i="12"/>
  <c r="Q59" i="12"/>
  <c r="Q61" i="12" s="1"/>
  <c r="P23" i="17"/>
  <c r="R23" i="17" s="1"/>
  <c r="Q23" i="17"/>
  <c r="S23" i="17" s="1"/>
  <c r="N23" i="20"/>
  <c r="O23" i="17"/>
  <c r="P24" i="17"/>
  <c r="R24" i="17" s="1"/>
  <c r="N24" i="20"/>
  <c r="Q24" i="17"/>
  <c r="S24" i="17" s="1"/>
  <c r="O24" i="17"/>
  <c r="O19" i="17"/>
  <c r="N19" i="20"/>
  <c r="Q19" i="17"/>
  <c r="S19" i="17" s="1"/>
  <c r="P19" i="17"/>
  <c r="R19" i="17" s="1"/>
  <c r="O18" i="17"/>
  <c r="P18" i="17"/>
  <c r="R18" i="17" s="1"/>
  <c r="Q18" i="17"/>
  <c r="S18" i="17" s="1"/>
  <c r="N18" i="20"/>
  <c r="Q31" i="12"/>
  <c r="P31" i="12"/>
  <c r="R31" i="12" s="1"/>
  <c r="P12" i="17"/>
  <c r="N12" i="20"/>
  <c r="O12" i="17"/>
  <c r="Q12" i="17"/>
  <c r="N31" i="17"/>
  <c r="O21" i="17"/>
  <c r="N21" i="20"/>
  <c r="P21" i="17"/>
  <c r="Q21" i="17"/>
  <c r="N25" i="20"/>
  <c r="P25" i="17"/>
  <c r="Q25" i="17"/>
  <c r="O25" i="17"/>
  <c r="Q22" i="17"/>
  <c r="S22" i="17" s="1"/>
  <c r="O22" i="17"/>
  <c r="P22" i="17"/>
  <c r="R22" i="17" s="1"/>
  <c r="N22" i="20"/>
  <c r="O15" i="17"/>
  <c r="P15" i="17"/>
  <c r="R15" i="17" s="1"/>
  <c r="Q15" i="17"/>
  <c r="S15" i="17" s="1"/>
  <c r="N15" i="20"/>
  <c r="N13" i="20"/>
  <c r="P13" i="17"/>
  <c r="R13" i="17" s="1"/>
  <c r="Q13" i="17"/>
  <c r="S13" i="17" s="1"/>
  <c r="O13" i="17"/>
  <c r="P17" i="17"/>
  <c r="R17" i="17" s="1"/>
  <c r="Q17" i="17"/>
  <c r="S17" i="17" s="1"/>
  <c r="O17" i="17"/>
  <c r="N17" i="20"/>
  <c r="N20" i="20"/>
  <c r="P20" i="17"/>
  <c r="R20" i="17" s="1"/>
  <c r="Q20" i="17"/>
  <c r="S20" i="17" s="1"/>
  <c r="O20" i="17"/>
  <c r="O31" i="12"/>
  <c r="F21" i="20"/>
  <c r="F31" i="17"/>
  <c r="P35" i="16"/>
  <c r="S35" i="16" s="1"/>
  <c r="Q35" i="16"/>
  <c r="T35" i="16" s="1"/>
  <c r="O35" i="16"/>
  <c r="N35" i="19"/>
  <c r="O38" i="16"/>
  <c r="P38" i="16"/>
  <c r="S38" i="16" s="1"/>
  <c r="Q38" i="16"/>
  <c r="T38" i="16" s="1"/>
  <c r="N38" i="19"/>
  <c r="O37" i="16"/>
  <c r="N37" i="19"/>
  <c r="P37" i="16"/>
  <c r="S37" i="16" s="1"/>
  <c r="Q37" i="16"/>
  <c r="T37" i="16" s="1"/>
  <c r="P33" i="16"/>
  <c r="S33" i="16" s="1"/>
  <c r="Q33" i="16"/>
  <c r="T33" i="16" s="1"/>
  <c r="O33" i="16"/>
  <c r="N33" i="19"/>
  <c r="P31" i="16"/>
  <c r="S31" i="16" s="1"/>
  <c r="Q31" i="16"/>
  <c r="T31" i="16" s="1"/>
  <c r="O31" i="16"/>
  <c r="N31" i="19"/>
  <c r="P30" i="16"/>
  <c r="S30" i="16" s="1"/>
  <c r="Q30" i="16"/>
  <c r="T30" i="16" s="1"/>
  <c r="O30" i="16"/>
  <c r="N30" i="19"/>
  <c r="P28" i="16"/>
  <c r="S28" i="16" s="1"/>
  <c r="Q28" i="16"/>
  <c r="T28" i="16" s="1"/>
  <c r="O28" i="16"/>
  <c r="N28" i="19"/>
  <c r="P29" i="16"/>
  <c r="S29" i="16" s="1"/>
  <c r="Q29" i="16"/>
  <c r="T29" i="16" s="1"/>
  <c r="O29" i="16"/>
  <c r="N29" i="19"/>
  <c r="P27" i="16"/>
  <c r="S27" i="16" s="1"/>
  <c r="Q27" i="16"/>
  <c r="T27" i="16" s="1"/>
  <c r="O27" i="16"/>
  <c r="N27" i="19"/>
  <c r="O26" i="16"/>
  <c r="N26" i="19"/>
  <c r="P26" i="16"/>
  <c r="S26" i="16" s="1"/>
  <c r="Q26" i="16"/>
  <c r="T26" i="16" s="1"/>
  <c r="O25" i="16"/>
  <c r="N25" i="19"/>
  <c r="P25" i="16"/>
  <c r="S25" i="16" s="1"/>
  <c r="Q25" i="16"/>
  <c r="T25" i="16" s="1"/>
  <c r="P24" i="16"/>
  <c r="S24" i="16" s="1"/>
  <c r="Q24" i="16"/>
  <c r="T24" i="16" s="1"/>
  <c r="O24" i="16"/>
  <c r="N24" i="19"/>
  <c r="O16" i="16"/>
  <c r="N16" i="19"/>
  <c r="P16" i="16"/>
  <c r="S16" i="16" s="1"/>
  <c r="Q16" i="16"/>
  <c r="T16" i="16" s="1"/>
  <c r="O14" i="16"/>
  <c r="N14" i="19"/>
  <c r="P14" i="16"/>
  <c r="S14" i="16" s="1"/>
  <c r="Q14" i="16"/>
  <c r="T14" i="16" s="1"/>
  <c r="O17" i="16"/>
  <c r="N17" i="19"/>
  <c r="P17" i="16"/>
  <c r="S17" i="16" s="1"/>
  <c r="Q17" i="16"/>
  <c r="T17" i="16" s="1"/>
  <c r="O15" i="16"/>
  <c r="N15" i="19"/>
  <c r="P15" i="16"/>
  <c r="S15" i="16" s="1"/>
  <c r="Q15" i="16"/>
  <c r="T15" i="16" s="1"/>
  <c r="P41" i="13"/>
  <c r="Q41" i="13"/>
  <c r="N41" i="16"/>
  <c r="O20" i="16"/>
  <c r="N20" i="19"/>
  <c r="P20" i="16"/>
  <c r="Q20" i="16"/>
  <c r="S20" i="13"/>
  <c r="P77" i="13"/>
  <c r="P78" i="13" s="1"/>
  <c r="T20" i="13"/>
  <c r="Q77" i="13"/>
  <c r="Q78" i="13" s="1"/>
  <c r="P28" i="24"/>
  <c r="R28" i="24" s="1"/>
  <c r="O28" i="24"/>
  <c r="Q28" i="24"/>
  <c r="S28" i="24" s="1"/>
  <c r="N28" i="27"/>
  <c r="N26" i="27"/>
  <c r="O26" i="24"/>
  <c r="P26" i="24"/>
  <c r="R26" i="24" s="1"/>
  <c r="Q26" i="24"/>
  <c r="S26" i="24" s="1"/>
  <c r="P11" i="31"/>
  <c r="R11" i="31" s="1"/>
  <c r="N11" i="34"/>
  <c r="Q11" i="31"/>
  <c r="S11" i="31" s="1"/>
  <c r="O11" i="31"/>
  <c r="N10" i="34"/>
  <c r="P10" i="31"/>
  <c r="R10" i="31" s="1"/>
  <c r="Q10" i="31"/>
  <c r="S10" i="31" s="1"/>
  <c r="O10" i="31"/>
  <c r="P9" i="31"/>
  <c r="R9" i="31" s="1"/>
  <c r="N9" i="34"/>
  <c r="Q9" i="31"/>
  <c r="S9" i="31" s="1"/>
  <c r="O9" i="31"/>
  <c r="N8" i="34"/>
  <c r="Q8" i="31"/>
  <c r="S8" i="31" s="1"/>
  <c r="P8" i="31"/>
  <c r="R8" i="31" s="1"/>
  <c r="O8" i="31"/>
  <c r="N8" i="22"/>
  <c r="Q8" i="18"/>
  <c r="T8" i="18" s="1"/>
  <c r="P8" i="18"/>
  <c r="S8" i="18" s="1"/>
  <c r="O8" i="18"/>
  <c r="N23" i="30"/>
  <c r="P23" i="26"/>
  <c r="S23" i="26" s="1"/>
  <c r="Q23" i="26"/>
  <c r="T23" i="26" s="1"/>
  <c r="O23" i="26"/>
  <c r="N21" i="30"/>
  <c r="P21" i="26"/>
  <c r="S21" i="26" s="1"/>
  <c r="O21" i="26"/>
  <c r="Q21" i="26"/>
  <c r="T21" i="26" s="1"/>
  <c r="P13" i="22"/>
  <c r="O13" i="22"/>
  <c r="Q13" i="22"/>
  <c r="N13" i="25"/>
  <c r="Q10" i="22"/>
  <c r="P10" i="22"/>
  <c r="O10" i="22"/>
  <c r="N10" i="25"/>
  <c r="T10" i="18"/>
  <c r="N18" i="30"/>
  <c r="Q18" i="26"/>
  <c r="T18" i="26" s="1"/>
  <c r="O18" i="26"/>
  <c r="P18" i="26"/>
  <c r="S18" i="26" s="1"/>
  <c r="N36" i="30"/>
  <c r="O36" i="26"/>
  <c r="P36" i="26"/>
  <c r="S36" i="26" s="1"/>
  <c r="Q36" i="26"/>
  <c r="T36" i="26" s="1"/>
  <c r="N22" i="30"/>
  <c r="Q22" i="26"/>
  <c r="T22" i="26" s="1"/>
  <c r="P22" i="26"/>
  <c r="S22" i="26" s="1"/>
  <c r="O22" i="26"/>
  <c r="F14" i="33"/>
  <c r="F42" i="30"/>
  <c r="Q32" i="14"/>
  <c r="T32" i="14" s="1"/>
  <c r="T31" i="14"/>
  <c r="P9" i="22"/>
  <c r="S9" i="22" s="1"/>
  <c r="Q9" i="22"/>
  <c r="T9" i="22" s="1"/>
  <c r="O9" i="22"/>
  <c r="N9" i="25"/>
  <c r="T15" i="15"/>
  <c r="Q31" i="15"/>
  <c r="N19" i="30"/>
  <c r="Q19" i="26"/>
  <c r="T19" i="26" s="1"/>
  <c r="P19" i="26"/>
  <c r="S19" i="26" s="1"/>
  <c r="O19" i="26"/>
  <c r="S10" i="18"/>
  <c r="N39" i="30"/>
  <c r="P39" i="26"/>
  <c r="S39" i="26" s="1"/>
  <c r="Q39" i="26"/>
  <c r="T39" i="26" s="1"/>
  <c r="O39" i="26"/>
  <c r="N34" i="30"/>
  <c r="O34" i="26"/>
  <c r="Q34" i="26"/>
  <c r="T34" i="26" s="1"/>
  <c r="P34" i="26"/>
  <c r="S34" i="26" s="1"/>
  <c r="P34" i="15" l="1"/>
  <c r="P35" i="15" s="1"/>
  <c r="O11" i="18"/>
  <c r="N11" i="22"/>
  <c r="Q11" i="18"/>
  <c r="P11" i="18"/>
  <c r="S11" i="18" s="1"/>
  <c r="T11" i="15"/>
  <c r="Q34" i="15"/>
  <c r="T34" i="14"/>
  <c r="Q35" i="14"/>
  <c r="T35" i="14" s="1"/>
  <c r="Q14" i="22"/>
  <c r="P14" i="22"/>
  <c r="O14" i="22"/>
  <c r="N14" i="25"/>
  <c r="P34" i="18"/>
  <c r="P35" i="18" s="1"/>
  <c r="S14" i="18"/>
  <c r="S13" i="18"/>
  <c r="T14" i="18"/>
  <c r="T13" i="18"/>
  <c r="O32" i="19"/>
  <c r="Q32" i="19"/>
  <c r="T32" i="19" s="1"/>
  <c r="N32" i="23"/>
  <c r="P32" i="19"/>
  <c r="S32" i="19" s="1"/>
  <c r="Q12" i="18"/>
  <c r="O12" i="18"/>
  <c r="O15" i="18" s="1"/>
  <c r="N12" i="22"/>
  <c r="P12" i="18"/>
  <c r="S12" i="15"/>
  <c r="P48" i="15"/>
  <c r="P49" i="15" s="1"/>
  <c r="Q49" i="14"/>
  <c r="T49" i="14" s="1"/>
  <c r="T48" i="14"/>
  <c r="T12" i="15"/>
  <c r="Q48" i="15"/>
  <c r="N15" i="18"/>
  <c r="N27" i="24"/>
  <c r="Q27" i="20"/>
  <c r="S27" i="20" s="1"/>
  <c r="P27" i="20"/>
  <c r="R27" i="20" s="1"/>
  <c r="O27" i="20"/>
  <c r="P29" i="20"/>
  <c r="N29" i="24"/>
  <c r="O29" i="20"/>
  <c r="Q29" i="20"/>
  <c r="P30" i="20"/>
  <c r="R30" i="20" s="1"/>
  <c r="N30" i="24"/>
  <c r="O30" i="20"/>
  <c r="Q30" i="20"/>
  <c r="S30" i="20" s="1"/>
  <c r="Q20" i="20"/>
  <c r="S20" i="20" s="1"/>
  <c r="P20" i="20"/>
  <c r="R20" i="20" s="1"/>
  <c r="N20" i="24"/>
  <c r="O20" i="20"/>
  <c r="N13" i="24"/>
  <c r="O13" i="20"/>
  <c r="Q13" i="20"/>
  <c r="S13" i="20" s="1"/>
  <c r="P13" i="20"/>
  <c r="R13" i="20" s="1"/>
  <c r="P25" i="20"/>
  <c r="N25" i="24"/>
  <c r="Q25" i="20"/>
  <c r="O25" i="20"/>
  <c r="S12" i="17"/>
  <c r="Q59" i="17"/>
  <c r="Q61" i="17" s="1"/>
  <c r="P12" i="20"/>
  <c r="Q12" i="20"/>
  <c r="N12" i="24"/>
  <c r="O12" i="20"/>
  <c r="N31" i="20"/>
  <c r="N18" i="24"/>
  <c r="Q18" i="20"/>
  <c r="S18" i="20" s="1"/>
  <c r="P18" i="20"/>
  <c r="R18" i="20" s="1"/>
  <c r="O18" i="20"/>
  <c r="N19" i="24"/>
  <c r="P19" i="20"/>
  <c r="R19" i="20" s="1"/>
  <c r="Q19" i="20"/>
  <c r="S19" i="20" s="1"/>
  <c r="O19" i="20"/>
  <c r="P24" i="20"/>
  <c r="R24" i="20" s="1"/>
  <c r="O24" i="20"/>
  <c r="Q24" i="20"/>
  <c r="S24" i="20" s="1"/>
  <c r="N24" i="24"/>
  <c r="N14" i="24"/>
  <c r="Q14" i="20"/>
  <c r="S14" i="20" s="1"/>
  <c r="P14" i="20"/>
  <c r="R14" i="20" s="1"/>
  <c r="O14" i="20"/>
  <c r="P16" i="20"/>
  <c r="R16" i="20" s="1"/>
  <c r="N16" i="24"/>
  <c r="Q16" i="20"/>
  <c r="S16" i="20" s="1"/>
  <c r="O16" i="20"/>
  <c r="N17" i="24"/>
  <c r="P17" i="20"/>
  <c r="R17" i="20" s="1"/>
  <c r="Q17" i="20"/>
  <c r="S17" i="20" s="1"/>
  <c r="O17" i="20"/>
  <c r="Q15" i="20"/>
  <c r="S15" i="20" s="1"/>
  <c r="O15" i="20"/>
  <c r="P15" i="20"/>
  <c r="R15" i="20" s="1"/>
  <c r="N15" i="24"/>
  <c r="O22" i="20"/>
  <c r="Q22" i="20"/>
  <c r="S22" i="20" s="1"/>
  <c r="P22" i="20"/>
  <c r="R22" i="20" s="1"/>
  <c r="N22" i="24"/>
  <c r="Q21" i="20"/>
  <c r="N21" i="24"/>
  <c r="O21" i="20"/>
  <c r="P21" i="20"/>
  <c r="P31" i="17"/>
  <c r="R31" i="17" s="1"/>
  <c r="Q31" i="17"/>
  <c r="R12" i="17"/>
  <c r="P59" i="17"/>
  <c r="P61" i="17" s="1"/>
  <c r="N23" i="24"/>
  <c r="O23" i="20"/>
  <c r="Q23" i="20"/>
  <c r="S23" i="20" s="1"/>
  <c r="P23" i="20"/>
  <c r="R23" i="20" s="1"/>
  <c r="O31" i="17"/>
  <c r="F21" i="24"/>
  <c r="F31" i="20"/>
  <c r="O41" i="16"/>
  <c r="Q35" i="19"/>
  <c r="T35" i="19" s="1"/>
  <c r="N35" i="23"/>
  <c r="P35" i="19"/>
  <c r="S35" i="19" s="1"/>
  <c r="O35" i="19"/>
  <c r="N38" i="23"/>
  <c r="O38" i="19"/>
  <c r="P38" i="19"/>
  <c r="S38" i="19" s="1"/>
  <c r="Q38" i="19"/>
  <c r="T38" i="19" s="1"/>
  <c r="N37" i="23"/>
  <c r="P37" i="19"/>
  <c r="S37" i="19" s="1"/>
  <c r="Q37" i="19"/>
  <c r="T37" i="19" s="1"/>
  <c r="O37" i="19"/>
  <c r="Q31" i="19"/>
  <c r="T31" i="19" s="1"/>
  <c r="O31" i="19"/>
  <c r="P31" i="19"/>
  <c r="S31" i="19" s="1"/>
  <c r="N31" i="23"/>
  <c r="O33" i="19"/>
  <c r="Q33" i="19"/>
  <c r="T33" i="19" s="1"/>
  <c r="P33" i="19"/>
  <c r="S33" i="19" s="1"/>
  <c r="N33" i="23"/>
  <c r="Q27" i="19"/>
  <c r="T27" i="19" s="1"/>
  <c r="O27" i="19"/>
  <c r="P27" i="19"/>
  <c r="S27" i="19" s="1"/>
  <c r="N27" i="23"/>
  <c r="Q29" i="19"/>
  <c r="T29" i="19" s="1"/>
  <c r="O29" i="19"/>
  <c r="P29" i="19"/>
  <c r="S29" i="19" s="1"/>
  <c r="N29" i="23"/>
  <c r="Q28" i="19"/>
  <c r="T28" i="19" s="1"/>
  <c r="P28" i="19"/>
  <c r="S28" i="19" s="1"/>
  <c r="O28" i="19"/>
  <c r="N28" i="23"/>
  <c r="Q30" i="19"/>
  <c r="T30" i="19" s="1"/>
  <c r="P30" i="19"/>
  <c r="S30" i="19" s="1"/>
  <c r="O30" i="19"/>
  <c r="N30" i="23"/>
  <c r="N26" i="23"/>
  <c r="P26" i="19"/>
  <c r="S26" i="19" s="1"/>
  <c r="O26" i="19"/>
  <c r="Q26" i="19"/>
  <c r="T26" i="19" s="1"/>
  <c r="N25" i="23"/>
  <c r="P25" i="19"/>
  <c r="S25" i="19" s="1"/>
  <c r="Q25" i="19"/>
  <c r="T25" i="19" s="1"/>
  <c r="O25" i="19"/>
  <c r="N24" i="23"/>
  <c r="O24" i="19"/>
  <c r="P24" i="19"/>
  <c r="S24" i="19" s="1"/>
  <c r="Q24" i="19"/>
  <c r="T24" i="19" s="1"/>
  <c r="N15" i="23"/>
  <c r="Q15" i="19"/>
  <c r="T15" i="19" s="1"/>
  <c r="O15" i="19"/>
  <c r="P15" i="19"/>
  <c r="S15" i="19" s="1"/>
  <c r="P17" i="19"/>
  <c r="S17" i="19" s="1"/>
  <c r="O17" i="19"/>
  <c r="N17" i="23"/>
  <c r="Q17" i="19"/>
  <c r="T17" i="19" s="1"/>
  <c r="Q14" i="19"/>
  <c r="T14" i="19" s="1"/>
  <c r="P14" i="19"/>
  <c r="S14" i="19" s="1"/>
  <c r="N14" i="23"/>
  <c r="O14" i="19"/>
  <c r="O16" i="19"/>
  <c r="Q16" i="19"/>
  <c r="T16" i="19" s="1"/>
  <c r="N16" i="23"/>
  <c r="P16" i="19"/>
  <c r="S16" i="19" s="1"/>
  <c r="T20" i="16"/>
  <c r="Q77" i="16"/>
  <c r="Q78" i="16" s="1"/>
  <c r="P20" i="19"/>
  <c r="O20" i="19"/>
  <c r="N42" i="19"/>
  <c r="N20" i="23"/>
  <c r="Q20" i="19"/>
  <c r="P41" i="16"/>
  <c r="Q41" i="16"/>
  <c r="S20" i="16"/>
  <c r="P77" i="16"/>
  <c r="P78" i="16" s="1"/>
  <c r="N8" i="37"/>
  <c r="P8" i="34"/>
  <c r="R8" i="34" s="1"/>
  <c r="Q8" i="34"/>
  <c r="S8" i="34" s="1"/>
  <c r="O8" i="34"/>
  <c r="N9" i="37"/>
  <c r="P9" i="34"/>
  <c r="R9" i="34" s="1"/>
  <c r="Q9" i="34"/>
  <c r="S9" i="34" s="1"/>
  <c r="O9" i="34"/>
  <c r="N10" i="37"/>
  <c r="Q10" i="34"/>
  <c r="S10" i="34" s="1"/>
  <c r="O10" i="34"/>
  <c r="P10" i="34"/>
  <c r="R10" i="34" s="1"/>
  <c r="N11" i="37"/>
  <c r="P11" i="34"/>
  <c r="R11" i="34" s="1"/>
  <c r="Q11" i="34"/>
  <c r="S11" i="34" s="1"/>
  <c r="O11" i="34"/>
  <c r="N26" i="31"/>
  <c r="P26" i="27"/>
  <c r="R26" i="27" s="1"/>
  <c r="O26" i="27"/>
  <c r="Q26" i="27"/>
  <c r="S26" i="27" s="1"/>
  <c r="N28" i="31"/>
  <c r="P28" i="27"/>
  <c r="R28" i="27" s="1"/>
  <c r="O28" i="27"/>
  <c r="Q28" i="27"/>
  <c r="S28" i="27" s="1"/>
  <c r="N8" i="25"/>
  <c r="O8" i="22"/>
  <c r="Q8" i="22"/>
  <c r="T8" i="22" s="1"/>
  <c r="P8" i="22"/>
  <c r="S8" i="22" s="1"/>
  <c r="N34" i="33"/>
  <c r="P34" i="30"/>
  <c r="S34" i="30" s="1"/>
  <c r="Q34" i="30"/>
  <c r="T34" i="30" s="1"/>
  <c r="O34" i="30"/>
  <c r="N39" i="33"/>
  <c r="P39" i="30"/>
  <c r="S39" i="30" s="1"/>
  <c r="Q39" i="30"/>
  <c r="T39" i="30" s="1"/>
  <c r="O39" i="30"/>
  <c r="Q32" i="15"/>
  <c r="T32" i="15" s="1"/>
  <c r="T31" i="15"/>
  <c r="N9" i="29"/>
  <c r="Q9" i="25"/>
  <c r="T9" i="25" s="1"/>
  <c r="P9" i="25"/>
  <c r="S9" i="25" s="1"/>
  <c r="O9" i="25"/>
  <c r="N10" i="29"/>
  <c r="P10" i="25"/>
  <c r="Q10" i="25"/>
  <c r="O10" i="25"/>
  <c r="S10" i="22"/>
  <c r="N13" i="29"/>
  <c r="Q13" i="25"/>
  <c r="P13" i="25"/>
  <c r="O13" i="25"/>
  <c r="Q21" i="30"/>
  <c r="T21" i="30" s="1"/>
  <c r="N21" i="33"/>
  <c r="O21" i="30"/>
  <c r="P21" i="30"/>
  <c r="S21" i="30" s="1"/>
  <c r="Q23" i="30"/>
  <c r="T23" i="30" s="1"/>
  <c r="N23" i="33"/>
  <c r="O23" i="30"/>
  <c r="P23" i="30"/>
  <c r="S23" i="30" s="1"/>
  <c r="Q19" i="30"/>
  <c r="T19" i="30" s="1"/>
  <c r="N19" i="33"/>
  <c r="P19" i="30"/>
  <c r="S19" i="30" s="1"/>
  <c r="O19" i="30"/>
  <c r="F14" i="36"/>
  <c r="F42" i="33"/>
  <c r="P22" i="30"/>
  <c r="S22" i="30" s="1"/>
  <c r="N22" i="33"/>
  <c r="O22" i="30"/>
  <c r="Q22" i="30"/>
  <c r="T22" i="30" s="1"/>
  <c r="Q36" i="30"/>
  <c r="T36" i="30" s="1"/>
  <c r="N36" i="33"/>
  <c r="P36" i="30"/>
  <c r="S36" i="30" s="1"/>
  <c r="O36" i="30"/>
  <c r="P18" i="30"/>
  <c r="S18" i="30" s="1"/>
  <c r="N18" i="33"/>
  <c r="Q18" i="30"/>
  <c r="T18" i="30" s="1"/>
  <c r="O18" i="30"/>
  <c r="T10" i="22"/>
  <c r="Q35" i="15" l="1"/>
  <c r="T35" i="15" s="1"/>
  <c r="T34" i="15"/>
  <c r="T11" i="18"/>
  <c r="Q34" i="18"/>
  <c r="Q11" i="22"/>
  <c r="T11" i="22" s="1"/>
  <c r="O11" i="22"/>
  <c r="P11" i="22"/>
  <c r="S11" i="22" s="1"/>
  <c r="N11" i="25"/>
  <c r="N14" i="29"/>
  <c r="P14" i="25"/>
  <c r="O14" i="25"/>
  <c r="Q14" i="25"/>
  <c r="S14" i="22"/>
  <c r="P34" i="22"/>
  <c r="P35" i="22" s="1"/>
  <c r="S13" i="22"/>
  <c r="T14" i="22"/>
  <c r="T13" i="22"/>
  <c r="Q34" i="22"/>
  <c r="O32" i="23"/>
  <c r="Q32" i="23"/>
  <c r="T32" i="23" s="1"/>
  <c r="P32" i="23"/>
  <c r="S32" i="23" s="1"/>
  <c r="N32" i="26"/>
  <c r="O42" i="19"/>
  <c r="Q15" i="18"/>
  <c r="P15" i="18"/>
  <c r="P31" i="18" s="1"/>
  <c r="P32" i="18" s="1"/>
  <c r="Q49" i="15"/>
  <c r="T49" i="15" s="1"/>
  <c r="T48" i="15"/>
  <c r="S12" i="18"/>
  <c r="P48" i="18"/>
  <c r="P49" i="18" s="1"/>
  <c r="N15" i="22"/>
  <c r="P12" i="22"/>
  <c r="O12" i="22"/>
  <c r="Q12" i="22"/>
  <c r="N12" i="25"/>
  <c r="T12" i="18"/>
  <c r="Q48" i="18"/>
  <c r="N29" i="27"/>
  <c r="P29" i="24"/>
  <c r="O29" i="24"/>
  <c r="Q29" i="24"/>
  <c r="Q27" i="24"/>
  <c r="S27" i="24" s="1"/>
  <c r="O27" i="24"/>
  <c r="P27" i="24"/>
  <c r="R27" i="24" s="1"/>
  <c r="N27" i="27"/>
  <c r="O30" i="24"/>
  <c r="P30" i="24"/>
  <c r="R30" i="24" s="1"/>
  <c r="Q30" i="24"/>
  <c r="S30" i="24" s="1"/>
  <c r="N30" i="27"/>
  <c r="N23" i="27"/>
  <c r="Q23" i="24"/>
  <c r="S23" i="24" s="1"/>
  <c r="P23" i="24"/>
  <c r="R23" i="24" s="1"/>
  <c r="O23" i="24"/>
  <c r="Q17" i="24"/>
  <c r="S17" i="24" s="1"/>
  <c r="O17" i="24"/>
  <c r="P17" i="24"/>
  <c r="R17" i="24" s="1"/>
  <c r="N17" i="27"/>
  <c r="P14" i="24"/>
  <c r="R14" i="24" s="1"/>
  <c r="Q14" i="24"/>
  <c r="S14" i="24" s="1"/>
  <c r="O14" i="24"/>
  <c r="N14" i="27"/>
  <c r="Q19" i="24"/>
  <c r="S19" i="24" s="1"/>
  <c r="N19" i="27"/>
  <c r="P19" i="24"/>
  <c r="R19" i="24" s="1"/>
  <c r="O19" i="24"/>
  <c r="Q18" i="24"/>
  <c r="S18" i="24" s="1"/>
  <c r="N18" i="27"/>
  <c r="P18" i="24"/>
  <c r="R18" i="24" s="1"/>
  <c r="O18" i="24"/>
  <c r="S12" i="20"/>
  <c r="Q59" i="20"/>
  <c r="Q61" i="20" s="1"/>
  <c r="O25" i="24"/>
  <c r="P25" i="24"/>
  <c r="Q25" i="24"/>
  <c r="N25" i="27"/>
  <c r="O21" i="24"/>
  <c r="P21" i="24"/>
  <c r="Q21" i="24"/>
  <c r="N21" i="27"/>
  <c r="O22" i="24"/>
  <c r="N22" i="27"/>
  <c r="Q22" i="24"/>
  <c r="S22" i="24" s="1"/>
  <c r="P22" i="24"/>
  <c r="R22" i="24" s="1"/>
  <c r="P15" i="24"/>
  <c r="R15" i="24" s="1"/>
  <c r="O15" i="24"/>
  <c r="Q15" i="24"/>
  <c r="S15" i="24" s="1"/>
  <c r="N15" i="27"/>
  <c r="Q16" i="24"/>
  <c r="S16" i="24" s="1"/>
  <c r="O16" i="24"/>
  <c r="P16" i="24"/>
  <c r="R16" i="24" s="1"/>
  <c r="N16" i="27"/>
  <c r="N24" i="27"/>
  <c r="P24" i="24"/>
  <c r="R24" i="24" s="1"/>
  <c r="Q24" i="24"/>
  <c r="S24" i="24" s="1"/>
  <c r="O24" i="24"/>
  <c r="P31" i="20"/>
  <c r="R31" i="20" s="1"/>
  <c r="Q31" i="20"/>
  <c r="P12" i="24"/>
  <c r="N12" i="27"/>
  <c r="O12" i="24"/>
  <c r="Q12" i="24"/>
  <c r="N31" i="24"/>
  <c r="R12" i="20"/>
  <c r="P59" i="20"/>
  <c r="P61" i="20" s="1"/>
  <c r="N13" i="27"/>
  <c r="Q13" i="24"/>
  <c r="S13" i="24" s="1"/>
  <c r="O13" i="24"/>
  <c r="P13" i="24"/>
  <c r="R13" i="24" s="1"/>
  <c r="O20" i="24"/>
  <c r="Q20" i="24"/>
  <c r="S20" i="24" s="1"/>
  <c r="P20" i="24"/>
  <c r="R20" i="24" s="1"/>
  <c r="N20" i="27"/>
  <c r="O31" i="20"/>
  <c r="F21" i="27"/>
  <c r="F21" i="31" s="1"/>
  <c r="F21" i="34" s="1"/>
  <c r="F21" i="37" s="1"/>
  <c r="F21" i="40" s="1"/>
  <c r="F21" i="45" s="1"/>
  <c r="F31" i="24"/>
  <c r="Q35" i="23"/>
  <c r="T35" i="23" s="1"/>
  <c r="N35" i="26"/>
  <c r="P35" i="23"/>
  <c r="S35" i="23" s="1"/>
  <c r="O35" i="23"/>
  <c r="P38" i="23"/>
  <c r="S38" i="23" s="1"/>
  <c r="O38" i="23"/>
  <c r="Q38" i="23"/>
  <c r="T38" i="23" s="1"/>
  <c r="N38" i="26"/>
  <c r="O37" i="23"/>
  <c r="Q37" i="23"/>
  <c r="T37" i="23" s="1"/>
  <c r="P37" i="23"/>
  <c r="S37" i="23" s="1"/>
  <c r="N37" i="26"/>
  <c r="P33" i="23"/>
  <c r="S33" i="23" s="1"/>
  <c r="O33" i="23"/>
  <c r="Q33" i="23"/>
  <c r="T33" i="23" s="1"/>
  <c r="N33" i="26"/>
  <c r="Q31" i="23"/>
  <c r="T31" i="23" s="1"/>
  <c r="O31" i="23"/>
  <c r="P31" i="23"/>
  <c r="S31" i="23" s="1"/>
  <c r="N31" i="26"/>
  <c r="Q30" i="23"/>
  <c r="T30" i="23" s="1"/>
  <c r="P30" i="23"/>
  <c r="S30" i="23" s="1"/>
  <c r="O30" i="23"/>
  <c r="N30" i="26"/>
  <c r="Q28" i="23"/>
  <c r="T28" i="23" s="1"/>
  <c r="P28" i="23"/>
  <c r="S28" i="23" s="1"/>
  <c r="O28" i="23"/>
  <c r="N28" i="26"/>
  <c r="P29" i="23"/>
  <c r="S29" i="23" s="1"/>
  <c r="Q29" i="23"/>
  <c r="T29" i="23" s="1"/>
  <c r="O29" i="23"/>
  <c r="N29" i="26"/>
  <c r="Q27" i="23"/>
  <c r="T27" i="23" s="1"/>
  <c r="O27" i="23"/>
  <c r="P27" i="23"/>
  <c r="S27" i="23" s="1"/>
  <c r="N27" i="26"/>
  <c r="Q26" i="23"/>
  <c r="T26" i="23" s="1"/>
  <c r="N26" i="26"/>
  <c r="P26" i="23"/>
  <c r="S26" i="23" s="1"/>
  <c r="O26" i="23"/>
  <c r="Q25" i="23"/>
  <c r="T25" i="23" s="1"/>
  <c r="O25" i="23"/>
  <c r="P25" i="23"/>
  <c r="S25" i="23" s="1"/>
  <c r="N25" i="26"/>
  <c r="Q24" i="23"/>
  <c r="T24" i="23" s="1"/>
  <c r="N24" i="26"/>
  <c r="P24" i="23"/>
  <c r="S24" i="23" s="1"/>
  <c r="O24" i="23"/>
  <c r="O16" i="23"/>
  <c r="Q16" i="23"/>
  <c r="T16" i="23" s="1"/>
  <c r="P16" i="23"/>
  <c r="S16" i="23" s="1"/>
  <c r="N16" i="26"/>
  <c r="P14" i="23"/>
  <c r="S14" i="23" s="1"/>
  <c r="Q14" i="23"/>
  <c r="T14" i="23" s="1"/>
  <c r="O14" i="23"/>
  <c r="N14" i="26"/>
  <c r="Q17" i="23"/>
  <c r="T17" i="23" s="1"/>
  <c r="O17" i="23"/>
  <c r="P17" i="23"/>
  <c r="S17" i="23" s="1"/>
  <c r="N17" i="26"/>
  <c r="Q15" i="23"/>
  <c r="T15" i="23" s="1"/>
  <c r="O15" i="23"/>
  <c r="P15" i="23"/>
  <c r="S15" i="23" s="1"/>
  <c r="N15" i="26"/>
  <c r="T20" i="19"/>
  <c r="Q78" i="19"/>
  <c r="Q79" i="19" s="1"/>
  <c r="Q42" i="19"/>
  <c r="P42" i="19"/>
  <c r="S20" i="19"/>
  <c r="P78" i="19"/>
  <c r="P79" i="19" s="1"/>
  <c r="P20" i="23"/>
  <c r="O20" i="23"/>
  <c r="Q20" i="23"/>
  <c r="N20" i="26"/>
  <c r="N42" i="23"/>
  <c r="N28" i="34"/>
  <c r="Q28" i="31"/>
  <c r="S28" i="31" s="1"/>
  <c r="O28" i="31"/>
  <c r="P28" i="31"/>
  <c r="R28" i="31" s="1"/>
  <c r="N26" i="34"/>
  <c r="O26" i="31"/>
  <c r="Q26" i="31"/>
  <c r="S26" i="31" s="1"/>
  <c r="P26" i="31"/>
  <c r="R26" i="31" s="1"/>
  <c r="N11" i="40"/>
  <c r="Q11" i="37"/>
  <c r="S11" i="37" s="1"/>
  <c r="O11" i="37"/>
  <c r="P11" i="37"/>
  <c r="R11" i="37" s="1"/>
  <c r="N10" i="40"/>
  <c r="O10" i="37"/>
  <c r="P10" i="37"/>
  <c r="R10" i="37" s="1"/>
  <c r="Q10" i="37"/>
  <c r="S10" i="37" s="1"/>
  <c r="N9" i="40"/>
  <c r="Q9" i="37"/>
  <c r="S9" i="37" s="1"/>
  <c r="O9" i="37"/>
  <c r="P9" i="37"/>
  <c r="R9" i="37" s="1"/>
  <c r="Q8" i="37"/>
  <c r="S8" i="37" s="1"/>
  <c r="N8" i="40"/>
  <c r="P8" i="37"/>
  <c r="R8" i="37" s="1"/>
  <c r="O8" i="37"/>
  <c r="N8" i="29"/>
  <c r="O8" i="25"/>
  <c r="Q8" i="25"/>
  <c r="T8" i="25" s="1"/>
  <c r="P8" i="25"/>
  <c r="S8" i="25" s="1"/>
  <c r="N36" i="36"/>
  <c r="Q36" i="33"/>
  <c r="T36" i="33" s="1"/>
  <c r="O36" i="33"/>
  <c r="P36" i="33"/>
  <c r="S36" i="33" s="1"/>
  <c r="O22" i="33"/>
  <c r="N22" i="36"/>
  <c r="Q22" i="33"/>
  <c r="T22" i="33" s="1"/>
  <c r="P22" i="33"/>
  <c r="S22" i="33" s="1"/>
  <c r="Q19" i="33"/>
  <c r="T19" i="33" s="1"/>
  <c r="N19" i="36"/>
  <c r="P19" i="33"/>
  <c r="S19" i="33" s="1"/>
  <c r="O19" i="33"/>
  <c r="N13" i="32"/>
  <c r="P13" i="29"/>
  <c r="O13" i="29"/>
  <c r="Q13" i="29"/>
  <c r="T10" i="25"/>
  <c r="Q10" i="29"/>
  <c r="N10" i="32"/>
  <c r="O10" i="29"/>
  <c r="P10" i="29"/>
  <c r="O39" i="33"/>
  <c r="N39" i="36"/>
  <c r="Q39" i="33"/>
  <c r="T39" i="33" s="1"/>
  <c r="P39" i="33"/>
  <c r="S39" i="33" s="1"/>
  <c r="N34" i="36"/>
  <c r="Q34" i="33"/>
  <c r="T34" i="33" s="1"/>
  <c r="O34" i="33"/>
  <c r="P34" i="33"/>
  <c r="S34" i="33" s="1"/>
  <c r="O18" i="33"/>
  <c r="N18" i="36"/>
  <c r="Q18" i="33"/>
  <c r="T18" i="33" s="1"/>
  <c r="P18" i="33"/>
  <c r="S18" i="33" s="1"/>
  <c r="F14" i="39"/>
  <c r="F14" i="44" s="1"/>
  <c r="F42" i="36"/>
  <c r="Q23" i="33"/>
  <c r="T23" i="33" s="1"/>
  <c r="N23" i="36"/>
  <c r="P23" i="33"/>
  <c r="S23" i="33" s="1"/>
  <c r="O23" i="33"/>
  <c r="N21" i="36"/>
  <c r="O21" i="33"/>
  <c r="Q21" i="33"/>
  <c r="T21" i="33" s="1"/>
  <c r="P21" i="33"/>
  <c r="S21" i="33" s="1"/>
  <c r="S10" i="25"/>
  <c r="N9" i="32"/>
  <c r="Q9" i="29"/>
  <c r="T9" i="29" s="1"/>
  <c r="P9" i="29"/>
  <c r="S9" i="29" s="1"/>
  <c r="O9" i="29"/>
  <c r="O15" i="22" l="1"/>
  <c r="N11" i="29"/>
  <c r="P11" i="25"/>
  <c r="Q11" i="25"/>
  <c r="T11" i="25" s="1"/>
  <c r="O11" i="25"/>
  <c r="Q35" i="18"/>
  <c r="T35" i="18" s="1"/>
  <c r="T34" i="18"/>
  <c r="Q35" i="22"/>
  <c r="T35" i="22" s="1"/>
  <c r="T34" i="22"/>
  <c r="T14" i="25"/>
  <c r="T13" i="25"/>
  <c r="S14" i="25"/>
  <c r="S13" i="25"/>
  <c r="P14" i="29"/>
  <c r="O14" i="29"/>
  <c r="N14" i="32"/>
  <c r="Q14" i="29"/>
  <c r="Q34" i="25"/>
  <c r="Q32" i="26"/>
  <c r="T32" i="26" s="1"/>
  <c r="O32" i="26"/>
  <c r="N32" i="30"/>
  <c r="P32" i="26"/>
  <c r="S32" i="26" s="1"/>
  <c r="T12" i="22"/>
  <c r="Q48" i="22"/>
  <c r="S12" i="22"/>
  <c r="P48" i="22"/>
  <c r="P49" i="22" s="1"/>
  <c r="T48" i="18"/>
  <c r="Q49" i="18"/>
  <c r="T49" i="18" s="1"/>
  <c r="P12" i="25"/>
  <c r="Q12" i="25"/>
  <c r="N15" i="25"/>
  <c r="N12" i="29"/>
  <c r="O12" i="25"/>
  <c r="O15" i="25" s="1"/>
  <c r="P15" i="22"/>
  <c r="P31" i="22" s="1"/>
  <c r="P32" i="22" s="1"/>
  <c r="Q15" i="22"/>
  <c r="Q31" i="18"/>
  <c r="T15" i="18"/>
  <c r="P27" i="27"/>
  <c r="R27" i="27" s="1"/>
  <c r="Q27" i="27"/>
  <c r="S27" i="27" s="1"/>
  <c r="N27" i="31"/>
  <c r="O27" i="27"/>
  <c r="N29" i="31"/>
  <c r="O29" i="27"/>
  <c r="P29" i="27"/>
  <c r="Q29" i="27"/>
  <c r="Q30" i="27"/>
  <c r="S30" i="27" s="1"/>
  <c r="P30" i="27"/>
  <c r="R30" i="27" s="1"/>
  <c r="N30" i="31"/>
  <c r="O30" i="27"/>
  <c r="N13" i="31"/>
  <c r="Q13" i="27"/>
  <c r="S13" i="27" s="1"/>
  <c r="P13" i="27"/>
  <c r="R13" i="27" s="1"/>
  <c r="O13" i="27"/>
  <c r="S12" i="24"/>
  <c r="Q59" i="24"/>
  <c r="Q61" i="24" s="1"/>
  <c r="N12" i="31"/>
  <c r="P12" i="27"/>
  <c r="Q12" i="27"/>
  <c r="O12" i="27"/>
  <c r="Q16" i="27"/>
  <c r="S16" i="27" s="1"/>
  <c r="O16" i="27"/>
  <c r="N16" i="31"/>
  <c r="P16" i="27"/>
  <c r="R16" i="27" s="1"/>
  <c r="N15" i="31"/>
  <c r="O15" i="27"/>
  <c r="P15" i="27"/>
  <c r="R15" i="27" s="1"/>
  <c r="Q15" i="27"/>
  <c r="S15" i="27" s="1"/>
  <c r="P22" i="27"/>
  <c r="R22" i="27" s="1"/>
  <c r="O22" i="27"/>
  <c r="N22" i="31"/>
  <c r="Q22" i="27"/>
  <c r="S22" i="27" s="1"/>
  <c r="Q21" i="27"/>
  <c r="N21" i="31"/>
  <c r="O21" i="27"/>
  <c r="P21" i="27"/>
  <c r="N25" i="31"/>
  <c r="P25" i="27"/>
  <c r="Q25" i="27"/>
  <c r="O25" i="27"/>
  <c r="N18" i="31"/>
  <c r="P18" i="27"/>
  <c r="R18" i="27" s="1"/>
  <c r="Q18" i="27"/>
  <c r="S18" i="27" s="1"/>
  <c r="O18" i="27"/>
  <c r="N19" i="31"/>
  <c r="Q19" i="27"/>
  <c r="S19" i="27" s="1"/>
  <c r="P19" i="27"/>
  <c r="R19" i="27" s="1"/>
  <c r="O19" i="27"/>
  <c r="P14" i="27"/>
  <c r="R14" i="27" s="1"/>
  <c r="O14" i="27"/>
  <c r="N14" i="31"/>
  <c r="Q14" i="27"/>
  <c r="S14" i="27" s="1"/>
  <c r="O17" i="27"/>
  <c r="Q17" i="27"/>
  <c r="S17" i="27" s="1"/>
  <c r="N17" i="31"/>
  <c r="P17" i="27"/>
  <c r="R17" i="27" s="1"/>
  <c r="N20" i="31"/>
  <c r="P20" i="27"/>
  <c r="R20" i="27" s="1"/>
  <c r="Q20" i="27"/>
  <c r="S20" i="27" s="1"/>
  <c r="O20" i="27"/>
  <c r="Q31" i="24"/>
  <c r="P31" i="24"/>
  <c r="R31" i="24" s="1"/>
  <c r="N31" i="27"/>
  <c r="R12" i="24"/>
  <c r="P59" i="24"/>
  <c r="P61" i="24" s="1"/>
  <c r="N24" i="31"/>
  <c r="P24" i="27"/>
  <c r="R24" i="27" s="1"/>
  <c r="O24" i="27"/>
  <c r="Q24" i="27"/>
  <c r="S24" i="27" s="1"/>
  <c r="N23" i="31"/>
  <c r="O23" i="27"/>
  <c r="P23" i="27"/>
  <c r="R23" i="27" s="1"/>
  <c r="Q23" i="27"/>
  <c r="S23" i="27" s="1"/>
  <c r="O31" i="24"/>
  <c r="O42" i="23"/>
  <c r="N35" i="30"/>
  <c r="P35" i="26"/>
  <c r="S35" i="26" s="1"/>
  <c r="O35" i="26"/>
  <c r="Q35" i="26"/>
  <c r="T35" i="26" s="1"/>
  <c r="Q38" i="26"/>
  <c r="T38" i="26" s="1"/>
  <c r="P38" i="26"/>
  <c r="S38" i="26" s="1"/>
  <c r="N38" i="30"/>
  <c r="O38" i="26"/>
  <c r="O37" i="26"/>
  <c r="Q37" i="26"/>
  <c r="T37" i="26" s="1"/>
  <c r="N37" i="30"/>
  <c r="P37" i="26"/>
  <c r="S37" i="26" s="1"/>
  <c r="Q31" i="26"/>
  <c r="T31" i="26" s="1"/>
  <c r="P31" i="26"/>
  <c r="S31" i="26" s="1"/>
  <c r="N31" i="30"/>
  <c r="O31" i="26"/>
  <c r="Q33" i="26"/>
  <c r="T33" i="26" s="1"/>
  <c r="P33" i="26"/>
  <c r="S33" i="26" s="1"/>
  <c r="N33" i="30"/>
  <c r="O33" i="26"/>
  <c r="Q27" i="26"/>
  <c r="T27" i="26" s="1"/>
  <c r="P27" i="26"/>
  <c r="S27" i="26" s="1"/>
  <c r="O27" i="26"/>
  <c r="N27" i="30"/>
  <c r="O29" i="26"/>
  <c r="Q29" i="26"/>
  <c r="T29" i="26" s="1"/>
  <c r="N29" i="30"/>
  <c r="P29" i="26"/>
  <c r="S29" i="26" s="1"/>
  <c r="Q28" i="26"/>
  <c r="T28" i="26" s="1"/>
  <c r="O28" i="26"/>
  <c r="N28" i="30"/>
  <c r="P28" i="26"/>
  <c r="S28" i="26" s="1"/>
  <c r="O30" i="26"/>
  <c r="P30" i="26"/>
  <c r="S30" i="26" s="1"/>
  <c r="N30" i="30"/>
  <c r="Q30" i="26"/>
  <c r="T30" i="26" s="1"/>
  <c r="N26" i="30"/>
  <c r="O26" i="26"/>
  <c r="Q26" i="26"/>
  <c r="T26" i="26" s="1"/>
  <c r="P26" i="26"/>
  <c r="S26" i="26" s="1"/>
  <c r="N25" i="30"/>
  <c r="Q25" i="26"/>
  <c r="T25" i="26" s="1"/>
  <c r="O25" i="26"/>
  <c r="P25" i="26"/>
  <c r="S25" i="26" s="1"/>
  <c r="N24" i="30"/>
  <c r="O24" i="26"/>
  <c r="P24" i="26"/>
  <c r="S24" i="26" s="1"/>
  <c r="Q24" i="26"/>
  <c r="T24" i="26" s="1"/>
  <c r="O15" i="26"/>
  <c r="P15" i="26"/>
  <c r="S15" i="26" s="1"/>
  <c r="N15" i="30"/>
  <c r="Q15" i="26"/>
  <c r="T15" i="26" s="1"/>
  <c r="O17" i="26"/>
  <c r="Q17" i="26"/>
  <c r="T17" i="26" s="1"/>
  <c r="N17" i="30"/>
  <c r="P17" i="26"/>
  <c r="S17" i="26" s="1"/>
  <c r="N14" i="30"/>
  <c r="Q14" i="26"/>
  <c r="T14" i="26" s="1"/>
  <c r="P14" i="26"/>
  <c r="S14" i="26" s="1"/>
  <c r="O14" i="26"/>
  <c r="O16" i="26"/>
  <c r="P16" i="26"/>
  <c r="S16" i="26" s="1"/>
  <c r="N16" i="30"/>
  <c r="Q16" i="26"/>
  <c r="T16" i="26" s="1"/>
  <c r="Q42" i="23"/>
  <c r="P42" i="23"/>
  <c r="T20" i="23"/>
  <c r="Q78" i="23"/>
  <c r="Q79" i="23" s="1"/>
  <c r="S20" i="23"/>
  <c r="P78" i="23"/>
  <c r="P79" i="23" s="1"/>
  <c r="N42" i="26"/>
  <c r="N20" i="30"/>
  <c r="O20" i="26"/>
  <c r="P20" i="26"/>
  <c r="Q20" i="26"/>
  <c r="N8" i="45"/>
  <c r="P8" i="40"/>
  <c r="R8" i="40" s="1"/>
  <c r="Q8" i="40"/>
  <c r="S8" i="40" s="1"/>
  <c r="O8" i="40"/>
  <c r="N9" i="45"/>
  <c r="P9" i="40"/>
  <c r="R9" i="40" s="1"/>
  <c r="Q9" i="40"/>
  <c r="S9" i="40" s="1"/>
  <c r="O9" i="40"/>
  <c r="N10" i="45"/>
  <c r="Q10" i="40"/>
  <c r="S10" i="40" s="1"/>
  <c r="P10" i="40"/>
  <c r="R10" i="40" s="1"/>
  <c r="O10" i="40"/>
  <c r="N11" i="45"/>
  <c r="P11" i="40"/>
  <c r="R11" i="40" s="1"/>
  <c r="Q11" i="40"/>
  <c r="S11" i="40" s="1"/>
  <c r="O11" i="40"/>
  <c r="O26" i="34"/>
  <c r="P26" i="34"/>
  <c r="R26" i="34" s="1"/>
  <c r="N26" i="37"/>
  <c r="Q26" i="34"/>
  <c r="S26" i="34" s="1"/>
  <c r="P28" i="34"/>
  <c r="R28" i="34" s="1"/>
  <c r="O28" i="34"/>
  <c r="N28" i="37"/>
  <c r="Q28" i="34"/>
  <c r="S28" i="34" s="1"/>
  <c r="N8" i="32"/>
  <c r="P8" i="29"/>
  <c r="S8" i="29" s="1"/>
  <c r="O8" i="29"/>
  <c r="Q8" i="29"/>
  <c r="T8" i="29" s="1"/>
  <c r="N9" i="35"/>
  <c r="P9" i="32"/>
  <c r="S9" i="32" s="1"/>
  <c r="Q9" i="32"/>
  <c r="T9" i="32" s="1"/>
  <c r="O9" i="32"/>
  <c r="P21" i="39"/>
  <c r="P21" i="36"/>
  <c r="S21" i="36" s="1"/>
  <c r="Q21" i="36"/>
  <c r="T21" i="36" s="1"/>
  <c r="O21" i="36"/>
  <c r="O18" i="36"/>
  <c r="P18" i="39"/>
  <c r="P18" i="36"/>
  <c r="S18" i="36" s="1"/>
  <c r="Q18" i="36"/>
  <c r="T18" i="36" s="1"/>
  <c r="P34" i="39"/>
  <c r="Q34" i="36"/>
  <c r="T34" i="36" s="1"/>
  <c r="O34" i="36"/>
  <c r="P34" i="36"/>
  <c r="S34" i="36" s="1"/>
  <c r="S10" i="29"/>
  <c r="N10" i="35"/>
  <c r="O10" i="32"/>
  <c r="Q10" i="32"/>
  <c r="P10" i="32"/>
  <c r="P36" i="39"/>
  <c r="Q36" i="36"/>
  <c r="T36" i="36" s="1"/>
  <c r="P36" i="36"/>
  <c r="S36" i="36" s="1"/>
  <c r="O36" i="36"/>
  <c r="P23" i="39"/>
  <c r="Q23" i="36"/>
  <c r="T23" i="36" s="1"/>
  <c r="O23" i="36"/>
  <c r="P23" i="36"/>
  <c r="S23" i="36" s="1"/>
  <c r="Q39" i="36"/>
  <c r="T39" i="36" s="1"/>
  <c r="P39" i="39"/>
  <c r="P39" i="36"/>
  <c r="S39" i="36" s="1"/>
  <c r="O39" i="36"/>
  <c r="T10" i="29"/>
  <c r="N13" i="35"/>
  <c r="Q13" i="32"/>
  <c r="P13" i="32"/>
  <c r="O13" i="32"/>
  <c r="P19" i="39"/>
  <c r="Q19" i="36"/>
  <c r="T19" i="36" s="1"/>
  <c r="O19" i="36"/>
  <c r="P19" i="36"/>
  <c r="S19" i="36" s="1"/>
  <c r="P22" i="39"/>
  <c r="O22" i="36"/>
  <c r="P22" i="36"/>
  <c r="S22" i="36" s="1"/>
  <c r="Q22" i="36"/>
  <c r="T22" i="36" s="1"/>
  <c r="S11" i="25" l="1"/>
  <c r="P34" i="25"/>
  <c r="P35" i="25" s="1"/>
  <c r="N11" i="32"/>
  <c r="P11" i="29"/>
  <c r="Q11" i="29"/>
  <c r="T11" i="29" s="1"/>
  <c r="O11" i="29"/>
  <c r="Q34" i="29"/>
  <c r="T13" i="29"/>
  <c r="T14" i="29"/>
  <c r="Q35" i="25"/>
  <c r="T35" i="25" s="1"/>
  <c r="T34" i="25"/>
  <c r="Q14" i="32"/>
  <c r="P14" i="32"/>
  <c r="N14" i="35"/>
  <c r="O14" i="32"/>
  <c r="S13" i="29"/>
  <c r="S14" i="29"/>
  <c r="P32" i="30"/>
  <c r="S32" i="30" s="1"/>
  <c r="Q32" i="30"/>
  <c r="T32" i="30" s="1"/>
  <c r="N32" i="33"/>
  <c r="O32" i="30"/>
  <c r="Q32" i="18"/>
  <c r="T32" i="18" s="1"/>
  <c r="T31" i="18"/>
  <c r="N12" i="32"/>
  <c r="O12" i="29"/>
  <c r="N15" i="29"/>
  <c r="P12" i="29"/>
  <c r="Q12" i="29"/>
  <c r="T12" i="25"/>
  <c r="Q48" i="25"/>
  <c r="Q49" i="22"/>
  <c r="T49" i="22" s="1"/>
  <c r="T48" i="22"/>
  <c r="T15" i="22"/>
  <c r="Q31" i="22"/>
  <c r="Q15" i="25"/>
  <c r="P15" i="25"/>
  <c r="P31" i="25" s="1"/>
  <c r="P32" i="25" s="1"/>
  <c r="S12" i="25"/>
  <c r="P48" i="25"/>
  <c r="P49" i="25" s="1"/>
  <c r="P29" i="31"/>
  <c r="O29" i="31"/>
  <c r="N29" i="34"/>
  <c r="Q29" i="31"/>
  <c r="N27" i="34"/>
  <c r="O27" i="31"/>
  <c r="Q27" i="31"/>
  <c r="S27" i="31" s="1"/>
  <c r="P27" i="31"/>
  <c r="R27" i="31" s="1"/>
  <c r="N30" i="34"/>
  <c r="Q30" i="31"/>
  <c r="S30" i="31" s="1"/>
  <c r="O30" i="31"/>
  <c r="P30" i="31"/>
  <c r="R30" i="31" s="1"/>
  <c r="N23" i="34"/>
  <c r="Q23" i="31"/>
  <c r="S23" i="31" s="1"/>
  <c r="P23" i="31"/>
  <c r="R23" i="31" s="1"/>
  <c r="O23" i="31"/>
  <c r="P24" i="31"/>
  <c r="R24" i="31" s="1"/>
  <c r="N24" i="34"/>
  <c r="Q24" i="31"/>
  <c r="S24" i="31" s="1"/>
  <c r="O24" i="31"/>
  <c r="N21" i="34"/>
  <c r="P21" i="31"/>
  <c r="O21" i="31"/>
  <c r="Q21" i="31"/>
  <c r="R12" i="27"/>
  <c r="P59" i="27"/>
  <c r="P61" i="27" s="1"/>
  <c r="P31" i="27"/>
  <c r="R31" i="27" s="1"/>
  <c r="N20" i="34"/>
  <c r="Q20" i="31"/>
  <c r="S20" i="31" s="1"/>
  <c r="O20" i="31"/>
  <c r="P20" i="31"/>
  <c r="R20" i="31" s="1"/>
  <c r="O17" i="31"/>
  <c r="Q17" i="31"/>
  <c r="S17" i="31" s="1"/>
  <c r="N17" i="34"/>
  <c r="P17" i="31"/>
  <c r="R17" i="31" s="1"/>
  <c r="Q14" i="31"/>
  <c r="S14" i="31" s="1"/>
  <c r="O14" i="31"/>
  <c r="N14" i="34"/>
  <c r="P14" i="31"/>
  <c r="R14" i="31" s="1"/>
  <c r="N19" i="34"/>
  <c r="P19" i="31"/>
  <c r="R19" i="31" s="1"/>
  <c r="O19" i="31"/>
  <c r="Q19" i="31"/>
  <c r="S19" i="31" s="1"/>
  <c r="N18" i="34"/>
  <c r="Q18" i="31"/>
  <c r="S18" i="31" s="1"/>
  <c r="O18" i="31"/>
  <c r="P18" i="31"/>
  <c r="R18" i="31" s="1"/>
  <c r="N25" i="34"/>
  <c r="Q25" i="31"/>
  <c r="P25" i="31"/>
  <c r="O25" i="31"/>
  <c r="O22" i="31"/>
  <c r="P22" i="31"/>
  <c r="R22" i="31" s="1"/>
  <c r="N22" i="34"/>
  <c r="Q22" i="31"/>
  <c r="S22" i="31" s="1"/>
  <c r="N15" i="34"/>
  <c r="Q15" i="31"/>
  <c r="S15" i="31" s="1"/>
  <c r="P15" i="31"/>
  <c r="R15" i="31" s="1"/>
  <c r="O15" i="31"/>
  <c r="N16" i="34"/>
  <c r="P16" i="31"/>
  <c r="R16" i="31" s="1"/>
  <c r="Q16" i="31"/>
  <c r="S16" i="31" s="1"/>
  <c r="O16" i="31"/>
  <c r="S12" i="27"/>
  <c r="Q59" i="27"/>
  <c r="Q61" i="27" s="1"/>
  <c r="Q31" i="27"/>
  <c r="Q12" i="31"/>
  <c r="O12" i="31"/>
  <c r="N12" i="34"/>
  <c r="P12" i="31"/>
  <c r="Q13" i="31"/>
  <c r="S13" i="31" s="1"/>
  <c r="P13" i="31"/>
  <c r="R13" i="31" s="1"/>
  <c r="N13" i="34"/>
  <c r="O13" i="31"/>
  <c r="O31" i="27"/>
  <c r="Q35" i="30"/>
  <c r="T35" i="30" s="1"/>
  <c r="O35" i="30"/>
  <c r="N35" i="33"/>
  <c r="P35" i="30"/>
  <c r="S35" i="30" s="1"/>
  <c r="Q38" i="30"/>
  <c r="T38" i="30" s="1"/>
  <c r="P38" i="30"/>
  <c r="S38" i="30" s="1"/>
  <c r="N38" i="33"/>
  <c r="O38" i="30"/>
  <c r="P37" i="30"/>
  <c r="S37" i="30" s="1"/>
  <c r="O37" i="30"/>
  <c r="N37" i="33"/>
  <c r="Q37" i="30"/>
  <c r="T37" i="30" s="1"/>
  <c r="N33" i="33"/>
  <c r="Q33" i="30"/>
  <c r="T33" i="30" s="1"/>
  <c r="P33" i="30"/>
  <c r="S33" i="30" s="1"/>
  <c r="O33" i="30"/>
  <c r="N31" i="33"/>
  <c r="P31" i="30"/>
  <c r="S31" i="30" s="1"/>
  <c r="Q31" i="30"/>
  <c r="T31" i="30" s="1"/>
  <c r="O31" i="30"/>
  <c r="N30" i="33"/>
  <c r="P30" i="30"/>
  <c r="S30" i="30" s="1"/>
  <c r="Q30" i="30"/>
  <c r="T30" i="30" s="1"/>
  <c r="O30" i="30"/>
  <c r="N28" i="33"/>
  <c r="P28" i="30"/>
  <c r="S28" i="30" s="1"/>
  <c r="Q28" i="30"/>
  <c r="T28" i="30" s="1"/>
  <c r="O28" i="30"/>
  <c r="N29" i="33"/>
  <c r="Q29" i="30"/>
  <c r="T29" i="30" s="1"/>
  <c r="P29" i="30"/>
  <c r="S29" i="30" s="1"/>
  <c r="O29" i="30"/>
  <c r="N27" i="33"/>
  <c r="Q27" i="30"/>
  <c r="T27" i="30" s="1"/>
  <c r="P27" i="30"/>
  <c r="S27" i="30" s="1"/>
  <c r="O27" i="30"/>
  <c r="P26" i="30"/>
  <c r="S26" i="30" s="1"/>
  <c r="Q26" i="30"/>
  <c r="T26" i="30" s="1"/>
  <c r="N26" i="33"/>
  <c r="O26" i="30"/>
  <c r="N25" i="33"/>
  <c r="O25" i="30"/>
  <c r="Q25" i="30"/>
  <c r="T25" i="30" s="1"/>
  <c r="P25" i="30"/>
  <c r="S25" i="30" s="1"/>
  <c r="P24" i="30"/>
  <c r="S24" i="30" s="1"/>
  <c r="O24" i="30"/>
  <c r="N24" i="33"/>
  <c r="Q24" i="30"/>
  <c r="T24" i="30" s="1"/>
  <c r="O16" i="30"/>
  <c r="Q16" i="30"/>
  <c r="T16" i="30" s="1"/>
  <c r="N16" i="33"/>
  <c r="P16" i="30"/>
  <c r="S16" i="30" s="1"/>
  <c r="O14" i="30"/>
  <c r="Q14" i="30"/>
  <c r="T14" i="30" s="1"/>
  <c r="N14" i="33"/>
  <c r="P14" i="30"/>
  <c r="S14" i="30" s="1"/>
  <c r="P17" i="30"/>
  <c r="S17" i="30" s="1"/>
  <c r="Q17" i="30"/>
  <c r="T17" i="30" s="1"/>
  <c r="N17" i="33"/>
  <c r="O17" i="30"/>
  <c r="Q15" i="30"/>
  <c r="T15" i="30" s="1"/>
  <c r="O15" i="30"/>
  <c r="N15" i="33"/>
  <c r="P15" i="30"/>
  <c r="S15" i="30" s="1"/>
  <c r="O42" i="26"/>
  <c r="T20" i="26"/>
  <c r="Q78" i="26"/>
  <c r="Q79" i="26" s="1"/>
  <c r="Q42" i="26"/>
  <c r="P42" i="26"/>
  <c r="S20" i="26"/>
  <c r="P78" i="26"/>
  <c r="P79" i="26" s="1"/>
  <c r="P20" i="30"/>
  <c r="Q20" i="30"/>
  <c r="N42" i="30"/>
  <c r="N20" i="33"/>
  <c r="O20" i="30"/>
  <c r="N28" i="40"/>
  <c r="Q28" i="37"/>
  <c r="S28" i="37" s="1"/>
  <c r="P28" i="37"/>
  <c r="R28" i="37" s="1"/>
  <c r="O28" i="37"/>
  <c r="N26" i="40"/>
  <c r="Q26" i="37"/>
  <c r="S26" i="37" s="1"/>
  <c r="P26" i="37"/>
  <c r="R26" i="37" s="1"/>
  <c r="O26" i="37"/>
  <c r="Q11" i="45"/>
  <c r="S11" i="45" s="1"/>
  <c r="P11" i="45"/>
  <c r="R11" i="45" s="1"/>
  <c r="O11" i="45"/>
  <c r="P10" i="45"/>
  <c r="R10" i="45" s="1"/>
  <c r="O10" i="45"/>
  <c r="Q10" i="45"/>
  <c r="S10" i="45" s="1"/>
  <c r="Q9" i="45"/>
  <c r="S9" i="45" s="1"/>
  <c r="O9" i="45"/>
  <c r="P9" i="45"/>
  <c r="R9" i="45" s="1"/>
  <c r="Q8" i="45"/>
  <c r="S8" i="45" s="1"/>
  <c r="P8" i="45"/>
  <c r="R8" i="45" s="1"/>
  <c r="O8" i="45"/>
  <c r="P8" i="32"/>
  <c r="S8" i="32" s="1"/>
  <c r="Q8" i="32"/>
  <c r="T8" i="32" s="1"/>
  <c r="N8" i="35"/>
  <c r="O8" i="32"/>
  <c r="S22" i="39"/>
  <c r="V22" i="39" s="1"/>
  <c r="R22" i="39"/>
  <c r="U22" i="39" s="1"/>
  <c r="Q22" i="39"/>
  <c r="S19" i="39"/>
  <c r="V19" i="39" s="1"/>
  <c r="R19" i="39"/>
  <c r="U19" i="39" s="1"/>
  <c r="Q19" i="39"/>
  <c r="Q13" i="35"/>
  <c r="N13" i="38"/>
  <c r="N13" i="43" s="1"/>
  <c r="P13" i="35"/>
  <c r="O13" i="35"/>
  <c r="S39" i="39"/>
  <c r="V39" i="39" s="1"/>
  <c r="R39" i="39"/>
  <c r="U39" i="39" s="1"/>
  <c r="Q39" i="39"/>
  <c r="S10" i="32"/>
  <c r="S18" i="39"/>
  <c r="V18" i="39" s="1"/>
  <c r="R18" i="39"/>
  <c r="U18" i="39" s="1"/>
  <c r="Q18" i="39"/>
  <c r="S23" i="39"/>
  <c r="V23" i="39" s="1"/>
  <c r="R23" i="39"/>
  <c r="U23" i="39" s="1"/>
  <c r="Q23" i="39"/>
  <c r="S36" i="39"/>
  <c r="V36" i="39" s="1"/>
  <c r="R36" i="39"/>
  <c r="U36" i="39" s="1"/>
  <c r="Q36" i="39"/>
  <c r="T10" i="32"/>
  <c r="P10" i="35"/>
  <c r="N10" i="38"/>
  <c r="N10" i="43" s="1"/>
  <c r="Q10" i="35"/>
  <c r="O10" i="35"/>
  <c r="S34" i="39"/>
  <c r="V34" i="39" s="1"/>
  <c r="R34" i="39"/>
  <c r="U34" i="39" s="1"/>
  <c r="Q34" i="39"/>
  <c r="S21" i="39"/>
  <c r="V21" i="39" s="1"/>
  <c r="R21" i="39"/>
  <c r="U21" i="39" s="1"/>
  <c r="Q21" i="39"/>
  <c r="N9" i="38"/>
  <c r="N9" i="43" s="1"/>
  <c r="Q9" i="35"/>
  <c r="T9" i="35" s="1"/>
  <c r="O9" i="35"/>
  <c r="P9" i="35"/>
  <c r="S9" i="35" s="1"/>
  <c r="O15" i="29" l="1"/>
  <c r="S11" i="29"/>
  <c r="P34" i="29"/>
  <c r="P35" i="29" s="1"/>
  <c r="N11" i="35"/>
  <c r="P11" i="32"/>
  <c r="Q11" i="32"/>
  <c r="O11" i="32"/>
  <c r="N14" i="38"/>
  <c r="P14" i="35"/>
  <c r="Q14" i="35"/>
  <c r="O14" i="35"/>
  <c r="T14" i="32"/>
  <c r="T13" i="32"/>
  <c r="S13" i="32"/>
  <c r="S14" i="32"/>
  <c r="Q35" i="29"/>
  <c r="T35" i="29" s="1"/>
  <c r="T34" i="29"/>
  <c r="P32" i="33"/>
  <c r="S32" i="33" s="1"/>
  <c r="Q32" i="33"/>
  <c r="T32" i="33" s="1"/>
  <c r="N32" i="36"/>
  <c r="O32" i="33"/>
  <c r="O42" i="30"/>
  <c r="T15" i="25"/>
  <c r="Q31" i="25"/>
  <c r="S12" i="29"/>
  <c r="P48" i="29"/>
  <c r="P49" i="29" s="1"/>
  <c r="Q32" i="22"/>
  <c r="T32" i="22" s="1"/>
  <c r="T31" i="22"/>
  <c r="T48" i="25"/>
  <c r="Q49" i="25"/>
  <c r="T49" i="25" s="1"/>
  <c r="T12" i="29"/>
  <c r="Q48" i="29"/>
  <c r="P15" i="29"/>
  <c r="P31" i="29" s="1"/>
  <c r="P32" i="29" s="1"/>
  <c r="N15" i="32"/>
  <c r="Q15" i="29"/>
  <c r="N12" i="35"/>
  <c r="O12" i="32"/>
  <c r="O15" i="32" s="1"/>
  <c r="Q12" i="32"/>
  <c r="P12" i="32"/>
  <c r="O27" i="34"/>
  <c r="N27" i="37"/>
  <c r="P27" i="34"/>
  <c r="R27" i="34" s="1"/>
  <c r="Q27" i="34"/>
  <c r="S27" i="34" s="1"/>
  <c r="N29" i="37"/>
  <c r="Q29" i="34"/>
  <c r="P29" i="34"/>
  <c r="O29" i="34"/>
  <c r="N30" i="37"/>
  <c r="O30" i="34"/>
  <c r="Q30" i="34"/>
  <c r="S30" i="34" s="1"/>
  <c r="P30" i="34"/>
  <c r="R30" i="34" s="1"/>
  <c r="R12" i="31"/>
  <c r="P59" i="31"/>
  <c r="P61" i="31" s="1"/>
  <c r="Q16" i="34"/>
  <c r="S16" i="34" s="1"/>
  <c r="O16" i="34"/>
  <c r="N16" i="37"/>
  <c r="P16" i="34"/>
  <c r="R16" i="34" s="1"/>
  <c r="N15" i="37"/>
  <c r="Q15" i="34"/>
  <c r="S15" i="34" s="1"/>
  <c r="P15" i="34"/>
  <c r="R15" i="34" s="1"/>
  <c r="O15" i="34"/>
  <c r="N22" i="37"/>
  <c r="P22" i="34"/>
  <c r="R22" i="34" s="1"/>
  <c r="Q22" i="34"/>
  <c r="S22" i="34" s="1"/>
  <c r="O22" i="34"/>
  <c r="P25" i="34"/>
  <c r="O25" i="34"/>
  <c r="N25" i="37"/>
  <c r="Q25" i="34"/>
  <c r="Q18" i="34"/>
  <c r="S18" i="34" s="1"/>
  <c r="O18" i="34"/>
  <c r="P18" i="34"/>
  <c r="R18" i="34" s="1"/>
  <c r="N18" i="37"/>
  <c r="Q19" i="34"/>
  <c r="S19" i="34" s="1"/>
  <c r="O19" i="34"/>
  <c r="N19" i="37"/>
  <c r="P19" i="34"/>
  <c r="R19" i="34" s="1"/>
  <c r="Q14" i="34"/>
  <c r="S14" i="34" s="1"/>
  <c r="O14" i="34"/>
  <c r="N14" i="37"/>
  <c r="P14" i="34"/>
  <c r="R14" i="34" s="1"/>
  <c r="N17" i="37"/>
  <c r="O17" i="34"/>
  <c r="Q17" i="34"/>
  <c r="S17" i="34" s="1"/>
  <c r="P17" i="34"/>
  <c r="R17" i="34" s="1"/>
  <c r="Q20" i="34"/>
  <c r="S20" i="34" s="1"/>
  <c r="O20" i="34"/>
  <c r="N20" i="37"/>
  <c r="P20" i="34"/>
  <c r="R20" i="34" s="1"/>
  <c r="P24" i="34"/>
  <c r="R24" i="34" s="1"/>
  <c r="O24" i="34"/>
  <c r="N24" i="37"/>
  <c r="Q24" i="34"/>
  <c r="S24" i="34" s="1"/>
  <c r="N13" i="37"/>
  <c r="O13" i="34"/>
  <c r="Q13" i="34"/>
  <c r="S13" i="34" s="1"/>
  <c r="P13" i="34"/>
  <c r="R13" i="34" s="1"/>
  <c r="N12" i="37"/>
  <c r="O12" i="34"/>
  <c r="Q12" i="34"/>
  <c r="P12" i="34"/>
  <c r="S12" i="31"/>
  <c r="Q59" i="31"/>
  <c r="Q61" i="31" s="1"/>
  <c r="P21" i="34"/>
  <c r="O21" i="34"/>
  <c r="Q21" i="34"/>
  <c r="N21" i="37"/>
  <c r="P23" i="34"/>
  <c r="R23" i="34" s="1"/>
  <c r="N23" i="37"/>
  <c r="O23" i="34"/>
  <c r="Q23" i="34"/>
  <c r="S23" i="34" s="1"/>
  <c r="O31" i="31"/>
  <c r="N35" i="36"/>
  <c r="P35" i="33"/>
  <c r="S35" i="33" s="1"/>
  <c r="Q35" i="33"/>
  <c r="T35" i="33" s="1"/>
  <c r="O35" i="33"/>
  <c r="O38" i="33"/>
  <c r="Q38" i="33"/>
  <c r="T38" i="33" s="1"/>
  <c r="P38" i="33"/>
  <c r="S38" i="33" s="1"/>
  <c r="N38" i="36"/>
  <c r="O37" i="33"/>
  <c r="P37" i="33"/>
  <c r="S37" i="33" s="1"/>
  <c r="N37" i="36"/>
  <c r="Q37" i="33"/>
  <c r="T37" i="33" s="1"/>
  <c r="N31" i="36"/>
  <c r="O31" i="33"/>
  <c r="Q31" i="33"/>
  <c r="T31" i="33" s="1"/>
  <c r="P31" i="33"/>
  <c r="S31" i="33" s="1"/>
  <c r="N33" i="36"/>
  <c r="Q33" i="33"/>
  <c r="T33" i="33" s="1"/>
  <c r="P33" i="33"/>
  <c r="S33" i="33" s="1"/>
  <c r="O33" i="33"/>
  <c r="N27" i="36"/>
  <c r="O27" i="33"/>
  <c r="Q27" i="33"/>
  <c r="T27" i="33" s="1"/>
  <c r="P27" i="33"/>
  <c r="S27" i="33" s="1"/>
  <c r="N29" i="36"/>
  <c r="P29" i="33"/>
  <c r="S29" i="33" s="1"/>
  <c r="O29" i="33"/>
  <c r="Q29" i="33"/>
  <c r="T29" i="33" s="1"/>
  <c r="O28" i="33"/>
  <c r="Q28" i="33"/>
  <c r="T28" i="33" s="1"/>
  <c r="N28" i="36"/>
  <c r="P28" i="33"/>
  <c r="S28" i="33" s="1"/>
  <c r="N30" i="36"/>
  <c r="Q30" i="33"/>
  <c r="T30" i="33" s="1"/>
  <c r="O30" i="33"/>
  <c r="P30" i="33"/>
  <c r="S30" i="33" s="1"/>
  <c r="N26" i="36"/>
  <c r="Q26" i="33"/>
  <c r="T26" i="33" s="1"/>
  <c r="O26" i="33"/>
  <c r="P26" i="33"/>
  <c r="S26" i="33" s="1"/>
  <c r="O25" i="33"/>
  <c r="Q25" i="33"/>
  <c r="T25" i="33" s="1"/>
  <c r="N25" i="36"/>
  <c r="P25" i="33"/>
  <c r="S25" i="33" s="1"/>
  <c r="N24" i="36"/>
  <c r="Q24" i="33"/>
  <c r="T24" i="33" s="1"/>
  <c r="O24" i="33"/>
  <c r="P24" i="33"/>
  <c r="S24" i="33" s="1"/>
  <c r="Q15" i="33"/>
  <c r="T15" i="33" s="1"/>
  <c r="P15" i="33"/>
  <c r="S15" i="33" s="1"/>
  <c r="N15" i="36"/>
  <c r="O15" i="33"/>
  <c r="N17" i="36"/>
  <c r="Q17" i="33"/>
  <c r="T17" i="33" s="1"/>
  <c r="O17" i="33"/>
  <c r="P17" i="33"/>
  <c r="S17" i="33" s="1"/>
  <c r="O14" i="33"/>
  <c r="P14" i="33"/>
  <c r="S14" i="33" s="1"/>
  <c r="N14" i="36"/>
  <c r="Q14" i="33"/>
  <c r="T14" i="33" s="1"/>
  <c r="N16" i="36"/>
  <c r="Q16" i="33"/>
  <c r="T16" i="33" s="1"/>
  <c r="O16" i="33"/>
  <c r="P16" i="33"/>
  <c r="S16" i="33" s="1"/>
  <c r="Q42" i="30"/>
  <c r="P42" i="30"/>
  <c r="S20" i="30"/>
  <c r="P78" i="30"/>
  <c r="P79" i="30" s="1"/>
  <c r="N42" i="33"/>
  <c r="O20" i="33"/>
  <c r="P20" i="33"/>
  <c r="Q20" i="33"/>
  <c r="N20" i="36"/>
  <c r="T20" i="30"/>
  <c r="Q78" i="30"/>
  <c r="Q79" i="30" s="1"/>
  <c r="N26" i="45"/>
  <c r="Q26" i="40"/>
  <c r="S26" i="40" s="1"/>
  <c r="P26" i="40"/>
  <c r="R26" i="40" s="1"/>
  <c r="O26" i="40"/>
  <c r="N28" i="45"/>
  <c r="Q28" i="40"/>
  <c r="S28" i="40" s="1"/>
  <c r="P28" i="40"/>
  <c r="R28" i="40" s="1"/>
  <c r="O28" i="40"/>
  <c r="Q8" i="35"/>
  <c r="T8" i="35" s="1"/>
  <c r="P8" i="35"/>
  <c r="S8" i="35" s="1"/>
  <c r="N8" i="38"/>
  <c r="O8" i="35"/>
  <c r="Q9" i="43"/>
  <c r="T9" i="43" s="1"/>
  <c r="P9" i="43"/>
  <c r="S9" i="43" s="1"/>
  <c r="O9" i="43"/>
  <c r="P10" i="43"/>
  <c r="O10" i="43"/>
  <c r="Q10" i="43"/>
  <c r="P13" i="43"/>
  <c r="O13" i="43"/>
  <c r="Q13" i="43"/>
  <c r="P10" i="38"/>
  <c r="Q10" i="38"/>
  <c r="O10" i="38"/>
  <c r="Q13" i="38"/>
  <c r="O13" i="38"/>
  <c r="P13" i="38"/>
  <c r="Q9" i="38"/>
  <c r="T9" i="38" s="1"/>
  <c r="P9" i="38"/>
  <c r="S9" i="38" s="1"/>
  <c r="O9" i="38"/>
  <c r="T10" i="35"/>
  <c r="S10" i="35"/>
  <c r="T11" i="32" l="1"/>
  <c r="Q34" i="32"/>
  <c r="S11" i="32"/>
  <c r="P34" i="32"/>
  <c r="P35" i="32" s="1"/>
  <c r="P11" i="35"/>
  <c r="S11" i="35" s="1"/>
  <c r="N11" i="38"/>
  <c r="Q11" i="35"/>
  <c r="O11" i="35"/>
  <c r="S13" i="35"/>
  <c r="S14" i="35"/>
  <c r="T13" i="35"/>
  <c r="T14" i="35"/>
  <c r="N14" i="43"/>
  <c r="Q14" i="38"/>
  <c r="P14" i="38"/>
  <c r="O14" i="38"/>
  <c r="P34" i="35"/>
  <c r="P35" i="35" s="1"/>
  <c r="P32" i="36"/>
  <c r="S32" i="36" s="1"/>
  <c r="O32" i="36"/>
  <c r="P32" i="39"/>
  <c r="Q32" i="36"/>
  <c r="T32" i="36" s="1"/>
  <c r="O42" i="33"/>
  <c r="T12" i="32"/>
  <c r="Q48" i="32"/>
  <c r="P12" i="35"/>
  <c r="Q12" i="35"/>
  <c r="N12" i="38"/>
  <c r="O12" i="35"/>
  <c r="O15" i="35" s="1"/>
  <c r="N15" i="38"/>
  <c r="Q15" i="32"/>
  <c r="N15" i="35"/>
  <c r="P15" i="32"/>
  <c r="P31" i="32" s="1"/>
  <c r="P32" i="32" s="1"/>
  <c r="Q49" i="29"/>
  <c r="T49" i="29" s="1"/>
  <c r="T48" i="29"/>
  <c r="T31" i="25"/>
  <c r="Q32" i="25"/>
  <c r="T32" i="25" s="1"/>
  <c r="S12" i="32"/>
  <c r="P48" i="32"/>
  <c r="P49" i="32" s="1"/>
  <c r="T15" i="29"/>
  <c r="Q31" i="29"/>
  <c r="Q29" i="37"/>
  <c r="P29" i="37"/>
  <c r="N29" i="40"/>
  <c r="O29" i="37"/>
  <c r="Q27" i="37"/>
  <c r="S27" i="37" s="1"/>
  <c r="O27" i="37"/>
  <c r="N27" i="40"/>
  <c r="P27" i="37"/>
  <c r="R27" i="37" s="1"/>
  <c r="Q30" i="37"/>
  <c r="S30" i="37" s="1"/>
  <c r="O30" i="37"/>
  <c r="N30" i="40"/>
  <c r="P30" i="37"/>
  <c r="R30" i="37" s="1"/>
  <c r="Q23" i="37"/>
  <c r="S23" i="37" s="1"/>
  <c r="O23" i="37"/>
  <c r="N23" i="40"/>
  <c r="P23" i="37"/>
  <c r="R23" i="37" s="1"/>
  <c r="P21" i="37"/>
  <c r="Q21" i="37"/>
  <c r="N21" i="40"/>
  <c r="O21" i="37"/>
  <c r="R12" i="34"/>
  <c r="P60" i="34"/>
  <c r="P62" i="34" s="1"/>
  <c r="N18" i="40"/>
  <c r="O18" i="37"/>
  <c r="P18" i="37"/>
  <c r="R18" i="37" s="1"/>
  <c r="Q18" i="37"/>
  <c r="S18" i="37" s="1"/>
  <c r="S12" i="34"/>
  <c r="Q60" i="34"/>
  <c r="Q62" i="34" s="1"/>
  <c r="N12" i="40"/>
  <c r="Q12" i="37"/>
  <c r="P12" i="37"/>
  <c r="O12" i="37"/>
  <c r="N13" i="40"/>
  <c r="Q13" i="37"/>
  <c r="S13" i="37" s="1"/>
  <c r="P13" i="37"/>
  <c r="R13" i="37" s="1"/>
  <c r="O13" i="37"/>
  <c r="N24" i="40"/>
  <c r="Q24" i="37"/>
  <c r="S24" i="37" s="1"/>
  <c r="P24" i="37"/>
  <c r="R24" i="37" s="1"/>
  <c r="O24" i="37"/>
  <c r="N20" i="40"/>
  <c r="O20" i="37"/>
  <c r="P20" i="37"/>
  <c r="R20" i="37" s="1"/>
  <c r="Q20" i="37"/>
  <c r="S20" i="37" s="1"/>
  <c r="Q17" i="37"/>
  <c r="S17" i="37" s="1"/>
  <c r="P17" i="37"/>
  <c r="R17" i="37" s="1"/>
  <c r="N17" i="40"/>
  <c r="O17" i="37"/>
  <c r="Q14" i="37"/>
  <c r="S14" i="37" s="1"/>
  <c r="O14" i="37"/>
  <c r="N14" i="40"/>
  <c r="P14" i="37"/>
  <c r="R14" i="37" s="1"/>
  <c r="N19" i="40"/>
  <c r="O19" i="37"/>
  <c r="Q19" i="37"/>
  <c r="S19" i="37" s="1"/>
  <c r="P19" i="37"/>
  <c r="R19" i="37" s="1"/>
  <c r="P25" i="37"/>
  <c r="O25" i="37"/>
  <c r="N25" i="40"/>
  <c r="Q25" i="37"/>
  <c r="N22" i="40"/>
  <c r="O22" i="37"/>
  <c r="P22" i="37"/>
  <c r="R22" i="37" s="1"/>
  <c r="Q22" i="37"/>
  <c r="S22" i="37" s="1"/>
  <c r="P15" i="37"/>
  <c r="R15" i="37" s="1"/>
  <c r="O15" i="37"/>
  <c r="N15" i="40"/>
  <c r="Q15" i="37"/>
  <c r="S15" i="37" s="1"/>
  <c r="Q16" i="37"/>
  <c r="S16" i="37" s="1"/>
  <c r="O16" i="37"/>
  <c r="N16" i="40"/>
  <c r="P16" i="37"/>
  <c r="R16" i="37" s="1"/>
  <c r="P35" i="36"/>
  <c r="S35" i="36" s="1"/>
  <c r="O35" i="36"/>
  <c r="P35" i="39"/>
  <c r="Q35" i="36"/>
  <c r="T35" i="36" s="1"/>
  <c r="P38" i="39"/>
  <c r="Q38" i="36"/>
  <c r="T38" i="36" s="1"/>
  <c r="P38" i="36"/>
  <c r="S38" i="36" s="1"/>
  <c r="O38" i="36"/>
  <c r="P37" i="39"/>
  <c r="P37" i="36"/>
  <c r="S37" i="36" s="1"/>
  <c r="Q37" i="36"/>
  <c r="T37" i="36" s="1"/>
  <c r="O37" i="36"/>
  <c r="Q33" i="36"/>
  <c r="T33" i="36" s="1"/>
  <c r="O33" i="36"/>
  <c r="P33" i="39"/>
  <c r="P33" i="36"/>
  <c r="S33" i="36" s="1"/>
  <c r="P31" i="39"/>
  <c r="O31" i="36"/>
  <c r="P31" i="36"/>
  <c r="S31" i="36" s="1"/>
  <c r="Q31" i="36"/>
  <c r="T31" i="36" s="1"/>
  <c r="P30" i="39"/>
  <c r="O30" i="36"/>
  <c r="P30" i="36"/>
  <c r="S30" i="36" s="1"/>
  <c r="Q30" i="36"/>
  <c r="T30" i="36" s="1"/>
  <c r="P28" i="36"/>
  <c r="S28" i="36" s="1"/>
  <c r="O28" i="36"/>
  <c r="P28" i="39"/>
  <c r="Q28" i="36"/>
  <c r="T28" i="36" s="1"/>
  <c r="P29" i="39"/>
  <c r="P29" i="36"/>
  <c r="S29" i="36" s="1"/>
  <c r="Q29" i="36"/>
  <c r="T29" i="36" s="1"/>
  <c r="O29" i="36"/>
  <c r="P27" i="39"/>
  <c r="Q27" i="36"/>
  <c r="T27" i="36" s="1"/>
  <c r="P27" i="36"/>
  <c r="S27" i="36" s="1"/>
  <c r="O27" i="36"/>
  <c r="O26" i="36"/>
  <c r="P26" i="36"/>
  <c r="S26" i="36" s="1"/>
  <c r="P26" i="39"/>
  <c r="Q26" i="36"/>
  <c r="T26" i="36" s="1"/>
  <c r="P25" i="36"/>
  <c r="S25" i="36" s="1"/>
  <c r="Q25" i="36"/>
  <c r="T25" i="36" s="1"/>
  <c r="P25" i="39"/>
  <c r="O25" i="36"/>
  <c r="P24" i="39"/>
  <c r="Q24" i="36"/>
  <c r="T24" i="36" s="1"/>
  <c r="O24" i="36"/>
  <c r="P24" i="36"/>
  <c r="S24" i="36" s="1"/>
  <c r="P16" i="39"/>
  <c r="P16" i="36"/>
  <c r="S16" i="36" s="1"/>
  <c r="O16" i="36"/>
  <c r="Q16" i="36"/>
  <c r="T16" i="36" s="1"/>
  <c r="O14" i="36"/>
  <c r="P14" i="36"/>
  <c r="S14" i="36" s="1"/>
  <c r="P14" i="39"/>
  <c r="Q14" i="36"/>
  <c r="T14" i="36" s="1"/>
  <c r="P17" i="36"/>
  <c r="S17" i="36" s="1"/>
  <c r="O17" i="36"/>
  <c r="P17" i="39"/>
  <c r="Q17" i="36"/>
  <c r="T17" i="36" s="1"/>
  <c r="Q15" i="36"/>
  <c r="T15" i="36" s="1"/>
  <c r="P15" i="36"/>
  <c r="S15" i="36" s="1"/>
  <c r="P15" i="39"/>
  <c r="O15" i="36"/>
  <c r="O20" i="36"/>
  <c r="P20" i="36"/>
  <c r="P20" i="39"/>
  <c r="Q20" i="36"/>
  <c r="N42" i="36"/>
  <c r="S20" i="33"/>
  <c r="P78" i="33"/>
  <c r="P79" i="33" s="1"/>
  <c r="P42" i="33"/>
  <c r="Q42" i="33"/>
  <c r="T20" i="33"/>
  <c r="Q78" i="33"/>
  <c r="Q79" i="33" s="1"/>
  <c r="Q28" i="45"/>
  <c r="S28" i="45" s="1"/>
  <c r="P28" i="45"/>
  <c r="R28" i="45" s="1"/>
  <c r="O28" i="45"/>
  <c r="P26" i="45"/>
  <c r="R26" i="45" s="1"/>
  <c r="Q26" i="45"/>
  <c r="S26" i="45" s="1"/>
  <c r="O26" i="45"/>
  <c r="N8" i="43"/>
  <c r="P8" i="38"/>
  <c r="S8" i="38" s="1"/>
  <c r="O8" i="38"/>
  <c r="Q8" i="38"/>
  <c r="T8" i="38" s="1"/>
  <c r="T10" i="43"/>
  <c r="S10" i="43"/>
  <c r="T10" i="38"/>
  <c r="S10" i="38"/>
  <c r="T11" i="35" l="1"/>
  <c r="Q34" i="35"/>
  <c r="N11" i="43"/>
  <c r="Q11" i="38"/>
  <c r="T11" i="38" s="1"/>
  <c r="P11" i="38"/>
  <c r="S11" i="38" s="1"/>
  <c r="O11" i="38"/>
  <c r="T34" i="32"/>
  <c r="Q35" i="32"/>
  <c r="T35" i="32" s="1"/>
  <c r="P34" i="38"/>
  <c r="P35" i="38" s="1"/>
  <c r="T13" i="38"/>
  <c r="T14" i="38"/>
  <c r="S13" i="38"/>
  <c r="S14" i="38"/>
  <c r="O14" i="43"/>
  <c r="Q14" i="43"/>
  <c r="P14" i="43"/>
  <c r="R32" i="39"/>
  <c r="U32" i="39" s="1"/>
  <c r="S32" i="39"/>
  <c r="V32" i="39" s="1"/>
  <c r="Q32" i="39"/>
  <c r="T31" i="29"/>
  <c r="Q32" i="29"/>
  <c r="T32" i="29" s="1"/>
  <c r="Q31" i="32"/>
  <c r="T15" i="32"/>
  <c r="T12" i="35"/>
  <c r="Q48" i="35"/>
  <c r="T48" i="32"/>
  <c r="Q49" i="32"/>
  <c r="T49" i="32" s="1"/>
  <c r="P15" i="35"/>
  <c r="P31" i="35" s="1"/>
  <c r="P32" i="35" s="1"/>
  <c r="Q15" i="35"/>
  <c r="N15" i="43"/>
  <c r="Q15" i="38"/>
  <c r="P15" i="38"/>
  <c r="P31" i="38" s="1"/>
  <c r="P32" i="38" s="1"/>
  <c r="N12" i="43"/>
  <c r="Q12" i="38"/>
  <c r="P12" i="38"/>
  <c r="O12" i="38"/>
  <c r="S12" i="35"/>
  <c r="P48" i="35"/>
  <c r="P49" i="35" s="1"/>
  <c r="Q27" i="40"/>
  <c r="S27" i="40" s="1"/>
  <c r="O27" i="40"/>
  <c r="N27" i="45"/>
  <c r="P27" i="40"/>
  <c r="R27" i="40" s="1"/>
  <c r="N29" i="45"/>
  <c r="P29" i="40"/>
  <c r="O29" i="40"/>
  <c r="Q29" i="40"/>
  <c r="N30" i="45"/>
  <c r="P30" i="40"/>
  <c r="R30" i="40" s="1"/>
  <c r="Q30" i="40"/>
  <c r="S30" i="40" s="1"/>
  <c r="O30" i="40"/>
  <c r="S12" i="37"/>
  <c r="Q60" i="37"/>
  <c r="Q62" i="37" s="1"/>
  <c r="N16" i="45"/>
  <c r="P16" i="40"/>
  <c r="R16" i="40" s="1"/>
  <c r="Q16" i="40"/>
  <c r="S16" i="40" s="1"/>
  <c r="O16" i="40"/>
  <c r="N15" i="45"/>
  <c r="P15" i="40"/>
  <c r="R15" i="40" s="1"/>
  <c r="O15" i="40"/>
  <c r="Q15" i="40"/>
  <c r="S15" i="40" s="1"/>
  <c r="N22" i="45"/>
  <c r="Q22" i="40"/>
  <c r="S22" i="40" s="1"/>
  <c r="O22" i="40"/>
  <c r="P22" i="40"/>
  <c r="R22" i="40" s="1"/>
  <c r="N25" i="45"/>
  <c r="P25" i="40"/>
  <c r="O25" i="40"/>
  <c r="Q25" i="40"/>
  <c r="N19" i="45"/>
  <c r="Q19" i="40"/>
  <c r="S19" i="40" s="1"/>
  <c r="P19" i="40"/>
  <c r="R19" i="40" s="1"/>
  <c r="O19" i="40"/>
  <c r="N14" i="45"/>
  <c r="P14" i="40"/>
  <c r="R14" i="40" s="1"/>
  <c r="Q14" i="40"/>
  <c r="S14" i="40" s="1"/>
  <c r="O14" i="40"/>
  <c r="N17" i="45"/>
  <c r="P17" i="40"/>
  <c r="R17" i="40" s="1"/>
  <c r="O17" i="40"/>
  <c r="Q17" i="40"/>
  <c r="S17" i="40" s="1"/>
  <c r="N20" i="45"/>
  <c r="P20" i="40"/>
  <c r="R20" i="40" s="1"/>
  <c r="Q20" i="40"/>
  <c r="S20" i="40" s="1"/>
  <c r="O20" i="40"/>
  <c r="N24" i="45"/>
  <c r="O24" i="40"/>
  <c r="Q24" i="40"/>
  <c r="S24" i="40" s="1"/>
  <c r="P24" i="40"/>
  <c r="R24" i="40" s="1"/>
  <c r="N13" i="45"/>
  <c r="P13" i="40"/>
  <c r="R13" i="40" s="1"/>
  <c r="O13" i="40"/>
  <c r="Q13" i="40"/>
  <c r="S13" i="40" s="1"/>
  <c r="R12" i="37"/>
  <c r="P60" i="37"/>
  <c r="P62" i="37" s="1"/>
  <c r="N12" i="45"/>
  <c r="P12" i="40"/>
  <c r="Q12" i="40"/>
  <c r="O12" i="40"/>
  <c r="N18" i="45"/>
  <c r="P18" i="40"/>
  <c r="R18" i="40" s="1"/>
  <c r="Q18" i="40"/>
  <c r="S18" i="40" s="1"/>
  <c r="O18" i="40"/>
  <c r="N21" i="45"/>
  <c r="Q21" i="40"/>
  <c r="P21" i="40"/>
  <c r="O21" i="40"/>
  <c r="Q23" i="40"/>
  <c r="S23" i="40" s="1"/>
  <c r="O23" i="40"/>
  <c r="N23" i="45"/>
  <c r="P23" i="40"/>
  <c r="R23" i="40" s="1"/>
  <c r="S35" i="39"/>
  <c r="V35" i="39" s="1"/>
  <c r="Q35" i="39"/>
  <c r="R35" i="39"/>
  <c r="U35" i="39" s="1"/>
  <c r="S38" i="39"/>
  <c r="V38" i="39" s="1"/>
  <c r="Q38" i="39"/>
  <c r="R38" i="39"/>
  <c r="U38" i="39" s="1"/>
  <c r="R37" i="39"/>
  <c r="U37" i="39" s="1"/>
  <c r="S37" i="39"/>
  <c r="V37" i="39" s="1"/>
  <c r="Q37" i="39"/>
  <c r="S31" i="39"/>
  <c r="V31" i="39" s="1"/>
  <c r="Q31" i="39"/>
  <c r="R31" i="39"/>
  <c r="U31" i="39" s="1"/>
  <c r="R33" i="39"/>
  <c r="U33" i="39" s="1"/>
  <c r="S33" i="39"/>
  <c r="V33" i="39" s="1"/>
  <c r="Q33" i="39"/>
  <c r="R27" i="39"/>
  <c r="U27" i="39" s="1"/>
  <c r="S27" i="39"/>
  <c r="V27" i="39" s="1"/>
  <c r="Q27" i="39"/>
  <c r="S29" i="39"/>
  <c r="V29" i="39" s="1"/>
  <c r="Q29" i="39"/>
  <c r="R29" i="39"/>
  <c r="U29" i="39" s="1"/>
  <c r="S28" i="39"/>
  <c r="V28" i="39" s="1"/>
  <c r="Q28" i="39"/>
  <c r="R28" i="39"/>
  <c r="U28" i="39" s="1"/>
  <c r="S30" i="39"/>
  <c r="V30" i="39" s="1"/>
  <c r="Q30" i="39"/>
  <c r="R30" i="39"/>
  <c r="U30" i="39" s="1"/>
  <c r="R26" i="39"/>
  <c r="U26" i="39" s="1"/>
  <c r="S26" i="39"/>
  <c r="V26" i="39" s="1"/>
  <c r="Q26" i="39"/>
  <c r="R25" i="39"/>
  <c r="U25" i="39" s="1"/>
  <c r="S25" i="39"/>
  <c r="V25" i="39" s="1"/>
  <c r="Q25" i="39"/>
  <c r="R24" i="39"/>
  <c r="U24" i="39" s="1"/>
  <c r="S24" i="39"/>
  <c r="V24" i="39" s="1"/>
  <c r="Q24" i="39"/>
  <c r="R15" i="39"/>
  <c r="U15" i="39" s="1"/>
  <c r="S15" i="39"/>
  <c r="V15" i="39" s="1"/>
  <c r="Q15" i="39"/>
  <c r="R17" i="39"/>
  <c r="U17" i="39" s="1"/>
  <c r="S17" i="39"/>
  <c r="V17" i="39" s="1"/>
  <c r="Q17" i="39"/>
  <c r="S14" i="39"/>
  <c r="V14" i="39" s="1"/>
  <c r="Q14" i="39"/>
  <c r="R14" i="39"/>
  <c r="U14" i="39" s="1"/>
  <c r="S16" i="39"/>
  <c r="V16" i="39" s="1"/>
  <c r="Q16" i="39"/>
  <c r="R16" i="39"/>
  <c r="U16" i="39" s="1"/>
  <c r="O42" i="36"/>
  <c r="P42" i="36"/>
  <c r="Q42" i="36"/>
  <c r="R20" i="39"/>
  <c r="S20" i="39"/>
  <c r="Q20" i="39"/>
  <c r="T20" i="36"/>
  <c r="Q78" i="36"/>
  <c r="Q79" i="36" s="1"/>
  <c r="S20" i="36"/>
  <c r="P78" i="36"/>
  <c r="P79" i="36" s="1"/>
  <c r="P8" i="43"/>
  <c r="S8" i="43" s="1"/>
  <c r="Q8" i="43"/>
  <c r="T8" i="43" s="1"/>
  <c r="O8" i="43"/>
  <c r="O15" i="38" l="1"/>
  <c r="Q34" i="38"/>
  <c r="Q11" i="43"/>
  <c r="T11" i="43" s="1"/>
  <c r="P11" i="43"/>
  <c r="S11" i="43" s="1"/>
  <c r="O11" i="43"/>
  <c r="Q35" i="35"/>
  <c r="T35" i="35" s="1"/>
  <c r="T34" i="35"/>
  <c r="T13" i="43"/>
  <c r="T14" i="43"/>
  <c r="Q34" i="43"/>
  <c r="S14" i="43"/>
  <c r="S13" i="43"/>
  <c r="S12" i="38"/>
  <c r="P48" i="38"/>
  <c r="P49" i="38" s="1"/>
  <c r="Q12" i="43"/>
  <c r="P12" i="43"/>
  <c r="O12" i="43"/>
  <c r="O15" i="43" s="1"/>
  <c r="Q31" i="38"/>
  <c r="T15" i="38"/>
  <c r="T15" i="35"/>
  <c r="Q31" i="35"/>
  <c r="Q49" i="35"/>
  <c r="T49" i="35" s="1"/>
  <c r="T48" i="35"/>
  <c r="T12" i="38"/>
  <c r="Q48" i="38"/>
  <c r="Q15" i="43"/>
  <c r="P15" i="43"/>
  <c r="P31" i="43" s="1"/>
  <c r="P32" i="43" s="1"/>
  <c r="Q32" i="32"/>
  <c r="T32" i="32" s="1"/>
  <c r="T31" i="32"/>
  <c r="Q29" i="45"/>
  <c r="O29" i="45"/>
  <c r="P29" i="45"/>
  <c r="Q27" i="45"/>
  <c r="S27" i="45" s="1"/>
  <c r="P27" i="45"/>
  <c r="R27" i="45" s="1"/>
  <c r="O27" i="45"/>
  <c r="Q30" i="45"/>
  <c r="S30" i="45" s="1"/>
  <c r="P30" i="45"/>
  <c r="R30" i="45" s="1"/>
  <c r="O30" i="45"/>
  <c r="R12" i="40"/>
  <c r="P62" i="40"/>
  <c r="P64" i="40" s="1"/>
  <c r="O23" i="45"/>
  <c r="Q23" i="45"/>
  <c r="S23" i="45" s="1"/>
  <c r="P23" i="45"/>
  <c r="R23" i="45" s="1"/>
  <c r="O21" i="45"/>
  <c r="Q21" i="45"/>
  <c r="P21" i="45"/>
  <c r="P18" i="45"/>
  <c r="R18" i="45" s="1"/>
  <c r="Q18" i="45"/>
  <c r="S18" i="45" s="1"/>
  <c r="O18" i="45"/>
  <c r="S12" i="40"/>
  <c r="Q62" i="40"/>
  <c r="Q64" i="40" s="1"/>
  <c r="Q12" i="45"/>
  <c r="P12" i="45"/>
  <c r="O12" i="45"/>
  <c r="O13" i="45"/>
  <c r="Q13" i="45"/>
  <c r="S13" i="45" s="1"/>
  <c r="P13" i="45"/>
  <c r="R13" i="45" s="1"/>
  <c r="O24" i="45"/>
  <c r="Q24" i="45"/>
  <c r="S24" i="45" s="1"/>
  <c r="P24" i="45"/>
  <c r="R24" i="45" s="1"/>
  <c r="P20" i="45"/>
  <c r="R20" i="45" s="1"/>
  <c r="O20" i="45"/>
  <c r="Q20" i="45"/>
  <c r="S20" i="45" s="1"/>
  <c r="Q17" i="45"/>
  <c r="S17" i="45" s="1"/>
  <c r="P17" i="45"/>
  <c r="R17" i="45" s="1"/>
  <c r="O17" i="45"/>
  <c r="O14" i="45"/>
  <c r="P14" i="45"/>
  <c r="R14" i="45" s="1"/>
  <c r="Q14" i="45"/>
  <c r="S14" i="45" s="1"/>
  <c r="P19" i="45"/>
  <c r="R19" i="45" s="1"/>
  <c r="Q19" i="45"/>
  <c r="S19" i="45" s="1"/>
  <c r="O19" i="45"/>
  <c r="Q25" i="45"/>
  <c r="O25" i="45"/>
  <c r="P25" i="45"/>
  <c r="P22" i="45"/>
  <c r="R22" i="45" s="1"/>
  <c r="Q22" i="45"/>
  <c r="S22" i="45" s="1"/>
  <c r="O22" i="45"/>
  <c r="P15" i="45"/>
  <c r="R15" i="45" s="1"/>
  <c r="Q15" i="45"/>
  <c r="S15" i="45" s="1"/>
  <c r="O15" i="45"/>
  <c r="Q16" i="45"/>
  <c r="S16" i="45" s="1"/>
  <c r="P16" i="45"/>
  <c r="R16" i="45" s="1"/>
  <c r="O16" i="45"/>
  <c r="U20" i="39"/>
  <c r="R76" i="39"/>
  <c r="R77" i="39" s="1"/>
  <c r="V20" i="39"/>
  <c r="S76" i="39"/>
  <c r="S77" i="39" s="1"/>
  <c r="Q35" i="38" l="1"/>
  <c r="T35" i="38" s="1"/>
  <c r="T34" i="38"/>
  <c r="P34" i="43"/>
  <c r="P35" i="43" s="1"/>
  <c r="T34" i="43"/>
  <c r="Q35" i="43"/>
  <c r="T35" i="43" s="1"/>
  <c r="Q31" i="43"/>
  <c r="T15" i="43"/>
  <c r="Q32" i="38"/>
  <c r="T32" i="38" s="1"/>
  <c r="T31" i="38"/>
  <c r="S12" i="43"/>
  <c r="P48" i="43"/>
  <c r="P49" i="43" s="1"/>
  <c r="Q49" i="38"/>
  <c r="T49" i="38" s="1"/>
  <c r="T48" i="38"/>
  <c r="Q32" i="35"/>
  <c r="T32" i="35" s="1"/>
  <c r="T31" i="35"/>
  <c r="T12" i="43"/>
  <c r="Q48" i="43"/>
  <c r="S12" i="45"/>
  <c r="Q62" i="45"/>
  <c r="Q64" i="45" s="1"/>
  <c r="R12" i="45"/>
  <c r="P62" i="45"/>
  <c r="P64" i="45" s="1"/>
  <c r="Q32" i="43" l="1"/>
  <c r="T32" i="43" s="1"/>
  <c r="T31" i="43"/>
  <c r="Q49" i="43"/>
  <c r="T49" i="43" s="1"/>
  <c r="T48" i="43"/>
</calcChain>
</file>

<file path=xl/sharedStrings.xml><?xml version="1.0" encoding="utf-8"?>
<sst xmlns="http://schemas.openxmlformats.org/spreadsheetml/2006/main" count="2174" uniqueCount="204">
  <si>
    <t>BANGALORE ELECTRICITY SUPPLY COMPANY LIMITED</t>
  </si>
  <si>
    <t xml:space="preserve">                                    Annexure -I                                                                                                                                                                    Form-I</t>
  </si>
  <si>
    <t>Sl. No</t>
  </si>
  <si>
    <t>Name of the District Head Quarters</t>
  </si>
  <si>
    <t>Total No. of 11 KV Feeders</t>
  </si>
  <si>
    <t>Total No. of  Feeders affected</t>
  </si>
  <si>
    <t>Outage due to Incoming Supply Failure(In Hrs)</t>
  </si>
  <si>
    <t xml:space="preserve">Cumulative Outage due to Incoming Supply Failure( in Hrs) </t>
  </si>
  <si>
    <t>Outage at 11 KV Level
(in Hrs)</t>
  </si>
  <si>
    <t>Scheduled Outage</t>
  </si>
  <si>
    <t>Unscheduled Outage</t>
  </si>
  <si>
    <t>Total</t>
  </si>
  <si>
    <t>Sum of outage duration of all feeders (in Hrs)</t>
  </si>
  <si>
    <t>Outage duration per feeder(in Hrs/Fdr)</t>
  </si>
  <si>
    <t>Reliability of supply of power to consumers in %</t>
  </si>
  <si>
    <t xml:space="preserve">Cummulative outage duration of all feeders (In Hrs) </t>
  </si>
  <si>
    <t xml:space="preserve">Cummulative outage duration of all feeders (In Hrs/Feeder) </t>
  </si>
  <si>
    <t>Cummulative feeder  relaibility Index @  11 KV feeder level in %</t>
  </si>
  <si>
    <t>Cummulative  relaibility of supply of Power to consumers</t>
  </si>
  <si>
    <t>5a</t>
  </si>
  <si>
    <t>8=6+7</t>
  </si>
  <si>
    <t>9=5+8</t>
  </si>
  <si>
    <t>10=9/3</t>
  </si>
  <si>
    <t>11*</t>
  </si>
  <si>
    <t>12**</t>
  </si>
  <si>
    <t>14=13/3</t>
  </si>
  <si>
    <t>Davangere</t>
  </si>
  <si>
    <t>Chitradurga</t>
  </si>
  <si>
    <t>Tumkur</t>
  </si>
  <si>
    <t>Bangalore Urban</t>
  </si>
  <si>
    <t>Kolar</t>
  </si>
  <si>
    <t>CBPura</t>
  </si>
  <si>
    <t>Ramanagara</t>
  </si>
  <si>
    <t>* Feeder Reliabilty Index at 11kv feeder level  = {[Total No of 11kv Feeders x 24 hrs x No. of days in the Month] - [outage  duration of all 11kv feeders during the month in hrs as in column 8]} x 100 / [Total No of 11kv Feeders x 24 hrs x No. of days  in</t>
  </si>
  <si>
    <t>**Reliabilty of supply of power to consumers= {[Total No of Feeders x 24 hrs x No. of days in the Month] - [Sum of outage duration including outage in higher voltages along with 11kv Outage during the month in hrs as in column 9]} x 100 / [Total No of Fee</t>
  </si>
  <si>
    <t xml:space="preserve">* Cummulative Feeder Reliabilty Index at 11kv feeder level  = {[Total No of 11kv Feeders x 24 hrs x No. of days in the year from Apr-09 to current month] - [outage  duration of all 11kv feeders during the year in hrs as in column 13} x 100 / [Total No of </t>
  </si>
  <si>
    <t>**Cummulative Reliabilty of supply of power to consumers= {[Total No of Feeders x 24 hrs x No. of days in the year from Apr-09 to current month] - [Sum of outage duration including outage in higher voltages along with 11kv Outage during the month in hrs a</t>
  </si>
  <si>
    <t xml:space="preserve">                                    Annexure -II                                                                                                                                                                    Form-II</t>
  </si>
  <si>
    <t>Name of the Towns &amp; Cities</t>
  </si>
  <si>
    <t>Outage at 11 KV Level(in Hrs)</t>
  </si>
  <si>
    <t>2a</t>
  </si>
  <si>
    <t xml:space="preserve">Jagalur </t>
  </si>
  <si>
    <t>Channagiri</t>
  </si>
  <si>
    <t>Harihara</t>
  </si>
  <si>
    <t>Hiriyur</t>
  </si>
  <si>
    <t>Tiptur</t>
  </si>
  <si>
    <t>Madhugiri</t>
  </si>
  <si>
    <t>KGF</t>
  </si>
  <si>
    <t>CB Pura</t>
  </si>
  <si>
    <t>Anekal</t>
  </si>
  <si>
    <t>Devanahalli</t>
  </si>
  <si>
    <t>Hosakote</t>
  </si>
  <si>
    <t>Nelamangala</t>
  </si>
  <si>
    <t>Doddaballapura</t>
  </si>
  <si>
    <t>Magadi</t>
  </si>
  <si>
    <t>Channapatna</t>
  </si>
  <si>
    <t>Kanakapura</t>
  </si>
  <si>
    <t xml:space="preserve">                                    Annexure -III                                                                                                                                                                    Form-III</t>
  </si>
  <si>
    <t>Name of the Division</t>
  </si>
  <si>
    <t>Cummulative outage duration of all feeders (In Hrs)</t>
  </si>
  <si>
    <t xml:space="preserve">Davangere </t>
  </si>
  <si>
    <t>* Feeder Reliabilty Index at 11kv feeder level  = {[Total No of 11kv Feeders x 24 hrs x No. of days in the Month] - [outage  duration of all 11kv feeders during the month in hrs as in column 8]} x 100 / [Total No of 11kv Feeders x 24 hrs x No. of days  in the month]</t>
  </si>
  <si>
    <t>**Reliabilty of supply of power to consumers= {[Total No of Feeders x 24 hrs x No. of days in the Month] - [Sum of outage duration including outage in higher voltages along with 11kv Outage during the month in hrs as in column 9]} x 100 / [Total No of Feeders x 24 hrs x No. of days in the Month]</t>
  </si>
  <si>
    <t>Chintamani</t>
  </si>
  <si>
    <t>14=14/3</t>
  </si>
  <si>
    <t xml:space="preserve">* Cummulative Feeder Reliabilty Index at 11kv feeder level  = {[Total No of 11kv Feeders x 24 hrs x No. of days in the year from Apr-09 to current month] - [outage  duration of all 11kv feeders during the year in hrs as in column 14} x 100 / [Total No of </t>
  </si>
  <si>
    <t xml:space="preserve"> </t>
  </si>
  <si>
    <t>Assistant Executive Engineer(Ele)</t>
  </si>
  <si>
    <t>Deputy General Manager(Ele)</t>
  </si>
  <si>
    <t>Operation-1</t>
  </si>
  <si>
    <t>Chief General Manager(Ele)</t>
  </si>
  <si>
    <t>Operation</t>
  </si>
  <si>
    <t>Reliability for cummulative period From Apilr-16</t>
  </si>
  <si>
    <t xml:space="preserve">Honnali </t>
  </si>
  <si>
    <t xml:space="preserve">Hosadurga </t>
  </si>
  <si>
    <t xml:space="preserve">Challakere </t>
  </si>
  <si>
    <t xml:space="preserve">Molakalmuru </t>
  </si>
  <si>
    <t>Srinivaspura</t>
  </si>
  <si>
    <t>Feeder Reliability Index at 11 KV feeder  in %</t>
  </si>
  <si>
    <t xml:space="preserve">Harapanahalli </t>
  </si>
  <si>
    <t>Holalkere</t>
  </si>
  <si>
    <t>A. RELIABILITY INDICES FOR DISTRICT HEAD QUARTERS IN  BESCOM FOR APRIL-16 OF FY 2016-17</t>
  </si>
  <si>
    <t>Reliability for April-2016</t>
  </si>
  <si>
    <t>Reliability for Apr-2016</t>
  </si>
  <si>
    <t>Reliability for cummulative period From April-16</t>
  </si>
  <si>
    <t>A. RELIABILITY INDICES FOR RURAL AREAS IN  BESCOM FOR APRIL-2016 OF FY 2016-17</t>
  </si>
  <si>
    <t>Feeder Reliability Index at 11 KV feeder in %</t>
  </si>
  <si>
    <t>Operation-2</t>
  </si>
  <si>
    <t xml:space="preserve">Madhugiri  </t>
  </si>
  <si>
    <t>A. RELIABILITY INDICES FOR DISTRICT HEAD QUARTERS IN  BESCOM FOR MAY-16 OF FY 2016-17</t>
  </si>
  <si>
    <t>Reliability for MAY-2016</t>
  </si>
  <si>
    <t>A. RELIABILITY INDICES FOR TOWNS AND CITIES IN  BESCOM FOR MAY-2016 OF FY 2016-17</t>
  </si>
  <si>
    <t>Yelahanaka</t>
  </si>
  <si>
    <t>Nelamanagala</t>
  </si>
  <si>
    <t>Chandapura</t>
  </si>
  <si>
    <t>Note:   1.  Devanahalli and Hoskote subdivisions are clubed under Yelahanaka Division.</t>
  </si>
  <si>
    <t>3. Details under Anekal subdivision peratins to Chandapura Division.</t>
  </si>
  <si>
    <t>4.  Ramnagara and channaptana subdivisions are  clubed under Ramnagara Division.</t>
  </si>
  <si>
    <t>2. Nelamangala, Doddaballapura and  Magadi subdivisions are  clubed under Nelamanagala Division.</t>
  </si>
  <si>
    <t>Yelahanka</t>
  </si>
  <si>
    <t>* Feeder Reliabilty Index at 11kv feeder level  = {[Total No of 11kv Feeders x 24 hrs x No. of days in the Month] - [outage  duration of all 11kv feeders during the month in hrs as in column 8]} x 100 / [Total No of 11kv Feeders x 24 hrs x No. of days  in in a month)</t>
  </si>
  <si>
    <t>* Cummulative Feeder Reliabilty Index at 11kv feeder level  = {[Total No of 11kv Feeders x 24 hrs x No. of days in the year from Apr-09 to current month] - [outage  duration of all 11kv feeders during the year in hrs as in column 13} x 100 / [Total No of 11kv Feeders x 24 hrs x No. of days in the year from Apr-09 to current month)</t>
  </si>
  <si>
    <t>A. RELIABILITY INDICES FOR DISTRICT HEAD QUARTERS IN  BESCOM FOR June-16 OF FY 2016-17</t>
  </si>
  <si>
    <t>Reliability for June-2016</t>
  </si>
  <si>
    <t>A. RELIABILITY INDICES FOR TOWNS AND CITIES IN  BESCOM FOR June-2016 OF FY 2016-17</t>
  </si>
  <si>
    <t>A. RELIABILITY INDICES FOR RURAL AREAS IN  BESCOM FOR June-2016 OF FY 2016-17</t>
  </si>
  <si>
    <t>A. RELIABILITY INDICES FOR RURAL AREAS IN  BESCOM FOR July-2016 OF FY 2016-17</t>
  </si>
  <si>
    <t>Reliability for July-2016</t>
  </si>
  <si>
    <t>A. RELIABILITY INDICES FOR TOWNS AND CITIES IN  BESCOM FOR July-2016 OF FY 2016-17</t>
  </si>
  <si>
    <t>A. RELIABILITY INDICES FOR DISTRICT HEAD QUARTERS IN  BESCOM FOR JULY-16 OF FY 2016-17</t>
  </si>
  <si>
    <t>Note: The Madhugiri 2 Nos of feeders reduced due to Kodigenahalli &amp; Y N Hoskote of Madhugiri otwn are rural areas and considered under annexure-3</t>
  </si>
  <si>
    <t>Note:Reconsiled Figures (feeders feeding to industrial  and water supply considered in annexure 2 are shifted to rural feeders in annexure 3 in harihara, honnalli, harapanahalli and in hoskote), Nelamangala each one feeder becom idle.</t>
  </si>
  <si>
    <t>A. RELIABILITY INDICES FOR DISTRICT HEAD QUARTERS IN  BESCOM FOR Aug-16 OF FY 2016-17</t>
  </si>
  <si>
    <t>A. RELIABILITY INDICES FOR TOWNS AND CITIES IN  BESCOM FOR Aug-2016 OF FY 2016-17</t>
  </si>
  <si>
    <t>A. RELIABILITY INDICES FOR RURAL AREAS IN  BESCOM FOR Aug-2016 OF FY 2016-17</t>
  </si>
  <si>
    <t>Reliability for Aug-2016</t>
  </si>
  <si>
    <t>Note: The Outage due to incoming supply failure  for Devanahlli has been confirmed as Zero from concerned circle for the month of Aug-16</t>
  </si>
  <si>
    <t xml:space="preserve">                                                                                                  Annexure -II                                                                                       Form-II</t>
  </si>
  <si>
    <t>Annexure I</t>
  </si>
  <si>
    <t>Annexure II</t>
  </si>
  <si>
    <t>Annexure III</t>
  </si>
  <si>
    <t>Total Number of feeders</t>
  </si>
  <si>
    <t>Total number of Feeders BESCOM as a whole as per RI Annexure I,II,III=4698</t>
  </si>
  <si>
    <t>A. RELIABILITY INDICES FOR DISTRICT HEAD QUARTERS IN  BESCOM FOR Sep-16 OF FY 2016-17</t>
  </si>
  <si>
    <t>Reliability for Sep-2016</t>
  </si>
  <si>
    <t>A. RELIABILITY INDICES FOR TOWNS AND CITIES IN  BESCOM FOR Sep-2016 OF FY 2016-17</t>
  </si>
  <si>
    <t>A. RELIABILITY INDICES FOR RURAL AREAS IN  BESCOM FOR Sep-2016 OF FY 2016-17</t>
  </si>
  <si>
    <t>A. RELIABILITY INDICES FOR DISTRICT HEAD QUARTERS IN  BESCOM FOR Oct-16 OF FY 2016-17</t>
  </si>
  <si>
    <t>A. RELIABILITY INDICES FOR TOWNS AND CITIES IN  BESCOM FOR Oct-2016 OF FY 2016-17</t>
  </si>
  <si>
    <t>A. RELIABILITY INDICES FOR RURAL AREAS IN  BESCOM FOR Oct-2016 OF FY 2016-17</t>
  </si>
  <si>
    <t>Reliability for Oct-2016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</si>
  <si>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</si>
  <si>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A. RELIABILITY INDICES FOR DISTRICT HEAD QUARTERS IN  BESCOM FOR Nov-16 OF FY 2016-17</t>
  </si>
  <si>
    <t>Reliability for Nov-2016</t>
  </si>
  <si>
    <t>A. RELIABILITY INDICES FOR TOWNS AND CITIES IN  BESCOM FOR Nov-2016 OF FY 2016-17</t>
  </si>
  <si>
    <t>A. RELIABILITY INDICES FOR RURAL AREAS IN  BESCOM FOR Nov-2016 OF FY 2016-17</t>
  </si>
  <si>
    <t>A. RELIABILITY INDICES FOR DISTRICT HEAD QUARTERS IN  BESCOM FOR Dec-16 OF FY 2016-17</t>
  </si>
  <si>
    <t>Reliability for Dec-2016</t>
  </si>
  <si>
    <t>A. RELIABILITY INDICES FOR TOWNS AND CITIES IN  BESCOM FOR Dec-2016 OF FY 2016-17</t>
  </si>
  <si>
    <t>Reliability for cumulative period From April-16</t>
  </si>
  <si>
    <t xml:space="preserve">Cumulative outage duration of all feeders (In Hrs) </t>
  </si>
  <si>
    <t>Cumulative feeder  relaibility Index @  11 KV feeder level in %</t>
  </si>
  <si>
    <t>Cumulative  relaibility of supply of Power to consumers</t>
  </si>
  <si>
    <t xml:space="preserve">Cumulative outage duration of all feeders (In Hrs/Feeder) </t>
  </si>
  <si>
    <t>A. RELIABILITY INDICES FOR RURAL AREAS IN  BESCOM FOR Dec-2016 OF FY 2016-17</t>
  </si>
  <si>
    <t>Cumulative outage duration of all feeders (In Hrs)</t>
  </si>
  <si>
    <t>Note: In kolar head quarters: One new feeder is added at SNR Hosiptal, Kolar town</t>
  </si>
  <si>
    <t>Note : * Total No of 11KV Feeders pertaining to Madhugiri Division  under Annexure-3 is 289 including  Newly comissioned  NJY feeders under     Phase-3 (earlier 272 feeders).
* Total No of 11KV Feeders pertaining to Davanagere Division  under Annexure-3 is 230 including  Newly comissioned  NJY feeder under Phase-3 (earlier 229 feeders).</t>
  </si>
  <si>
    <t>A. RELIABILITY INDICES FOR DISTRICT HEAD QUARTERS IN  BESCOM FOR Jan'17 OF FY 2016-17</t>
  </si>
  <si>
    <t>Reliability for Jan-2017</t>
  </si>
  <si>
    <t>B. RELIABILITY INDICES FOR TOWNS AND CITIES IN  BESCOM FOR Jan-2017 OF FY 2016-17</t>
  </si>
  <si>
    <t>C. RELIABILITY INDICES FOR RURAL AREAS IN  BESCOM FOR Jan-2017 OF FY 2016-17</t>
  </si>
  <si>
    <t>Bangalore South</t>
  </si>
  <si>
    <t xml:space="preserve">Note: </t>
  </si>
  <si>
    <t xml:space="preserve">                                                                                                                                               </t>
  </si>
  <si>
    <t>1. South:  Gollahalli MUSS, F12 feeder</t>
  </si>
  <si>
    <t>2. East: HBR MUSS, F18-Nagenahalli feeder</t>
  </si>
  <si>
    <t>3. North:  Hebbal MUSS, F17 P&amp;T Colony feeder.</t>
  </si>
  <si>
    <t>4. North: Sahakarnagar MUSS, F18 Adhar feeder.</t>
  </si>
  <si>
    <t>Details of new 4 feeders added:</t>
  </si>
  <si>
    <t>A. RELIABILITY INDICES FOR DISTRICT HEAD QUARTERS IN  BESCOM FOR Feb'17 OF FY 2016-17</t>
  </si>
  <si>
    <t>Reliability for Feb-2017</t>
  </si>
  <si>
    <t>B. RELIABILITY INDICES FOR TOWNS AND CITIES IN  BESCOM FOR Feb-2017 OF FY 2016-17</t>
  </si>
  <si>
    <t>C. RELIABILITY INDICES FOR RURAL AREAS IN  BESCOM FOR Feb-2017 OF FY 2016-17</t>
  </si>
  <si>
    <t>Note:</t>
  </si>
  <si>
    <t>Note: Newly added feeders in the month of february-2017 F11 Vapasandra of Gudibanda MUSS and F-10 Pesalaparthi of Thimmampalli MUSS</t>
  </si>
  <si>
    <t>Note: 1) 6 NJY Feeders are newly commissioned in Davanagere Division. Hiremallanahole - 2, Bilichodu-2, Mellekatte-2 Nos.
         2) 2 NJY Feeders are newly commissioned in Hiriyur Division, 1) Hinduskatte Station Chigalikatte Feeder 2) Ranganathapura Station Laxmipura Feeder</t>
  </si>
  <si>
    <t>Note: 1) 6 NJY Feeders are newly commissioned in Davanagere Division. Hiremallanahole - 2, Bilichodu-2, Mellekatte-2 Nos.
         2) 2 NJY Feeders are newly commissioned in Hiriyur Division, Chigalikatte feeder-1(Hinduskatte MUSS), Lakshmi pura feeder(Ranganathapura MUSS)
         3) 2 Feeders are newly commissioned in CB Pura Division F11 vapasandra( Guddibanda MUSS) &amp; F10 Pesalaparathi( Thimmampalli MUSS)</t>
  </si>
  <si>
    <t>Note: A feeder is newly commissioned in Devanahalli Division, Feeder name:F-12 Kundana ( Pandithapura Station)</t>
  </si>
  <si>
    <t xml:space="preserve"> A new feeder commissioned in Bangalore Urban South Circle :  F10 feeder, Anjanapura MUSS,</t>
  </si>
  <si>
    <t>A. RELIABILITY INDICES FOR DISTRICT HEAD QUARTERS IN  BESCOM FOR Mar'17 OF FY 2016-17</t>
  </si>
  <si>
    <t>Reliability for Mar-2017</t>
  </si>
  <si>
    <t>B. RELIABILITY INDICES FOR TOWNS AND CITIES IN  BESCOM FOR Mar-2017 OF FY 2016-17</t>
  </si>
  <si>
    <t>C. RELIABILITY INDICES FOR RURAL AREAS IN  BESCOM FOR Mar-2017 OF FY 2016-17</t>
  </si>
  <si>
    <t xml:space="preserve"> Four new feeders added in BMAZ
1. South circle:F11 feeder, Arehalli MUSS
2. East circle: F-16 feeder in HBR  
3. East circle: F-19 feeder in Manyatha MUSS 
4. North circle: F-4 feeder in Brindavan MUSS</t>
  </si>
  <si>
    <t xml:space="preserve">Note:  In Madhugiri Division 10Nos. of  11Kv Feeders are newly commissioned 
          In KGF Division 2 Nos of 11KV Feeders are newly Commissioned
          In CB Pura 7 Nos of 11KV Feeders are newly commissioned
          In Chintamani 1 No of 11Kv Feeder is newly commissioned 
            </t>
  </si>
  <si>
    <t>Reliability for cummulative period From April-17</t>
  </si>
  <si>
    <t xml:space="preserve">Cummulative Outage due to Incoming Supply Failure
( in Hrs) </t>
  </si>
  <si>
    <t>Outage due to Incoming Supply Failure
(In Hrs)</t>
  </si>
  <si>
    <t>Outage duration per feeder
(in Hrs/Fdr)</t>
  </si>
  <si>
    <t>Cummulative feeder  Relaibility Index @  11 KV feeder level in %</t>
  </si>
  <si>
    <t>Cummulative  Relaibility of supply of Power to consumers</t>
  </si>
  <si>
    <t xml:space="preserve">Cumulative Outage due to Incoming Supply Failure
( in Hrs) </t>
  </si>
  <si>
    <t xml:space="preserve">SAIFI </t>
  </si>
  <si>
    <t>19=17/3</t>
  </si>
  <si>
    <t>20=18/3</t>
  </si>
  <si>
    <t xml:space="preserve">SAIDI </t>
  </si>
  <si>
    <t>Sum of outage duration of all feeders (in Hr:mm:ss)</t>
  </si>
  <si>
    <t>Bangalore south</t>
  </si>
  <si>
    <t>Total No. of  Feeders Interruption</t>
  </si>
  <si>
    <t>1. Newly added  F13-NJY Handiganala of Sidlagatta USD sub-division of Sidlaghatta Muss.</t>
  </si>
  <si>
    <t>2. Newly added F14-NJY Thummanahalli of Sidlagatta USD sub-division of Sidlaghatta.</t>
  </si>
  <si>
    <t>3. Newly added F2-Saddahalli of Pallicherlu Muss of Sidlagatta RSD sub-division of Sidlaghatta.</t>
  </si>
  <si>
    <t>4. Newly added F3-Marihalli of Pallicherlu Muss of Sidlagatta RSD sud-division of Sidlagatta.</t>
  </si>
  <si>
    <t>5. Newly added F4-Chowdareddyhalli of Pallicherlu Muss of Sidlaghatta RSd sub-division of Sidlaghatta.</t>
  </si>
  <si>
    <t>Reliability for Dec-2017</t>
  </si>
  <si>
    <t>A. RELIABILITY INDICES FOR DISTRICT HEAD QUARTERS IN  BESCOM FOR DEC-17 OF FY 2017-18</t>
  </si>
  <si>
    <t>SAIFI &amp; SAIDI of feeders for Dec-2017</t>
  </si>
  <si>
    <t>A. RELIABILITY INDICES FOR TOWNS AND CITIES IN  BESCOM FOR DEC-2017 OF FY 2017-18</t>
  </si>
  <si>
    <t>A. RELIABILITY INDICES FOR RURAL AREAS IN  BESCOM FOR DEC-2017 OF FY 2017-18</t>
  </si>
  <si>
    <t>Note:  In Devanahalli division, 2 feeders are newly added in month of Dec-17</t>
  </si>
  <si>
    <t xml:space="preserve"> Two New feeders were added in BMAZ in the month of Dec-17</t>
  </si>
  <si>
    <t>Total No. of  Feeder Interruptions</t>
  </si>
  <si>
    <t xml:space="preserve">Note: 1.  In KGF division, 6 feeders were newly added.
          2. In Chikkabalappura division, 1 feeder is newly added.
          3. In Chinthamani division, 3 feeders were newly added.
          4. In Hiriyur division, 2 feeeders were newly 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</si>
</sst>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1" formatCode="_ * #,##0_ ;_ * \-#,##0_ ;_ * &quot;-&quot;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00"/>
    <numFmt numFmtId="168" formatCode="0.000000"/>
    <numFmt numFmtId="169" formatCode="#"/>
    <numFmt numFmtId="170" formatCode="#,##0.0000_);\(#,##0.0000\)"/>
    <numFmt numFmtId="171" formatCode="_-* #,##0\ &quot;F&quot;_-;\-* #,##0\ &quot;F&quot;_-;_-* &quot;-&quot;\ &quot;F&quot;_-;_-@_-"/>
    <numFmt numFmtId="172" formatCode="0.00000_)"/>
    <numFmt numFmtId="173" formatCode="_-* #,##0\ _F_-;\-* #,##0\ _F_-;_-* &quot;-&quot;\ _F_-;_-@_-"/>
    <numFmt numFmtId="174" formatCode="&quot;$&quot;#,##0.0000_);\(&quot;$&quot;#,##0.0000\)"/>
    <numFmt numFmtId="175" formatCode="&quot;Warning&quot;;&quot;Warning&quot;;&quot;OK&quot;"/>
    <numFmt numFmtId="176" formatCode="#,##0&quot; $&quot;;\-#,##0&quot; $&quot;"/>
    <numFmt numFmtId="177" formatCode="#,##0.0;[Red]#,##0.0"/>
    <numFmt numFmtId="178" formatCode="_([$€-2]* #,##0.00_);_([$€-2]* \(#,##0.00\);_([$€-2]* &quot;-&quot;??_)"/>
    <numFmt numFmtId="179" formatCode="#,##0_-;\ \(#,##0\);_-* &quot;-&quot;??;_-@_-"/>
    <numFmt numFmtId="180" formatCode="#,##0.0"/>
    <numFmt numFmtId="181" formatCode="#,##0.0_);\(#,##0.0\)"/>
    <numFmt numFmtId="182" formatCode="0\);"/>
    <numFmt numFmtId="183" formatCode="#,##0;[Red]\(#,##0\)"/>
    <numFmt numFmtId="184" formatCode="#,##0.0000_)"/>
    <numFmt numFmtId="185" formatCode="##,##0.000_);\(#,##0.000\)"/>
    <numFmt numFmtId="186" formatCode="_-* #,##0.00_-;\-* #,##0.00_-;_-* &quot;-&quot;??_-;_-@_-"/>
    <numFmt numFmtId="187" formatCode="_-* #,##0_-;\-* #,##0_-;_-* &quot;-&quot;_-;_-@_-"/>
    <numFmt numFmtId="188" formatCode="&quot;ß&quot;#,##0.00_);\(&quot;ß&quot;#,##0.00\)"/>
    <numFmt numFmtId="189" formatCode="0.0%"/>
    <numFmt numFmtId="190" formatCode="&quot;$&quot;#,##0;\-&quot;$&quot;#,##0"/>
    <numFmt numFmtId="191" formatCode="0.00\ &quot;x&quot;"/>
    <numFmt numFmtId="192" formatCode="_(&quot;$&quot;* #,##0.0000000_);_(&quot;$&quot;* \(#,##0.0000000\);_(&quot;$&quot;* &quot;-&quot;??_);_(@_)"/>
    <numFmt numFmtId="193" formatCode="_ &quot;kr&quot;\ * #,##0_ ;_ &quot;kr&quot;\ * \-#,##0_ ;_ &quot;kr&quot;\ * &quot;-&quot;_ ;_ @_ "/>
    <numFmt numFmtId="194" formatCode="_ &quot;kr&quot;\ * #,##0.00_ ;_ &quot;kr&quot;\ * \-#,##0.00_ ;_ &quot;kr&quot;\ * &quot;-&quot;??_ ;_ @_ "/>
    <numFmt numFmtId="195" formatCode="_-&quot;$&quot;* #,##0_-;\-&quot;$&quot;* #,##0_-;_-&quot;$&quot;* &quot;-&quot;_-;_-@_-"/>
    <numFmt numFmtId="196" formatCode="General_)"/>
    <numFmt numFmtId="197" formatCode="0.00_)"/>
    <numFmt numFmtId="198" formatCode="&quot;Rs.&quot;#,##0.00_);\(&quot;Rs.&quot;#,##0.00\)"/>
    <numFmt numFmtId="199" formatCode="_-* #,##0\ _D_M_-;\-* #,##0\ _D_M_-;_-* &quot;-&quot;\ _D_M_-;_-@_-"/>
    <numFmt numFmtId="200" formatCode="_-* #,##0.00\ _D_M_-;\-* #,##0.00\ _D_M_-;_-* &quot;-&quot;??\ _D_M_-;_-@_-"/>
    <numFmt numFmtId="201" formatCode="_-* #,##0\ &quot;DM&quot;_-;\-* #,##0\ &quot;DM&quot;_-;_-* &quot;-&quot;\ &quot;DM&quot;_-;_-@_-"/>
    <numFmt numFmtId="202" formatCode="_-* #,##0.00\ &quot;DM&quot;_-;\-* #,##0.00\ &quot;DM&quot;_-;_-* &quot;-&quot;??\ &quot;DM&quot;_-;_-@_-"/>
    <numFmt numFmtId="203" formatCode="_-&quot;\&quot;* #,##0_-;\-&quot;\&quot;* #,##0_-;_-&quot;\&quot;* &quot;-&quot;_-;_-@_-"/>
    <numFmt numFmtId="204" formatCode="_-&quot;\&quot;* #,##0.00_-;\-&quot;\&quot;* #,##0.00_-;_-&quot;\&quot;* &quot;-&quot;??_-;_-@_-"/>
    <numFmt numFmtId="205" formatCode="0.00;[Red]0.00"/>
    <numFmt numFmtId="206" formatCode="0.0000"/>
    <numFmt numFmtId="207" formatCode="_(* #,##0_);_(* \(#,##0\);_(* &quot;-&quot;??_);_(@_)"/>
    <numFmt numFmtId="208" formatCode="[h]:mm:ss;@"/>
  </numFmts>
  <fonts count="177">
    <font>
      <sz val="10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Century Gothic"/>
      <family val="2"/>
    </font>
    <font>
      <sz val="12"/>
      <name val="Times New Roman"/>
      <family val="1"/>
    </font>
    <font>
      <sz val="11"/>
      <name val="Verdan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sz val="14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Times New Roman"/>
      <family val="1"/>
    </font>
    <font>
      <sz val="18"/>
      <color indexed="16"/>
      <name val="Courier"/>
      <family val="3"/>
    </font>
    <font>
      <sz val="20"/>
      <color indexed="16"/>
      <name val="Courier"/>
      <family val="3"/>
    </font>
    <font>
      <b/>
      <sz val="20"/>
      <color indexed="16"/>
      <name val="Courier"/>
      <family val="3"/>
    </font>
    <font>
      <sz val="24"/>
      <color indexed="16"/>
      <name val="Courier"/>
      <family val="3"/>
    </font>
    <font>
      <b/>
      <sz val="24"/>
      <color indexed="16"/>
      <name val="Courier"/>
      <family val="3"/>
    </font>
    <font>
      <sz val="14"/>
      <name val="AngsanaUPC"/>
      <family val="1"/>
    </font>
    <font>
      <sz val="8"/>
      <name val="Times New Roman"/>
      <family val="1"/>
    </font>
    <font>
      <sz val="10"/>
      <color indexed="16"/>
      <name val="Arial"/>
      <family val="2"/>
    </font>
    <font>
      <sz val="12"/>
      <name val="Tms Rmn"/>
    </font>
    <font>
      <sz val="12"/>
      <name val="¹ÙÅÁÃ¼"/>
      <charset val="129"/>
    </font>
    <font>
      <b/>
      <sz val="10"/>
      <color indexed="16"/>
      <name val="Arial"/>
      <family val="2"/>
    </font>
    <font>
      <sz val="10"/>
      <color indexed="55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Helv"/>
    </font>
    <font>
      <sz val="11"/>
      <name val="Book Antiqua"/>
      <family val="1"/>
    </font>
    <font>
      <sz val="10"/>
      <color indexed="16"/>
      <name val="MS Serif"/>
      <family val="1"/>
    </font>
    <font>
      <b/>
      <sz val="10"/>
      <color indexed="36"/>
      <name val="Arial"/>
      <family val="2"/>
    </font>
    <font>
      <sz val="10"/>
      <color indexed="23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12"/>
      <name val="Helv"/>
    </font>
    <font>
      <b/>
      <sz val="13"/>
      <color indexed="9"/>
      <name val="Times New Roman"/>
      <family val="1"/>
    </font>
    <font>
      <sz val="12"/>
      <color indexed="9"/>
      <name val="Helv"/>
    </font>
    <font>
      <sz val="7"/>
      <name val="Small Fonts"/>
      <family val="2"/>
    </font>
    <font>
      <sz val="10"/>
      <color indexed="17"/>
      <name val="Arial"/>
      <family val="2"/>
    </font>
    <font>
      <b/>
      <sz val="10"/>
      <name val="Arial CE"/>
      <family val="2"/>
      <charset val="238"/>
    </font>
    <font>
      <sz val="10"/>
      <name val="Tms Rmn"/>
    </font>
    <font>
      <sz val="10"/>
      <name val="MS Sans Serif"/>
      <family val="2"/>
    </font>
    <font>
      <b/>
      <sz val="10"/>
      <color indexed="56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u/>
      <sz val="9"/>
      <color indexed="36"/>
      <name val="Arial"/>
      <family val="2"/>
    </font>
    <font>
      <b/>
      <sz val="8"/>
      <color indexed="8"/>
      <name val="Helv"/>
    </font>
    <font>
      <b/>
      <sz val="11"/>
      <color indexed="9"/>
      <name val="Times New Roman"/>
      <family val="1"/>
    </font>
    <font>
      <b/>
      <sz val="10"/>
      <color indexed="1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2"/>
      <color indexed="8"/>
      <name val="Book Antiqua"/>
      <family val="1"/>
    </font>
    <font>
      <sz val="10"/>
      <name val="Times New Roman"/>
      <family val="1"/>
    </font>
    <font>
      <sz val="11"/>
      <name val="Courier"/>
      <family val="3"/>
    </font>
    <font>
      <b/>
      <sz val="8.1999999999999993"/>
      <color indexed="8"/>
      <name val="Arial"/>
      <family val="2"/>
    </font>
    <font>
      <sz val="12"/>
      <name val="Marigold"/>
      <family val="4"/>
    </font>
    <font>
      <sz val="10"/>
      <color indexed="8"/>
      <name val="MS Sans Serif"/>
      <family val="2"/>
    </font>
    <font>
      <sz val="10"/>
      <name val="Helv"/>
      <family val="2"/>
    </font>
    <font>
      <b/>
      <sz val="11"/>
      <name val="Times New Roman"/>
      <family val="1"/>
    </font>
    <font>
      <sz val="11"/>
      <name val="돋움"/>
      <family val="3"/>
      <charset val="129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name val="Book Antiqua"/>
      <family val="1"/>
    </font>
    <font>
      <sz val="12"/>
      <name val="Bookman Old Style"/>
      <family val="1"/>
    </font>
    <font>
      <sz val="12"/>
      <color indexed="8"/>
      <name val="Arial"/>
      <family val="2"/>
    </font>
    <font>
      <sz val="14"/>
      <name val="Bookman Old Style"/>
      <family val="1"/>
    </font>
    <font>
      <sz val="14"/>
      <color indexed="8"/>
      <name val="Bookman Old Style"/>
      <family val="1"/>
    </font>
    <font>
      <b/>
      <sz val="9"/>
      <name val="Bookman Old Style"/>
      <family val="1"/>
    </font>
    <font>
      <b/>
      <sz val="10"/>
      <name val="Bookman Old Style"/>
      <family val="1"/>
    </font>
    <font>
      <b/>
      <sz val="14"/>
      <name val="Bookman Old Style"/>
      <family val="1"/>
    </font>
    <font>
      <b/>
      <sz val="12"/>
      <name val="Bookman Old Style"/>
      <family val="1"/>
    </font>
    <font>
      <b/>
      <sz val="20"/>
      <name val="Bookman Old Style"/>
      <family val="1"/>
    </font>
    <font>
      <sz val="10"/>
      <name val="Bookman Old Style"/>
      <family val="1"/>
    </font>
    <font>
      <sz val="14"/>
      <color indexed="10"/>
      <name val="Bookman Old Style"/>
      <family val="1"/>
    </font>
    <font>
      <b/>
      <sz val="12"/>
      <color indexed="8"/>
      <name val="Bookman Old Style"/>
      <family val="1"/>
    </font>
    <font>
      <b/>
      <sz val="14"/>
      <color indexed="8"/>
      <name val="Bookman Old Style"/>
      <family val="1"/>
    </font>
    <font>
      <sz val="10"/>
      <name val="Arial"/>
      <family val="2"/>
    </font>
    <font>
      <sz val="9"/>
      <name val="Arial"/>
      <family val="2"/>
    </font>
    <font>
      <b/>
      <sz val="16"/>
      <name val="Century Gothic"/>
      <family val="2"/>
    </font>
    <font>
      <sz val="16"/>
      <name val="Arial"/>
      <family val="2"/>
    </font>
    <font>
      <sz val="12"/>
      <color indexed="8"/>
      <name val="Arial"/>
      <family val="2"/>
    </font>
    <font>
      <sz val="12"/>
      <color indexed="8"/>
      <name val="Bookman Old Style"/>
      <family val="1"/>
    </font>
    <font>
      <sz val="11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Arial1"/>
    </font>
    <font>
      <u/>
      <sz val="11"/>
      <color theme="10"/>
      <name val="Calibri"/>
      <family val="2"/>
    </font>
    <font>
      <i/>
      <sz val="12"/>
      <color theme="6" tint="-0.249977111117893"/>
      <name val="Bookman Old Style"/>
      <family val="1"/>
    </font>
    <font>
      <b/>
      <sz val="14"/>
      <color theme="1"/>
      <name val="Century"/>
      <family val="1"/>
    </font>
    <font>
      <sz val="12"/>
      <color indexed="10"/>
      <name val="Bookman Old Style"/>
      <family val="1"/>
    </font>
    <font>
      <sz val="12"/>
      <color theme="1"/>
      <name val="Bookman Old Style"/>
      <family val="1"/>
    </font>
    <font>
      <b/>
      <sz val="12"/>
      <color indexed="17"/>
      <name val="Bookman Old Style"/>
      <family val="1"/>
    </font>
    <font>
      <sz val="10"/>
      <color indexed="9"/>
      <name val="Bookman Old Style"/>
      <family val="1"/>
    </font>
    <font>
      <i/>
      <sz val="12"/>
      <color rgb="FFFFFF00"/>
      <name val="Bookman Old Style"/>
      <family val="1"/>
    </font>
    <font>
      <i/>
      <sz val="12"/>
      <name val="Bookman Old Style"/>
      <family val="1"/>
    </font>
    <font>
      <i/>
      <sz val="12"/>
      <color rgb="FF00B050"/>
      <name val="Bookman Old Style"/>
      <family val="1"/>
    </font>
    <font>
      <b/>
      <sz val="14"/>
      <name val="Book Antiqua"/>
      <family val="1"/>
    </font>
    <font>
      <i/>
      <sz val="12"/>
      <color rgb="FF00B0F0"/>
      <name val="Bookman Old Style"/>
      <family val="1"/>
    </font>
    <font>
      <sz val="12"/>
      <color rgb="FF00B0F0"/>
      <name val="Bookman Old Style"/>
      <family val="1"/>
    </font>
    <font>
      <sz val="16"/>
      <name val="Bookman Old Style"/>
      <family val="1"/>
    </font>
    <font>
      <b/>
      <sz val="14"/>
      <name val="Century"/>
      <family val="1"/>
    </font>
    <font>
      <sz val="13"/>
      <name val="Bookman Old Style"/>
      <family val="1"/>
    </font>
    <font>
      <sz val="12.5"/>
      <name val="Bookman Old Style"/>
      <family val="1"/>
    </font>
    <font>
      <sz val="12.5"/>
      <name val="Century"/>
      <family val="1"/>
    </font>
    <font>
      <sz val="12.5"/>
      <name val="Book Antiqua"/>
      <family val="1"/>
    </font>
    <font>
      <b/>
      <sz val="12.5"/>
      <name val="Book Antiqua"/>
      <family val="1"/>
    </font>
    <font>
      <i/>
      <sz val="12.5"/>
      <name val="Bookman Old Style"/>
      <family val="1"/>
    </font>
    <font>
      <i/>
      <sz val="12"/>
      <color theme="9" tint="-0.249977111117893"/>
      <name val="Bookman Old Style"/>
      <family val="1"/>
    </font>
    <font>
      <i/>
      <sz val="12.5"/>
      <color theme="9" tint="-0.249977111117893"/>
      <name val="Bookman Old Style"/>
      <family val="1"/>
    </font>
    <font>
      <sz val="12.5"/>
      <color theme="9" tint="-0.249977111117893"/>
      <name val="Bookman Old Style"/>
      <family val="1"/>
    </font>
    <font>
      <b/>
      <sz val="16"/>
      <color indexed="12"/>
      <name val="Bookman Old Style"/>
      <family val="1"/>
    </font>
    <font>
      <i/>
      <sz val="12.5"/>
      <color theme="1"/>
      <name val="Bookman Old Style"/>
      <family val="1"/>
    </font>
    <font>
      <sz val="12.5"/>
      <color theme="1"/>
      <name val="Bookman Old Style"/>
      <family val="1"/>
    </font>
    <font>
      <b/>
      <sz val="12"/>
      <color theme="1"/>
      <name val="Century"/>
      <family val="1"/>
    </font>
    <font>
      <b/>
      <sz val="16"/>
      <name val="Century"/>
      <family val="1"/>
    </font>
    <font>
      <sz val="10"/>
      <name val="Century"/>
      <family val="1"/>
    </font>
    <font>
      <sz val="10"/>
      <color rgb="FFFF0000"/>
      <name val="Century"/>
      <family val="1"/>
    </font>
    <font>
      <b/>
      <sz val="14"/>
      <color indexed="12"/>
      <name val="Bookman Old Style"/>
      <family val="1"/>
    </font>
    <font>
      <b/>
      <sz val="11"/>
      <color theme="7" tint="-0.499984740745262"/>
      <name val="Arial"/>
      <family val="2"/>
    </font>
    <font>
      <b/>
      <sz val="12"/>
      <color theme="3" tint="0.39997558519241921"/>
      <name val="Arial"/>
      <family val="2"/>
    </font>
    <font>
      <b/>
      <sz val="16"/>
      <name val="Bookman Old Style"/>
      <family val="1"/>
    </font>
    <font>
      <sz val="14"/>
      <name val="Book Antiqua"/>
      <family val="1"/>
    </font>
    <font>
      <b/>
      <sz val="18"/>
      <name val="Bookman Old Style"/>
      <family val="1"/>
    </font>
    <font>
      <i/>
      <sz val="12"/>
      <color rgb="FFFF0000"/>
      <name val="Bookman Old Style"/>
      <family val="1"/>
    </font>
    <font>
      <i/>
      <sz val="12"/>
      <color rgb="FFFF0000"/>
      <name val="Arial"/>
      <family val="2"/>
    </font>
    <font>
      <sz val="14"/>
      <color theme="1"/>
      <name val="Century"/>
      <family val="1"/>
    </font>
    <font>
      <sz val="12"/>
      <color rgb="FFFF0000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4"/>
      <color rgb="FF00B050"/>
      <name val="Bookman Old Style"/>
      <family val="1"/>
    </font>
    <font>
      <sz val="14"/>
      <name val="Century"/>
      <family val="1"/>
    </font>
    <font>
      <b/>
      <sz val="11"/>
      <color theme="1"/>
      <name val="Arial"/>
      <family val="2"/>
    </font>
    <font>
      <i/>
      <sz val="14"/>
      <color rgb="FFFF0000"/>
      <name val="Bookman Old Style"/>
      <family val="1"/>
    </font>
    <font>
      <b/>
      <sz val="14"/>
      <color rgb="FF0A10FC"/>
      <name val="Bookman Old Style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11"/>
      <name val="Century"/>
      <family val="1"/>
    </font>
    <font>
      <b/>
      <sz val="14"/>
      <color indexed="17"/>
      <name val="Book Antiqua"/>
      <family val="1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22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5"/>
      </patternFill>
    </fill>
    <fill>
      <patternFill patternType="lightGray">
        <bgColor indexed="9"/>
      </patternFill>
    </fill>
    <fill>
      <patternFill patternType="lightUp">
        <fgColor indexed="14"/>
        <bgColor indexed="45"/>
      </patternFill>
    </fill>
    <fill>
      <patternFill patternType="solid">
        <fgColor indexed="9"/>
        <bgColor indexed="64"/>
      </patternFill>
    </fill>
    <fill>
      <patternFill patternType="lightDown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62"/>
        <bgColor indexed="64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14">
    <xf numFmtId="0" fontId="0" fillId="0" borderId="0"/>
    <xf numFmtId="0" fontId="4" fillId="0" borderId="0"/>
    <xf numFmtId="0" fontId="2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1" fillId="0" borderId="0">
      <alignment vertical="top"/>
    </xf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1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3" fillId="0" borderId="1" applyNumberFormat="0" applyBorder="0" applyAlignment="0">
      <alignment horizontal="center" vertical="center"/>
    </xf>
    <xf numFmtId="169" fontId="39" fillId="0" borderId="0">
      <protection locked="0"/>
    </xf>
    <xf numFmtId="169" fontId="40" fillId="0" borderId="0">
      <protection locked="0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9" fontId="41" fillId="0" borderId="0">
      <protection locked="0"/>
    </xf>
    <xf numFmtId="169" fontId="42" fillId="0" borderId="0">
      <protection locked="0"/>
    </xf>
    <xf numFmtId="169" fontId="43" fillId="0" borderId="0">
      <protection locked="0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9" fontId="44" fillId="0" borderId="0"/>
    <xf numFmtId="9" fontId="44" fillId="0" borderId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>
      <alignment horizontal="center" vertical="top" wrapText="1"/>
      <protection locked="0"/>
    </xf>
    <xf numFmtId="0" fontId="53" fillId="0" borderId="0"/>
    <xf numFmtId="0" fontId="53" fillId="0" borderId="0"/>
    <xf numFmtId="0" fontId="4" fillId="0" borderId="0" applyFill="0" applyBorder="0">
      <alignment vertical="center"/>
    </xf>
    <xf numFmtId="0" fontId="46" fillId="20" borderId="2" applyNumberFormat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96" fontId="82" fillId="0" borderId="3">
      <protection locked="0"/>
    </xf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47" fillId="0" borderId="0" applyNumberFormat="0" applyFill="0" applyBorder="0" applyAlignment="0" applyProtection="0"/>
    <xf numFmtId="0" fontId="48" fillId="0" borderId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174" fontId="4" fillId="0" borderId="0" applyFill="0" applyBorder="0" applyAlignment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17" fillId="21" borderId="4" applyNumberFormat="0" applyAlignment="0" applyProtection="0"/>
    <xf numFmtId="0" fontId="49" fillId="22" borderId="5">
      <alignment horizontal="center"/>
    </xf>
    <xf numFmtId="175" fontId="50" fillId="23" borderId="6">
      <alignment horizontal="center"/>
    </xf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18" fillId="24" borderId="7" applyNumberFormat="0" applyAlignment="0" applyProtection="0"/>
    <xf numFmtId="0" fontId="6" fillId="0" borderId="8">
      <alignment horizontal="center" vertical="center"/>
    </xf>
    <xf numFmtId="165" fontId="5" fillId="0" borderId="0" applyFont="0" applyFill="0" applyBorder="0" applyAlignment="0" applyProtection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76" fontId="9" fillId="0" borderId="0"/>
    <xf numFmtId="165" fontId="80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1" fillId="0" borderId="0" applyNumberFormat="0" applyAlignment="0">
      <alignment horizontal="left"/>
    </xf>
    <xf numFmtId="0" fontId="52" fillId="0" borderId="0" applyNumberFormat="0" applyAlignment="0"/>
    <xf numFmtId="196" fontId="83" fillId="0" borderId="9" applyNumberFormat="0" applyBorder="0" applyAlignment="0" applyProtection="0">
      <protection locked="0"/>
    </xf>
    <xf numFmtId="0" fontId="53" fillId="0" borderId="10"/>
    <xf numFmtId="164" fontId="84" fillId="0" borderId="0" applyFont="0" applyFill="0" applyBorder="0" applyAlignment="0" applyProtection="0"/>
    <xf numFmtId="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4" fillId="0" borderId="0" applyFont="0" applyFill="0" applyBorder="0" applyAlignment="0" applyProtection="0"/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77" fontId="4" fillId="0" borderId="1">
      <alignment vertical="center"/>
      <protection locked="0"/>
    </xf>
    <xf numFmtId="15" fontId="54" fillId="0" borderId="11"/>
    <xf numFmtId="0" fontId="4" fillId="25" borderId="1" applyNumberFormat="0"/>
    <xf numFmtId="0" fontId="55" fillId="0" borderId="0" applyNumberFormat="0" applyAlignment="0">
      <alignment horizontal="left"/>
    </xf>
    <xf numFmtId="0" fontId="56" fillId="26" borderId="12" applyNumberFormat="0" applyAlignment="0">
      <alignment horizontal="center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178" fontId="52" fillId="0" borderId="0" applyFont="0" applyFill="0" applyBorder="0" applyAlignment="0" applyProtection="0"/>
    <xf numFmtId="0" fontId="122" fillId="0" borderId="0"/>
    <xf numFmtId="0" fontId="124" fillId="0" borderId="0">
      <alignment vertical="center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0" fontId="4" fillId="27" borderId="0" applyNumberFormat="0" applyFont="0" applyAlignment="0"/>
    <xf numFmtId="179" fontId="57" fillId="28" borderId="4"/>
    <xf numFmtId="0" fontId="82" fillId="0" borderId="13" applyNumberFormat="0" applyFill="0" applyBorder="0" applyAlignment="0" applyProtection="0">
      <protection locked="0"/>
    </xf>
    <xf numFmtId="180" fontId="58" fillId="0" borderId="14">
      <alignment horizontal="right"/>
    </xf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38" fontId="59" fillId="29" borderId="0" applyNumberFormat="0" applyBorder="0" applyAlignment="0" applyProtection="0"/>
    <xf numFmtId="38" fontId="59" fillId="29" borderId="0" applyNumberFormat="0" applyBorder="0" applyAlignment="0" applyProtection="0"/>
    <xf numFmtId="38" fontId="59" fillId="29" borderId="0" applyNumberFormat="0" applyBorder="0" applyAlignment="0" applyProtection="0"/>
    <xf numFmtId="38" fontId="59" fillId="29" borderId="0" applyNumberFormat="0" applyBorder="0" applyAlignment="0" applyProtection="0"/>
    <xf numFmtId="38" fontId="59" fillId="29" borderId="0" applyNumberFormat="0" applyBorder="0" applyAlignment="0" applyProtection="0"/>
    <xf numFmtId="38" fontId="59" fillId="29" borderId="0" applyNumberFormat="0" applyBorder="0" applyAlignment="0" applyProtection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4" fillId="30" borderId="6" applyNumberFormat="0" applyFont="0" applyAlignment="0"/>
    <xf numFmtId="0" fontId="6" fillId="0" borderId="15" applyNumberFormat="0" applyAlignment="0" applyProtection="0">
      <alignment horizontal="left" vertical="center"/>
    </xf>
    <xf numFmtId="0" fontId="6" fillId="0" borderId="16">
      <alignment horizontal="left" vertical="center"/>
    </xf>
    <xf numFmtId="0" fontId="60" fillId="0" borderId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1" fillId="0" borderId="17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2" fillId="0" borderId="18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1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/>
    <xf numFmtId="0" fontId="60" fillId="0" borderId="0" applyNumberFormat="0" applyFill="0" applyBorder="0" applyAlignment="0"/>
    <xf numFmtId="197" fontId="85" fillId="0" borderId="20" applyNumberFormat="0" applyFont="0" applyBorder="0" applyAlignment="0"/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198" fontId="4" fillId="0" borderId="0" applyProtection="0">
      <alignment horizontal="center"/>
    </xf>
    <xf numFmtId="0" fontId="50" fillId="0" borderId="0" applyNumberFormat="0" applyFill="0" applyBorder="0">
      <alignment horizontal="left"/>
    </xf>
    <xf numFmtId="10" fontId="59" fillId="31" borderId="1" applyNumberFormat="0" applyBorder="0" applyAlignment="0" applyProtection="0"/>
    <xf numFmtId="10" fontId="59" fillId="31" borderId="1" applyNumberFormat="0" applyBorder="0" applyAlignment="0" applyProtection="0"/>
    <xf numFmtId="10" fontId="59" fillId="31" borderId="1" applyNumberFormat="0" applyBorder="0" applyAlignment="0" applyProtection="0"/>
    <xf numFmtId="10" fontId="59" fillId="31" borderId="1" applyNumberFormat="0" applyBorder="0" applyAlignment="0" applyProtection="0"/>
    <xf numFmtId="10" fontId="59" fillId="31" borderId="1" applyNumberFormat="0" applyBorder="0" applyAlignment="0" applyProtection="0"/>
    <xf numFmtId="10" fontId="59" fillId="31" borderId="1" applyNumberFormat="0" applyBorder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0" fontId="24" fillId="7" borderId="4" applyNumberFormat="0" applyAlignment="0" applyProtection="0"/>
    <xf numFmtId="181" fontId="63" fillId="32" borderId="0"/>
    <xf numFmtId="0" fontId="64" fillId="33" borderId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1" applyNumberFormat="0"/>
    <xf numFmtId="0" fontId="4" fillId="0" borderId="21" applyNumberFormat="0" applyFont="0" applyFill="0" applyAlignment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0" fontId="25" fillId="0" borderId="22" applyNumberFormat="0" applyFill="0" applyAlignment="0" applyProtection="0"/>
    <xf numFmtId="181" fontId="65" fillId="34" borderId="0"/>
    <xf numFmtId="0" fontId="6" fillId="0" borderId="1">
      <alignment horizontal="center" vertical="center"/>
    </xf>
    <xf numFmtId="19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20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4" fillId="0" borderId="0">
      <alignment vertical="top"/>
    </xf>
    <xf numFmtId="37" fontId="66" fillId="0" borderId="0"/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7" fillId="0" borderId="0">
      <alignment vertical="top"/>
    </xf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167" fontId="36" fillId="0" borderId="0"/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4" fillId="0" borderId="0"/>
    <xf numFmtId="0" fontId="92" fillId="0" borderId="0"/>
    <xf numFmtId="0" fontId="4" fillId="0" borderId="0"/>
    <xf numFmtId="0" fontId="92" fillId="0" borderId="0"/>
    <xf numFmtId="0" fontId="4" fillId="0" borderId="0"/>
    <xf numFmtId="0" fontId="92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92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92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1" fillId="0" borderId="0"/>
    <xf numFmtId="0" fontId="123" fillId="0" borderId="0"/>
    <xf numFmtId="0" fontId="123" fillId="0" borderId="0"/>
    <xf numFmtId="0" fontId="123" fillId="0" borderId="0"/>
    <xf numFmtId="0" fontId="92" fillId="0" borderId="0"/>
    <xf numFmtId="0" fontId="4" fillId="0" borderId="0"/>
    <xf numFmtId="0" fontId="92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95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95" fillId="0" borderId="0"/>
    <xf numFmtId="0" fontId="123" fillId="0" borderId="0"/>
    <xf numFmtId="0" fontId="95" fillId="0" borderId="0"/>
    <xf numFmtId="0" fontId="95" fillId="0" borderId="0"/>
    <xf numFmtId="0" fontId="1" fillId="0" borderId="0"/>
    <xf numFmtId="0" fontId="4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95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9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>
      <alignment vertical="top"/>
    </xf>
    <xf numFmtId="0" fontId="4" fillId="0" borderId="0"/>
    <xf numFmtId="0" fontId="123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>
      <alignment vertical="top"/>
    </xf>
    <xf numFmtId="0" fontId="4" fillId="0" borderId="0"/>
    <xf numFmtId="0" fontId="95" fillId="0" borderId="0"/>
    <xf numFmtId="0" fontId="123" fillId="0" borderId="0"/>
    <xf numFmtId="0" fontId="95" fillId="0" borderId="0"/>
    <xf numFmtId="0" fontId="95" fillId="0" borderId="0"/>
    <xf numFmtId="0" fontId="123" fillId="0" borderId="0"/>
    <xf numFmtId="0" fontId="95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3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123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123" fillId="0" borderId="0"/>
    <xf numFmtId="0" fontId="95" fillId="0" borderId="0"/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5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82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>
      <alignment vertical="top"/>
    </xf>
    <xf numFmtId="0" fontId="123" fillId="0" borderId="0"/>
    <xf numFmtId="0" fontId="123" fillId="0" borderId="0"/>
    <xf numFmtId="0" fontId="4" fillId="0" borderId="0">
      <alignment vertical="top"/>
    </xf>
    <xf numFmtId="0" fontId="123" fillId="0" borderId="0"/>
    <xf numFmtId="0" fontId="123" fillId="0" borderId="0"/>
    <xf numFmtId="0" fontId="4" fillId="0" borderId="0">
      <alignment vertical="top"/>
    </xf>
    <xf numFmtId="0" fontId="123" fillId="0" borderId="0"/>
    <xf numFmtId="0" fontId="123" fillId="0" borderId="0"/>
    <xf numFmtId="0" fontId="36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6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3" fillId="0" borderId="0"/>
    <xf numFmtId="0" fontId="123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23" fillId="0" borderId="0"/>
    <xf numFmtId="0" fontId="92" fillId="0" borderId="0"/>
    <xf numFmtId="0" fontId="4" fillId="0" borderId="0"/>
    <xf numFmtId="0" fontId="123" fillId="0" borderId="0"/>
    <xf numFmtId="0" fontId="1" fillId="0" borderId="0"/>
    <xf numFmtId="0" fontId="1" fillId="0" borderId="0"/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" fillId="0" borderId="0"/>
    <xf numFmtId="0" fontId="4" fillId="0" borderId="0"/>
    <xf numFmtId="0" fontId="123" fillId="0" borderId="0"/>
    <xf numFmtId="0" fontId="123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4" fillId="0" borderId="0"/>
    <xf numFmtId="0" fontId="1" fillId="0" borderId="0"/>
    <xf numFmtId="0" fontId="123" fillId="0" borderId="0"/>
    <xf numFmtId="0" fontId="123" fillId="0" borderId="0"/>
    <xf numFmtId="0" fontId="92" fillId="0" borderId="0"/>
    <xf numFmtId="0" fontId="4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123" fillId="0" borderId="0"/>
    <xf numFmtId="0" fontId="92" fillId="0" borderId="0"/>
    <xf numFmtId="0" fontId="4" fillId="0" borderId="0"/>
    <xf numFmtId="0" fontId="92" fillId="0" borderId="0"/>
    <xf numFmtId="0" fontId="4" fillId="0" borderId="0"/>
    <xf numFmtId="0" fontId="80" fillId="0" borderId="0"/>
    <xf numFmtId="0" fontId="2" fillId="0" borderId="0">
      <alignment vertical="top"/>
    </xf>
    <xf numFmtId="0" fontId="87" fillId="0" borderId="0"/>
    <xf numFmtId="0" fontId="36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4" fillId="36" borderId="23" applyNumberFormat="0" applyFont="0" applyAlignment="0" applyProtection="0"/>
    <xf numFmtId="0" fontId="36" fillId="36" borderId="23" applyNumberFormat="0" applyFont="0" applyAlignment="0" applyProtection="0"/>
    <xf numFmtId="0" fontId="4" fillId="36" borderId="23" applyNumberFormat="0" applyFont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67" fillId="37" borderId="24" applyNumberFormat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0" fontId="27" fillId="21" borderId="25" applyNumberFormat="0" applyAlignment="0" applyProtection="0"/>
    <xf numFmtId="14" fontId="45" fillId="0" borderId="0">
      <alignment horizontal="center" vertical="top" wrapText="1"/>
      <protection locked="0"/>
    </xf>
    <xf numFmtId="18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189" fontId="4" fillId="0" borderId="0">
      <alignment horizontal="center" vertical="center"/>
    </xf>
    <xf numFmtId="0" fontId="68" fillId="0" borderId="0" applyFont="0"/>
    <xf numFmtId="190" fontId="69" fillId="0" borderId="0"/>
    <xf numFmtId="9" fontId="4" fillId="0" borderId="0" applyFont="0" applyFill="0" applyBorder="0" applyAlignment="0" applyProtection="0"/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0" fillId="0" borderId="0" applyNumberFormat="0" applyFont="0" applyFill="0" applyBorder="0" applyAlignment="0" applyProtection="0">
      <alignment horizontal="left"/>
    </xf>
    <xf numFmtId="0" fontId="71" fillId="38" borderId="26" applyNumberFormat="0">
      <alignment horizontal="center"/>
    </xf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1" fontId="4" fillId="0" borderId="0" applyBorder="0"/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192" fontId="4" fillId="0" borderId="0" applyNumberFormat="0" applyFill="0" applyBorder="0" applyAlignment="0" applyProtection="0">
      <alignment horizontal="left"/>
    </xf>
    <xf numFmtId="0" fontId="38" fillId="0" borderId="1">
      <alignment horizontal="center" vertical="center" wrapText="1"/>
    </xf>
    <xf numFmtId="0" fontId="72" fillId="33" borderId="0"/>
    <xf numFmtId="0" fontId="73" fillId="33" borderId="0"/>
    <xf numFmtId="0" fontId="74" fillId="33" borderId="0"/>
    <xf numFmtId="0" fontId="75" fillId="0" borderId="0" applyNumberFormat="0" applyFill="0" applyBorder="0" applyAlignment="0" applyProtection="0">
      <alignment vertical="top"/>
      <protection locked="0"/>
    </xf>
    <xf numFmtId="0" fontId="70" fillId="0" borderId="0"/>
    <xf numFmtId="0" fontId="2" fillId="0" borderId="0">
      <alignment vertical="top"/>
    </xf>
    <xf numFmtId="0" fontId="37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/>
    <xf numFmtId="40" fontId="76" fillId="0" borderId="0" applyBorder="0">
      <alignment horizontal="right"/>
    </xf>
    <xf numFmtId="0" fontId="8" fillId="39" borderId="0">
      <alignment horizontal="center" vertical="center"/>
    </xf>
    <xf numFmtId="0" fontId="8" fillId="0" borderId="21">
      <alignment horizontal="center" vertical="center" wrapText="1"/>
    </xf>
    <xf numFmtId="0" fontId="77" fillId="40" borderId="0" applyNumberFormat="0">
      <alignment horizontal="center" vertical="center" wrapText="1"/>
    </xf>
    <xf numFmtId="0" fontId="50" fillId="30" borderId="6">
      <alignment horizontal="left"/>
    </xf>
    <xf numFmtId="40" fontId="88" fillId="0" borderId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0" fontId="29" fillId="0" borderId="27" applyNumberFormat="0" applyFill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50" fillId="0" borderId="0" applyNumberFormat="0"/>
    <xf numFmtId="195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8" fillId="41" borderId="28">
      <alignment horizontal="center"/>
    </xf>
    <xf numFmtId="0" fontId="20" fillId="4" borderId="0" applyNumberFormat="0" applyBorder="0" applyAlignment="0" applyProtection="0"/>
    <xf numFmtId="0" fontId="27" fillId="21" borderId="25" applyNumberFormat="0" applyAlignment="0" applyProtection="0"/>
    <xf numFmtId="0" fontId="24" fillId="7" borderId="4" applyNumberFormat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8" fillId="24" borderId="7" applyNumberFormat="0" applyAlignment="0" applyProtection="0"/>
    <xf numFmtId="0" fontId="29" fillId="0" borderId="27" applyNumberFormat="0" applyFill="0" applyAlignment="0" applyProtection="0"/>
    <xf numFmtId="0" fontId="30" fillId="0" borderId="0" applyNumberFormat="0" applyFill="0" applyBorder="0" applyAlignment="0" applyProtection="0"/>
    <xf numFmtId="0" fontId="4" fillId="36" borderId="23" applyNumberFormat="0" applyFont="0" applyAlignment="0" applyProtection="0"/>
    <xf numFmtId="0" fontId="26" fillId="35" borderId="0" applyNumberFormat="0" applyBorder="0" applyAlignment="0" applyProtection="0"/>
    <xf numFmtId="0" fontId="17" fillId="21" borderId="4" applyNumberFormat="0" applyAlignment="0" applyProtection="0"/>
    <xf numFmtId="0" fontId="16" fillId="3" borderId="0" applyNumberFormat="0" applyBorder="0" applyAlignment="0" applyProtection="0"/>
    <xf numFmtId="0" fontId="25" fillId="0" borderId="22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0" borderId="18" applyNumberFormat="0" applyFill="0" applyAlignment="0" applyProtection="0"/>
    <xf numFmtId="0" fontId="23" fillId="0" borderId="19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" fillId="0" borderId="0"/>
    <xf numFmtId="187" fontId="89" fillId="0" borderId="0" applyFont="0" applyFill="0" applyBorder="0" applyAlignment="0" applyProtection="0"/>
    <xf numFmtId="186" fontId="89" fillId="0" borderId="0" applyFont="0" applyFill="0" applyBorder="0" applyAlignment="0" applyProtection="0"/>
    <xf numFmtId="203" fontId="89" fillId="0" borderId="0" applyFont="0" applyFill="0" applyBorder="0" applyAlignment="0" applyProtection="0"/>
    <xf numFmtId="204" fontId="89" fillId="0" borderId="0" applyFont="0" applyFill="0" applyBorder="0" applyAlignment="0" applyProtection="0"/>
    <xf numFmtId="0" fontId="89" fillId="0" borderId="0"/>
    <xf numFmtId="0" fontId="4" fillId="0" borderId="0"/>
    <xf numFmtId="0" fontId="4" fillId="0" borderId="0">
      <alignment vertical="top"/>
    </xf>
  </cellStyleXfs>
  <cellXfs count="989">
    <xf numFmtId="0" fontId="0" fillId="0" borderId="0" xfId="0"/>
    <xf numFmtId="0" fontId="9" fillId="0" borderId="0" xfId="0" applyFont="1" applyFill="1"/>
    <xf numFmtId="0" fontId="4" fillId="0" borderId="0" xfId="0" applyFont="1" applyFill="1"/>
    <xf numFmtId="0" fontId="4" fillId="0" borderId="0" xfId="3437" applyFont="1" applyFill="1" applyAlignment="1">
      <alignment horizontal="center" vertical="top"/>
    </xf>
    <xf numFmtId="0" fontId="4" fillId="0" borderId="0" xfId="3437" applyFont="1" applyFill="1">
      <alignment vertical="top"/>
    </xf>
    <xf numFmtId="0" fontId="8" fillId="0" borderId="0" xfId="3437" applyFont="1" applyFill="1" applyAlignment="1">
      <alignment horizontal="center" vertical="top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 vertical="center" wrapText="1" shrinkToFit="1"/>
    </xf>
    <xf numFmtId="2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shrinkToFit="1"/>
    </xf>
    <xf numFmtId="0" fontId="3" fillId="0" borderId="0" xfId="0" applyFont="1" applyFill="1"/>
    <xf numFmtId="2" fontId="35" fillId="0" borderId="1" xfId="0" applyNumberFormat="1" applyFont="1" applyFill="1" applyBorder="1" applyAlignment="1">
      <alignment horizontal="center" vertical="center" wrapText="1"/>
    </xf>
    <xf numFmtId="0" fontId="35" fillId="0" borderId="0" xfId="0" applyFont="1" applyFill="1"/>
    <xf numFmtId="0" fontId="10" fillId="0" borderId="0" xfId="0" applyFont="1" applyFill="1"/>
    <xf numFmtId="2" fontId="10" fillId="0" borderId="1" xfId="3437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/>
    <xf numFmtId="2" fontId="8" fillId="0" borderId="0" xfId="0" applyNumberFormat="1" applyFont="1" applyFill="1"/>
    <xf numFmtId="0" fontId="32" fillId="0" borderId="0" xfId="0" applyFont="1" applyFill="1"/>
    <xf numFmtId="2" fontId="32" fillId="0" borderId="0" xfId="0" applyNumberFormat="1" applyFont="1" applyFill="1"/>
    <xf numFmtId="0" fontId="33" fillId="0" borderId="0" xfId="0" applyFont="1" applyFill="1"/>
    <xf numFmtId="2" fontId="33" fillId="0" borderId="0" xfId="0" applyNumberFormat="1" applyFont="1" applyFill="1"/>
    <xf numFmtId="0" fontId="4" fillId="0" borderId="0" xfId="3437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8" fillId="0" borderId="0" xfId="3437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shrinkToFit="1"/>
    </xf>
    <xf numFmtId="0" fontId="3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" fontId="79" fillId="0" borderId="1" xfId="3437" applyNumberFormat="1" applyFont="1" applyFill="1" applyBorder="1" applyAlignment="1">
      <alignment horizontal="center" vertical="center"/>
    </xf>
    <xf numFmtId="0" fontId="79" fillId="0" borderId="1" xfId="3437" applyFont="1" applyFill="1" applyBorder="1" applyAlignment="1">
      <alignment horizontal="center" vertical="center"/>
    </xf>
    <xf numFmtId="0" fontId="79" fillId="0" borderId="1" xfId="0" applyFont="1" applyFill="1" applyBorder="1" applyAlignment="1">
      <alignment horizontal="center" vertical="center"/>
    </xf>
    <xf numFmtId="17" fontId="79" fillId="0" borderId="1" xfId="0" applyNumberFormat="1" applyFont="1" applyFill="1" applyBorder="1" applyAlignment="1">
      <alignment horizontal="center" vertical="center"/>
    </xf>
    <xf numFmtId="17" fontId="79" fillId="0" borderId="1" xfId="0" applyNumberFormat="1" applyFont="1" applyFill="1" applyBorder="1" applyAlignment="1">
      <alignment horizontal="center" vertical="center" shrinkToFit="1"/>
    </xf>
    <xf numFmtId="0" fontId="79" fillId="0" borderId="1" xfId="0" applyFont="1" applyFill="1" applyBorder="1" applyAlignment="1">
      <alignment horizontal="center" vertical="center" shrinkToFit="1"/>
    </xf>
    <xf numFmtId="17" fontId="81" fillId="0" borderId="1" xfId="0" applyNumberFormat="1" applyFont="1" applyFill="1" applyBorder="1" applyAlignment="1">
      <alignment horizontal="center" vertical="center"/>
    </xf>
    <xf numFmtId="0" fontId="81" fillId="0" borderId="1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shrinkToFit="1"/>
    </xf>
    <xf numFmtId="1" fontId="9" fillId="27" borderId="1" xfId="0" applyNumberFormat="1" applyFont="1" applyFill="1" applyBorder="1" applyAlignment="1">
      <alignment horizontal="center" vertical="center" shrinkToFit="1"/>
    </xf>
    <xf numFmtId="1" fontId="14" fillId="27" borderId="1" xfId="0" applyNumberFormat="1" applyFont="1" applyFill="1" applyBorder="1" applyAlignment="1">
      <alignment horizontal="left" vertical="center" shrinkToFit="1"/>
    </xf>
    <xf numFmtId="0" fontId="9" fillId="27" borderId="1" xfId="0" applyFont="1" applyFill="1" applyBorder="1" applyAlignment="1">
      <alignment horizontal="left" vertical="center" wrapText="1"/>
    </xf>
    <xf numFmtId="0" fontId="4" fillId="27" borderId="0" xfId="3437" applyFont="1" applyFill="1" applyAlignment="1"/>
    <xf numFmtId="0" fontId="4" fillId="27" borderId="0" xfId="0" applyFont="1" applyFill="1"/>
    <xf numFmtId="0" fontId="4" fillId="27" borderId="0" xfId="3437" applyFont="1" applyFill="1" applyAlignment="1">
      <alignment horizontal="center" vertical="top"/>
    </xf>
    <xf numFmtId="0" fontId="8" fillId="27" borderId="1" xfId="3437" applyFont="1" applyFill="1" applyBorder="1" applyAlignment="1">
      <alignment horizontal="center"/>
    </xf>
    <xf numFmtId="49" fontId="8" fillId="27" borderId="1" xfId="3437" applyNumberFormat="1" applyFont="1" applyFill="1" applyBorder="1" applyAlignment="1">
      <alignment horizontal="center"/>
    </xf>
    <xf numFmtId="166" fontId="4" fillId="27" borderId="0" xfId="0" applyNumberFormat="1" applyFont="1" applyFill="1" applyBorder="1" applyAlignment="1">
      <alignment horizontal="center"/>
    </xf>
    <xf numFmtId="0" fontId="3" fillId="27" borderId="0" xfId="3437" applyFont="1" applyFill="1" applyBorder="1" applyAlignment="1">
      <alignment horizontal="center" vertical="center"/>
    </xf>
    <xf numFmtId="165" fontId="7" fillId="27" borderId="1" xfId="2037" applyFont="1" applyFill="1" applyBorder="1" applyAlignment="1">
      <alignment horizontal="center" vertical="top" wrapText="1"/>
    </xf>
    <xf numFmtId="1" fontId="103" fillId="27" borderId="1" xfId="0" applyNumberFormat="1" applyFont="1" applyFill="1" applyBorder="1" applyAlignment="1">
      <alignment horizontal="center" vertical="center" wrapText="1" shrinkToFit="1"/>
    </xf>
    <xf numFmtId="2" fontId="103" fillId="27" borderId="1" xfId="0" applyNumberFormat="1" applyFont="1" applyFill="1" applyBorder="1" applyAlignment="1">
      <alignment horizontal="center" vertical="center" wrapText="1" shrinkToFit="1"/>
    </xf>
    <xf numFmtId="2" fontId="103" fillId="27" borderId="1" xfId="0" applyNumberFormat="1" applyFont="1" applyFill="1" applyBorder="1" applyAlignment="1">
      <alignment horizontal="center" vertical="center" wrapText="1"/>
    </xf>
    <xf numFmtId="0" fontId="103" fillId="27" borderId="1" xfId="0" applyFont="1" applyFill="1" applyBorder="1" applyAlignment="1">
      <alignment horizontal="center" vertical="center" wrapText="1"/>
    </xf>
    <xf numFmtId="1" fontId="103" fillId="27" borderId="1" xfId="3437" applyNumberFormat="1" applyFont="1" applyFill="1" applyBorder="1" applyAlignment="1">
      <alignment horizontal="center" vertical="center"/>
    </xf>
    <xf numFmtId="2" fontId="103" fillId="27" borderId="1" xfId="3437" applyNumberFormat="1" applyFont="1" applyFill="1" applyBorder="1" applyAlignment="1">
      <alignment horizontal="center" vertical="center"/>
    </xf>
    <xf numFmtId="1" fontId="103" fillId="0" borderId="1" xfId="3436" applyNumberFormat="1" applyFont="1" applyFill="1" applyBorder="1" applyAlignment="1">
      <alignment horizontal="center" vertical="center" shrinkToFit="1"/>
    </xf>
    <xf numFmtId="2" fontId="9" fillId="0" borderId="1" xfId="0" applyNumberFormat="1" applyFont="1" applyFill="1" applyBorder="1" applyAlignment="1">
      <alignment horizontal="center" vertical="center" shrinkToFit="1"/>
    </xf>
    <xf numFmtId="2" fontId="9" fillId="0" borderId="1" xfId="0" applyNumberFormat="1" applyFont="1" applyFill="1" applyBorder="1" applyAlignment="1">
      <alignment horizontal="center" vertical="center" wrapText="1" shrinkToFit="1"/>
    </xf>
    <xf numFmtId="2" fontId="9" fillId="0" borderId="1" xfId="0" applyNumberFormat="1" applyFont="1" applyFill="1" applyBorder="1" applyAlignment="1">
      <alignment horizontal="center" vertical="center" wrapText="1"/>
    </xf>
    <xf numFmtId="0" fontId="103" fillId="0" borderId="1" xfId="3436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wrapText="1"/>
    </xf>
    <xf numFmtId="0" fontId="104" fillId="0" borderId="1" xfId="0" applyFont="1" applyFill="1" applyBorder="1" applyAlignment="1">
      <alignment horizontal="center" vertical="center" wrapText="1"/>
    </xf>
    <xf numFmtId="2" fontId="104" fillId="0" borderId="1" xfId="0" applyNumberFormat="1" applyFont="1" applyFill="1" applyBorder="1" applyAlignment="1">
      <alignment horizontal="center" vertical="center" wrapText="1"/>
    </xf>
    <xf numFmtId="2" fontId="104" fillId="0" borderId="1" xfId="0" applyNumberFormat="1" applyFont="1" applyFill="1" applyBorder="1" applyAlignment="1">
      <alignment horizontal="center" vertical="center" wrapText="1" shrinkToFit="1"/>
    </xf>
    <xf numFmtId="0" fontId="102" fillId="0" borderId="1" xfId="3437" applyFont="1" applyFill="1" applyBorder="1" applyAlignment="1">
      <alignment horizontal="center" vertical="center"/>
    </xf>
    <xf numFmtId="0" fontId="9" fillId="0" borderId="1" xfId="3437" applyFont="1" applyFill="1" applyBorder="1" applyAlignment="1">
      <alignment horizontal="center" vertical="center" wrapText="1"/>
    </xf>
    <xf numFmtId="2" fontId="9" fillId="0" borderId="1" xfId="3437" applyNumberFormat="1" applyFont="1" applyFill="1" applyBorder="1" applyAlignment="1">
      <alignment horizontal="center" vertical="center" wrapText="1"/>
    </xf>
    <xf numFmtId="0" fontId="105" fillId="0" borderId="1" xfId="0" applyFont="1" applyFill="1" applyBorder="1" applyAlignment="1">
      <alignment horizontal="left" vertical="center" wrapText="1" shrinkToFit="1"/>
    </xf>
    <xf numFmtId="0" fontId="106" fillId="0" borderId="1" xfId="0" applyFont="1" applyFill="1" applyBorder="1" applyAlignment="1">
      <alignment horizontal="left" vertical="center" wrapText="1" shrinkToFit="1"/>
    </xf>
    <xf numFmtId="165" fontId="107" fillId="0" borderId="1" xfId="2037" applyFont="1" applyFill="1" applyBorder="1" applyAlignment="1">
      <alignment horizontal="center" vertical="top" wrapText="1"/>
    </xf>
    <xf numFmtId="0" fontId="110" fillId="0" borderId="0" xfId="0" applyFont="1" applyFill="1" applyBorder="1" applyAlignment="1"/>
    <xf numFmtId="0" fontId="109" fillId="0" borderId="0" xfId="0" applyFont="1" applyFill="1" applyBorder="1" applyAlignment="1">
      <alignment horizontal="center" vertical="center"/>
    </xf>
    <xf numFmtId="1" fontId="105" fillId="0" borderId="1" xfId="0" applyNumberFormat="1" applyFont="1" applyFill="1" applyBorder="1" applyAlignment="1">
      <alignment horizontal="center" vertical="center" wrapText="1" shrinkToFit="1"/>
    </xf>
    <xf numFmtId="1" fontId="106" fillId="0" borderId="1" xfId="0" applyNumberFormat="1" applyFont="1" applyFill="1" applyBorder="1" applyAlignment="1">
      <alignment horizontal="center" vertical="center" wrapText="1" shrinkToFit="1"/>
    </xf>
    <xf numFmtId="0" fontId="112" fillId="0" borderId="0" xfId="3437" applyFont="1" applyFill="1">
      <alignment vertical="top"/>
    </xf>
    <xf numFmtId="17" fontId="110" fillId="0" borderId="1" xfId="3437" applyNumberFormat="1" applyFont="1" applyFill="1" applyBorder="1" applyAlignment="1">
      <alignment horizontal="center" vertical="center"/>
    </xf>
    <xf numFmtId="0" fontId="110" fillId="0" borderId="1" xfId="3437" applyFont="1" applyFill="1" applyBorder="1" applyAlignment="1">
      <alignment horizontal="center" vertical="center"/>
    </xf>
    <xf numFmtId="0" fontId="112" fillId="0" borderId="0" xfId="3437" applyFont="1" applyFill="1" applyAlignment="1">
      <alignment horizontal="center" vertical="center"/>
    </xf>
    <xf numFmtId="0" fontId="112" fillId="0" borderId="0" xfId="0" applyFont="1" applyFill="1"/>
    <xf numFmtId="17" fontId="110" fillId="0" borderId="1" xfId="0" applyNumberFormat="1" applyFont="1" applyFill="1" applyBorder="1" applyAlignment="1">
      <alignment horizontal="center" vertical="center"/>
    </xf>
    <xf numFmtId="0" fontId="110" fillId="0" borderId="1" xfId="0" applyFont="1" applyFill="1" applyBorder="1" applyAlignment="1">
      <alignment horizontal="center" vertical="center"/>
    </xf>
    <xf numFmtId="0" fontId="112" fillId="0" borderId="0" xfId="0" applyFont="1" applyFill="1" applyAlignment="1">
      <alignment horizontal="center" vertical="center"/>
    </xf>
    <xf numFmtId="0" fontId="108" fillId="0" borderId="0" xfId="3437" applyFont="1" applyFill="1" applyAlignment="1">
      <alignment horizontal="center" vertical="top"/>
    </xf>
    <xf numFmtId="0" fontId="108" fillId="0" borderId="0" xfId="3437" applyFont="1" applyFill="1" applyAlignment="1">
      <alignment horizontal="center" vertical="center"/>
    </xf>
    <xf numFmtId="0" fontId="112" fillId="0" borderId="0" xfId="3437" applyFont="1" applyFill="1" applyAlignment="1">
      <alignment horizontal="center" vertical="top"/>
    </xf>
    <xf numFmtId="0" fontId="110" fillId="0" borderId="1" xfId="0" applyFont="1" applyFill="1" applyBorder="1" applyAlignment="1">
      <alignment horizontal="center"/>
    </xf>
    <xf numFmtId="49" fontId="110" fillId="0" borderId="1" xfId="0" applyNumberFormat="1" applyFont="1" applyFill="1" applyBorder="1" applyAlignment="1">
      <alignment horizontal="center"/>
    </xf>
    <xf numFmtId="0" fontId="103" fillId="0" borderId="0" xfId="0" applyFont="1" applyFill="1"/>
    <xf numFmtId="0" fontId="103" fillId="0" borderId="0" xfId="0" applyFont="1" applyFill="1" applyAlignment="1">
      <alignment horizontal="center" vertical="center"/>
    </xf>
    <xf numFmtId="2" fontId="105" fillId="0" borderId="1" xfId="0" applyNumberFormat="1" applyFont="1" applyFill="1" applyBorder="1" applyAlignment="1">
      <alignment horizontal="center" vertical="center" wrapText="1" shrinkToFit="1"/>
    </xf>
    <xf numFmtId="2" fontId="105" fillId="0" borderId="1" xfId="0" applyNumberFormat="1" applyFont="1" applyFill="1" applyBorder="1" applyAlignment="1">
      <alignment horizontal="center" vertical="center" wrapText="1"/>
    </xf>
    <xf numFmtId="2" fontId="105" fillId="0" borderId="0" xfId="0" applyNumberFormat="1" applyFont="1" applyFill="1" applyAlignment="1">
      <alignment shrinkToFit="1"/>
    </xf>
    <xf numFmtId="0" fontId="105" fillId="0" borderId="0" xfId="0" applyFont="1" applyFill="1" applyAlignment="1">
      <alignment shrinkToFit="1"/>
    </xf>
    <xf numFmtId="17" fontId="110" fillId="0" borderId="1" xfId="0" applyNumberFormat="1" applyFont="1" applyFill="1" applyBorder="1" applyAlignment="1">
      <alignment horizontal="center" vertical="center" shrinkToFit="1"/>
    </xf>
    <xf numFmtId="0" fontId="110" fillId="0" borderId="1" xfId="0" applyFont="1" applyFill="1" applyBorder="1" applyAlignment="1">
      <alignment horizontal="center" vertical="center" shrinkToFit="1"/>
    </xf>
    <xf numFmtId="0" fontId="105" fillId="0" borderId="0" xfId="0" applyFont="1" applyFill="1" applyAlignment="1">
      <alignment horizontal="center" vertical="center" shrinkToFit="1"/>
    </xf>
    <xf numFmtId="0" fontId="109" fillId="0" borderId="0" xfId="0" applyFont="1" applyFill="1"/>
    <xf numFmtId="0" fontId="109" fillId="0" borderId="0" xfId="0" applyFont="1" applyFill="1" applyAlignment="1">
      <alignment horizontal="center" vertical="center"/>
    </xf>
    <xf numFmtId="2" fontId="113" fillId="0" borderId="1" xfId="0" applyNumberFormat="1" applyFont="1" applyFill="1" applyBorder="1" applyAlignment="1">
      <alignment horizontal="center" vertical="center" wrapText="1"/>
    </xf>
    <xf numFmtId="0" fontId="113" fillId="0" borderId="0" xfId="0" applyFont="1" applyFill="1"/>
    <xf numFmtId="17" fontId="114" fillId="0" borderId="1" xfId="0" applyNumberFormat="1" applyFont="1" applyFill="1" applyBorder="1" applyAlignment="1">
      <alignment horizontal="center" vertical="center"/>
    </xf>
    <xf numFmtId="0" fontId="114" fillId="0" borderId="1" xfId="0" applyFont="1" applyFill="1" applyBorder="1" applyAlignment="1">
      <alignment horizontal="center" vertical="center"/>
    </xf>
    <xf numFmtId="0" fontId="113" fillId="0" borderId="0" xfId="0" applyFont="1" applyFill="1" applyAlignment="1">
      <alignment horizontal="center" vertical="center"/>
    </xf>
    <xf numFmtId="0" fontId="105" fillId="0" borderId="0" xfId="0" applyFont="1" applyFill="1"/>
    <xf numFmtId="0" fontId="105" fillId="0" borderId="0" xfId="0" applyFont="1" applyFill="1" applyAlignment="1">
      <alignment horizontal="center" vertical="center"/>
    </xf>
    <xf numFmtId="2" fontId="105" fillId="0" borderId="1" xfId="3437" applyNumberFormat="1" applyFont="1" applyFill="1" applyBorder="1" applyAlignment="1">
      <alignment horizontal="center" vertical="center"/>
    </xf>
    <xf numFmtId="0" fontId="106" fillId="27" borderId="0" xfId="0" applyFont="1" applyFill="1" applyBorder="1" applyAlignment="1">
      <alignment horizontal="left" vertical="center" wrapText="1" shrinkToFit="1"/>
    </xf>
    <xf numFmtId="0" fontId="105" fillId="0" borderId="0" xfId="3437" applyFont="1" applyFill="1" applyBorder="1" applyAlignment="1">
      <alignment horizontal="center" vertical="center" wrapText="1"/>
    </xf>
    <xf numFmtId="2" fontId="105" fillId="0" borderId="0" xfId="3437" applyNumberFormat="1" applyFont="1" applyFill="1" applyBorder="1" applyAlignment="1">
      <alignment horizontal="center" vertical="center" wrapText="1"/>
    </xf>
    <xf numFmtId="2" fontId="105" fillId="0" borderId="0" xfId="0" applyNumberFormat="1" applyFont="1" applyFill="1" applyBorder="1" applyAlignment="1">
      <alignment horizontal="center" vertical="center" shrinkToFit="1"/>
    </xf>
    <xf numFmtId="2" fontId="105" fillId="0" borderId="0" xfId="0" applyNumberFormat="1" applyFont="1" applyFill="1" applyBorder="1" applyAlignment="1">
      <alignment horizontal="center" vertical="center" wrapText="1" shrinkToFit="1"/>
    </xf>
    <xf numFmtId="2" fontId="105" fillId="0" borderId="0" xfId="0" applyNumberFormat="1" applyFont="1" applyFill="1" applyBorder="1" applyAlignment="1">
      <alignment horizontal="center" vertical="center" wrapText="1"/>
    </xf>
    <xf numFmtId="2" fontId="109" fillId="0" borderId="0" xfId="3437" applyNumberFormat="1" applyFont="1" applyFill="1" applyBorder="1" applyAlignment="1">
      <alignment horizontal="center" vertical="center" wrapText="1"/>
    </xf>
    <xf numFmtId="2" fontId="109" fillId="0" borderId="0" xfId="0" applyNumberFormat="1" applyFont="1" applyFill="1" applyBorder="1" applyAlignment="1">
      <alignment horizontal="center" vertical="center" wrapText="1" shrinkToFit="1"/>
    </xf>
    <xf numFmtId="2" fontId="109" fillId="0" borderId="0" xfId="0" applyNumberFormat="1" applyFont="1" applyFill="1" applyBorder="1" applyAlignment="1">
      <alignment horizontal="center" vertical="center" wrapText="1"/>
    </xf>
    <xf numFmtId="0" fontId="115" fillId="27" borderId="0" xfId="0" applyFont="1" applyFill="1" applyBorder="1" applyAlignment="1">
      <alignment horizontal="left" vertical="center" wrapText="1" shrinkToFit="1"/>
    </xf>
    <xf numFmtId="0" fontId="109" fillId="0" borderId="0" xfId="3437" applyFont="1" applyFill="1" applyBorder="1" applyAlignment="1">
      <alignment horizontal="center" vertical="center" wrapText="1"/>
    </xf>
    <xf numFmtId="2" fontId="109" fillId="0" borderId="0" xfId="0" applyNumberFormat="1" applyFont="1" applyFill="1" applyBorder="1" applyAlignment="1">
      <alignment horizontal="center" vertical="center" shrinkToFit="1"/>
    </xf>
    <xf numFmtId="1" fontId="9" fillId="42" borderId="1" xfId="0" applyNumberFormat="1" applyFont="1" applyFill="1" applyBorder="1" applyAlignment="1">
      <alignment horizontal="center" vertical="center" shrinkToFit="1"/>
    </xf>
    <xf numFmtId="0" fontId="9" fillId="27" borderId="0" xfId="3437" applyFont="1" applyFill="1" applyAlignment="1"/>
    <xf numFmtId="0" fontId="4" fillId="27" borderId="0" xfId="3437" applyFont="1" applyFill="1" applyAlignment="1">
      <alignment horizontal="left"/>
    </xf>
    <xf numFmtId="0" fontId="117" fillId="27" borderId="0" xfId="3437" applyFont="1" applyFill="1" applyAlignment="1">
      <alignment horizontal="left"/>
    </xf>
    <xf numFmtId="165" fontId="107" fillId="39" borderId="1" xfId="2037" applyFont="1" applyFill="1" applyBorder="1" applyAlignment="1">
      <alignment horizontal="center" vertical="top" wrapText="1"/>
    </xf>
    <xf numFmtId="2" fontId="9" fillId="39" borderId="1" xfId="0" applyNumberFormat="1" applyFont="1" applyFill="1" applyBorder="1" applyAlignment="1">
      <alignment horizontal="center" vertical="center" wrapText="1"/>
    </xf>
    <xf numFmtId="0" fontId="109" fillId="39" borderId="0" xfId="0" applyFont="1" applyFill="1" applyBorder="1" applyAlignment="1">
      <alignment horizontal="center" vertical="center"/>
    </xf>
    <xf numFmtId="0" fontId="110" fillId="39" borderId="1" xfId="0" applyFont="1" applyFill="1" applyBorder="1" applyAlignment="1">
      <alignment horizontal="center"/>
    </xf>
    <xf numFmtId="49" fontId="110" fillId="39" borderId="1" xfId="0" applyNumberFormat="1" applyFont="1" applyFill="1" applyBorder="1" applyAlignment="1">
      <alignment horizontal="center"/>
    </xf>
    <xf numFmtId="2" fontId="9" fillId="39" borderId="1" xfId="0" applyNumberFormat="1" applyFont="1" applyFill="1" applyBorder="1" applyAlignment="1">
      <alignment horizontal="center" vertical="center" wrapText="1" shrinkToFit="1"/>
    </xf>
    <xf numFmtId="2" fontId="104" fillId="39" borderId="1" xfId="0" applyNumberFormat="1" applyFont="1" applyFill="1" applyBorder="1" applyAlignment="1">
      <alignment horizontal="center" vertical="center" wrapText="1" shrinkToFit="1"/>
    </xf>
    <xf numFmtId="2" fontId="104" fillId="39" borderId="1" xfId="0" applyNumberFormat="1" applyFont="1" applyFill="1" applyBorder="1" applyAlignment="1">
      <alignment horizontal="center" vertical="center" wrapText="1"/>
    </xf>
    <xf numFmtId="2" fontId="105" fillId="39" borderId="0" xfId="0" applyNumberFormat="1" applyFont="1" applyFill="1" applyBorder="1" applyAlignment="1">
      <alignment horizontal="center" vertical="center" wrapText="1" shrinkToFit="1"/>
    </xf>
    <xf numFmtId="2" fontId="105" fillId="39" borderId="0" xfId="0" applyNumberFormat="1" applyFont="1" applyFill="1" applyBorder="1" applyAlignment="1">
      <alignment horizontal="center" vertical="center" wrapText="1"/>
    </xf>
    <xf numFmtId="0" fontId="112" fillId="39" borderId="0" xfId="0" applyFont="1" applyFill="1"/>
    <xf numFmtId="2" fontId="109" fillId="39" borderId="0" xfId="0" applyNumberFormat="1" applyFont="1" applyFill="1" applyBorder="1" applyAlignment="1">
      <alignment horizontal="center" vertical="center" wrapText="1" shrinkToFit="1"/>
    </xf>
    <xf numFmtId="2" fontId="109" fillId="39" borderId="0" xfId="0" applyNumberFormat="1" applyFont="1" applyFill="1" applyBorder="1" applyAlignment="1">
      <alignment horizontal="center" vertical="center" wrapText="1"/>
    </xf>
    <xf numFmtId="0" fontId="109" fillId="39" borderId="0" xfId="0" applyFont="1" applyFill="1"/>
    <xf numFmtId="0" fontId="109" fillId="0" borderId="0" xfId="3437" applyFont="1" applyFill="1" applyBorder="1" applyAlignment="1">
      <alignment horizontal="center" vertical="center"/>
    </xf>
    <xf numFmtId="0" fontId="110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/>
    <xf numFmtId="0" fontId="120" fillId="0" borderId="1" xfId="3437" applyFont="1" applyFill="1" applyBorder="1" applyAlignment="1">
      <alignment horizontal="center" vertical="center" wrapText="1"/>
    </xf>
    <xf numFmtId="0" fontId="4" fillId="0" borderId="0" xfId="3437" applyFont="1" applyFill="1" applyAlignment="1"/>
    <xf numFmtId="0" fontId="8" fillId="0" borderId="1" xfId="3437" applyFont="1" applyFill="1" applyBorder="1" applyAlignment="1">
      <alignment horizontal="center"/>
    </xf>
    <xf numFmtId="49" fontId="8" fillId="0" borderId="1" xfId="3437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 shrinkToFit="1"/>
    </xf>
    <xf numFmtId="1" fontId="9" fillId="0" borderId="1" xfId="0" applyNumberFormat="1" applyFont="1" applyFill="1" applyBorder="1" applyAlignment="1">
      <alignment horizontal="left" vertical="center" shrinkToFit="1"/>
    </xf>
    <xf numFmtId="1" fontId="103" fillId="0" borderId="1" xfId="0" applyNumberFormat="1" applyFont="1" applyFill="1" applyBorder="1" applyAlignment="1">
      <alignment horizontal="center" vertical="center" wrapText="1" shrinkToFit="1"/>
    </xf>
    <xf numFmtId="2" fontId="103" fillId="0" borderId="1" xfId="0" applyNumberFormat="1" applyFont="1" applyFill="1" applyBorder="1" applyAlignment="1">
      <alignment horizontal="center" vertical="center" wrapText="1" shrinkToFit="1"/>
    </xf>
    <xf numFmtId="2" fontId="103" fillId="0" borderId="1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shrinkToFit="1"/>
    </xf>
    <xf numFmtId="0" fontId="9" fillId="0" borderId="0" xfId="0" applyFont="1" applyFill="1" applyAlignment="1">
      <alignment shrinkToFit="1"/>
    </xf>
    <xf numFmtId="0" fontId="103" fillId="0" borderId="1" xfId="0" applyFont="1" applyFill="1" applyBorder="1" applyAlignment="1">
      <alignment horizontal="center" vertical="center" wrapText="1"/>
    </xf>
    <xf numFmtId="1" fontId="120" fillId="0" borderId="1" xfId="0" applyNumberFormat="1" applyFont="1" applyFill="1" applyBorder="1" applyAlignment="1">
      <alignment horizontal="left" vertical="center" shrinkToFit="1"/>
    </xf>
    <xf numFmtId="0" fontId="12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" fontId="4" fillId="0" borderId="0" xfId="3437" applyNumberFormat="1" applyFont="1" applyFill="1" applyAlignment="1"/>
    <xf numFmtId="2" fontId="4" fillId="0" borderId="0" xfId="3437" applyNumberFormat="1" applyFont="1" applyFill="1" applyAlignment="1"/>
    <xf numFmtId="0" fontId="33" fillId="0" borderId="0" xfId="3437" applyFont="1" applyFill="1" applyAlignment="1"/>
    <xf numFmtId="0" fontId="34" fillId="0" borderId="0" xfId="3437" applyFont="1" applyFill="1" applyAlignment="1"/>
    <xf numFmtId="0" fontId="3" fillId="0" borderId="0" xfId="3437" applyFont="1" applyFill="1" applyBorder="1" applyAlignment="1">
      <alignment horizontal="center" vertical="center"/>
    </xf>
    <xf numFmtId="165" fontId="7" fillId="0" borderId="1" xfId="2037" applyFont="1" applyFill="1" applyBorder="1" applyAlignment="1">
      <alignment horizontal="center" vertical="top" wrapText="1"/>
    </xf>
    <xf numFmtId="1" fontId="14" fillId="0" borderId="1" xfId="0" applyNumberFormat="1" applyFont="1" applyFill="1" applyBorder="1" applyAlignment="1">
      <alignment horizontal="left" vertical="center" shrinkToFit="1"/>
    </xf>
    <xf numFmtId="166" fontId="4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1" fontId="103" fillId="0" borderId="1" xfId="3437" applyNumberFormat="1" applyFont="1" applyFill="1" applyBorder="1" applyAlignment="1">
      <alignment horizontal="center" vertical="center"/>
    </xf>
    <xf numFmtId="2" fontId="103" fillId="0" borderId="1" xfId="3437" applyNumberFormat="1" applyFont="1" applyFill="1" applyBorder="1" applyAlignment="1">
      <alignment horizontal="center" vertical="center"/>
    </xf>
    <xf numFmtId="2" fontId="33" fillId="0" borderId="0" xfId="3437" applyNumberFormat="1" applyFont="1" applyFill="1" applyAlignment="1"/>
    <xf numFmtId="2" fontId="4" fillId="43" borderId="0" xfId="3437" applyNumberFormat="1" applyFont="1" applyFill="1" applyAlignment="1"/>
    <xf numFmtId="166" fontId="4" fillId="43" borderId="0" xfId="0" applyNumberFormat="1" applyFont="1" applyFill="1" applyBorder="1" applyAlignment="1">
      <alignment horizontal="center"/>
    </xf>
    <xf numFmtId="0" fontId="4" fillId="0" borderId="0" xfId="0" applyNumberFormat="1" applyFont="1" applyFill="1"/>
    <xf numFmtId="0" fontId="119" fillId="0" borderId="0" xfId="3437" applyFont="1" applyFill="1" applyAlignment="1"/>
    <xf numFmtId="2" fontId="9" fillId="27" borderId="1" xfId="0" applyNumberFormat="1" applyFont="1" applyFill="1" applyBorder="1" applyAlignment="1">
      <alignment horizontal="center" vertical="center" wrapText="1" shrinkToFit="1"/>
    </xf>
    <xf numFmtId="1" fontId="9" fillId="0" borderId="29" xfId="0" applyNumberFormat="1" applyFont="1" applyFill="1" applyBorder="1" applyAlignment="1">
      <alignment horizontal="center" vertical="center" shrinkToFit="1"/>
    </xf>
    <xf numFmtId="0" fontId="6" fillId="44" borderId="1" xfId="0" applyFont="1" applyFill="1" applyBorder="1" applyAlignment="1">
      <alignment horizontal="center"/>
    </xf>
    <xf numFmtId="0" fontId="6" fillId="46" borderId="1" xfId="0" applyFont="1" applyFill="1" applyBorder="1" applyAlignment="1">
      <alignment horizontal="center"/>
    </xf>
    <xf numFmtId="165" fontId="107" fillId="46" borderId="1" xfId="2037" applyFont="1" applyFill="1" applyBorder="1" applyAlignment="1">
      <alignment horizontal="center" vertical="top" wrapText="1"/>
    </xf>
    <xf numFmtId="2" fontId="9" fillId="0" borderId="37" xfId="0" applyNumberFormat="1" applyFont="1" applyFill="1" applyBorder="1" applyAlignment="1">
      <alignment horizontal="center" vertical="center" wrapText="1"/>
    </xf>
    <xf numFmtId="2" fontId="103" fillId="0" borderId="37" xfId="0" applyNumberFormat="1" applyFont="1" applyFill="1" applyBorder="1" applyAlignment="1">
      <alignment horizontal="center" vertical="center" wrapText="1" shrinkToFit="1"/>
    </xf>
    <xf numFmtId="0" fontId="109" fillId="0" borderId="0" xfId="3437" applyFont="1" applyFill="1" applyBorder="1" applyAlignment="1">
      <alignment horizontal="center" vertical="center"/>
    </xf>
    <xf numFmtId="0" fontId="110" fillId="0" borderId="0" xfId="0" applyFont="1" applyFill="1" applyBorder="1" applyAlignment="1">
      <alignment horizontal="center" vertical="center"/>
    </xf>
    <xf numFmtId="165" fontId="107" fillId="0" borderId="1" xfId="2037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/>
    </xf>
    <xf numFmtId="165" fontId="107" fillId="44" borderId="1" xfId="2037" applyFont="1" applyFill="1" applyBorder="1" applyAlignment="1">
      <alignment horizontal="center" vertical="top" wrapText="1"/>
    </xf>
    <xf numFmtId="46" fontId="127" fillId="47" borderId="1" xfId="0" applyNumberFormat="1" applyFont="1" applyFill="1" applyBorder="1" applyAlignment="1">
      <alignment horizontal="center" vertical="center"/>
    </xf>
    <xf numFmtId="1" fontId="121" fillId="0" borderId="1" xfId="0" applyNumberFormat="1" applyFont="1" applyFill="1" applyBorder="1" applyAlignment="1">
      <alignment horizontal="center" vertical="center" wrapText="1" shrinkToFit="1"/>
    </xf>
    <xf numFmtId="1" fontId="103" fillId="0" borderId="1" xfId="3436" applyNumberFormat="1" applyFont="1" applyFill="1" applyBorder="1" applyAlignment="1">
      <alignment vertical="center" shrinkToFit="1"/>
    </xf>
    <xf numFmtId="1" fontId="103" fillId="48" borderId="1" xfId="3436" applyNumberFormat="1" applyFont="1" applyFill="1" applyBorder="1" applyAlignment="1">
      <alignment vertical="center" shrinkToFit="1"/>
    </xf>
    <xf numFmtId="2" fontId="103" fillId="48" borderId="1" xfId="3436" applyNumberFormat="1" applyFont="1" applyFill="1" applyBorder="1" applyAlignment="1">
      <alignment vertical="center" shrinkToFit="1"/>
    </xf>
    <xf numFmtId="2" fontId="103" fillId="0" borderId="1" xfId="0" applyNumberFormat="1" applyFont="1" applyFill="1" applyBorder="1" applyAlignment="1">
      <alignment vertical="center" shrinkToFit="1"/>
    </xf>
    <xf numFmtId="2" fontId="103" fillId="0" borderId="1" xfId="0" applyNumberFormat="1" applyFont="1" applyFill="1" applyBorder="1" applyAlignment="1">
      <alignment vertical="center" wrapText="1" shrinkToFit="1"/>
    </xf>
    <xf numFmtId="2" fontId="103" fillId="0" borderId="1" xfId="0" applyNumberFormat="1" applyFont="1" applyFill="1" applyBorder="1" applyAlignment="1">
      <alignment vertical="center" wrapText="1"/>
    </xf>
    <xf numFmtId="17" fontId="110" fillId="0" borderId="1" xfId="0" applyNumberFormat="1" applyFont="1" applyFill="1" applyBorder="1" applyAlignment="1">
      <alignment vertical="center" shrinkToFit="1"/>
    </xf>
    <xf numFmtId="0" fontId="110" fillId="0" borderId="1" xfId="0" applyFont="1" applyFill="1" applyBorder="1" applyAlignment="1">
      <alignment vertical="center" shrinkToFit="1"/>
    </xf>
    <xf numFmtId="0" fontId="103" fillId="0" borderId="0" xfId="0" applyFont="1" applyFill="1" applyAlignment="1">
      <alignment vertical="center" shrinkToFit="1"/>
    </xf>
    <xf numFmtId="0" fontId="103" fillId="48" borderId="1" xfId="3436" applyFont="1" applyFill="1" applyBorder="1" applyAlignment="1">
      <alignment vertical="center" shrinkToFit="1"/>
    </xf>
    <xf numFmtId="0" fontId="103" fillId="48" borderId="1" xfId="0" applyFont="1" applyFill="1" applyBorder="1" applyAlignment="1">
      <alignment vertical="center" wrapText="1"/>
    </xf>
    <xf numFmtId="2" fontId="103" fillId="48" borderId="1" xfId="0" applyNumberFormat="1" applyFont="1" applyFill="1" applyBorder="1" applyAlignment="1">
      <alignment vertical="center" wrapText="1"/>
    </xf>
    <xf numFmtId="17" fontId="110" fillId="0" borderId="1" xfId="0" applyNumberFormat="1" applyFont="1" applyFill="1" applyBorder="1" applyAlignment="1">
      <alignment vertical="center"/>
    </xf>
    <xf numFmtId="0" fontId="110" fillId="0" borderId="1" xfId="0" applyFont="1" applyFill="1" applyBorder="1" applyAlignment="1">
      <alignment vertical="center"/>
    </xf>
    <xf numFmtId="0" fontId="110" fillId="0" borderId="0" xfId="0" applyFont="1" applyFill="1" applyAlignment="1">
      <alignment vertical="center"/>
    </xf>
    <xf numFmtId="2" fontId="121" fillId="0" borderId="1" xfId="0" applyNumberFormat="1" applyFont="1" applyFill="1" applyBorder="1" applyAlignment="1">
      <alignment vertical="center" wrapText="1" shrinkToFit="1"/>
    </xf>
    <xf numFmtId="2" fontId="121" fillId="0" borderId="1" xfId="0" applyNumberFormat="1" applyFont="1" applyFill="1" applyBorder="1" applyAlignment="1">
      <alignment vertical="center" wrapText="1"/>
    </xf>
    <xf numFmtId="2" fontId="128" fillId="0" borderId="1" xfId="0" applyNumberFormat="1" applyFont="1" applyFill="1" applyBorder="1" applyAlignment="1">
      <alignment vertical="center" wrapText="1"/>
    </xf>
    <xf numFmtId="17" fontId="114" fillId="0" borderId="1" xfId="0" applyNumberFormat="1" applyFont="1" applyFill="1" applyBorder="1" applyAlignment="1">
      <alignment vertical="center"/>
    </xf>
    <xf numFmtId="0" fontId="114" fillId="0" borderId="1" xfId="0" applyFont="1" applyFill="1" applyBorder="1" applyAlignment="1">
      <alignment vertical="center"/>
    </xf>
    <xf numFmtId="0" fontId="128" fillId="0" borderId="0" xfId="0" applyFont="1" applyFill="1" applyAlignment="1">
      <alignment vertical="center"/>
    </xf>
    <xf numFmtId="0" fontId="103" fillId="0" borderId="0" xfId="0" applyFont="1" applyFill="1" applyAlignment="1">
      <alignment vertical="center"/>
    </xf>
    <xf numFmtId="0" fontId="103" fillId="52" borderId="1" xfId="2890" applyFont="1" applyFill="1" applyBorder="1" applyAlignment="1">
      <alignment vertical="center" wrapText="1"/>
    </xf>
    <xf numFmtId="2" fontId="103" fillId="52" borderId="1" xfId="2890" applyNumberFormat="1" applyFont="1" applyFill="1" applyBorder="1" applyAlignment="1">
      <alignment vertical="center" wrapText="1"/>
    </xf>
    <xf numFmtId="2" fontId="103" fillId="0" borderId="1" xfId="3437" applyNumberFormat="1" applyFont="1" applyFill="1" applyBorder="1" applyAlignment="1">
      <alignment vertical="center"/>
    </xf>
    <xf numFmtId="2" fontId="103" fillId="0" borderId="1" xfId="0" applyNumberFormat="1" applyFont="1" applyBorder="1" applyAlignment="1">
      <alignment vertical="center"/>
    </xf>
    <xf numFmtId="2" fontId="103" fillId="0" borderId="0" xfId="0" applyNumberFormat="1" applyFont="1" applyFill="1" applyAlignment="1">
      <alignment vertical="center" shrinkToFit="1"/>
    </xf>
    <xf numFmtId="0" fontId="103" fillId="53" borderId="1" xfId="0" applyFont="1" applyFill="1" applyBorder="1" applyAlignment="1">
      <alignment vertical="center"/>
    </xf>
    <xf numFmtId="0" fontId="103" fillId="50" borderId="1" xfId="0" applyFont="1" applyFill="1" applyBorder="1" applyAlignment="1">
      <alignment vertical="center"/>
    </xf>
    <xf numFmtId="0" fontId="108" fillId="0" borderId="1" xfId="3437" applyFont="1" applyFill="1" applyBorder="1" applyAlignment="1">
      <alignment horizontal="center"/>
    </xf>
    <xf numFmtId="49" fontId="108" fillId="0" borderId="1" xfId="3437" applyNumberFormat="1" applyFont="1" applyFill="1" applyBorder="1" applyAlignment="1">
      <alignment horizontal="center"/>
    </xf>
    <xf numFmtId="0" fontId="108" fillId="46" borderId="1" xfId="3437" applyFont="1" applyFill="1" applyBorder="1" applyAlignment="1">
      <alignment horizontal="center"/>
    </xf>
    <xf numFmtId="0" fontId="112" fillId="0" borderId="0" xfId="3437" applyFont="1" applyFill="1" applyAlignment="1"/>
    <xf numFmtId="165" fontId="108" fillId="47" borderId="1" xfId="2037" applyFont="1" applyFill="1" applyBorder="1" applyAlignment="1">
      <alignment horizontal="center" vertical="top" wrapText="1"/>
    </xf>
    <xf numFmtId="165" fontId="108" fillId="0" borderId="1" xfId="2037" applyFont="1" applyFill="1" applyBorder="1" applyAlignment="1">
      <alignment horizontal="center" vertical="top" wrapText="1"/>
    </xf>
    <xf numFmtId="165" fontId="108" fillId="46" borderId="1" xfId="2037" applyFont="1" applyFill="1" applyBorder="1" applyAlignment="1">
      <alignment horizontal="center" vertical="top" wrapText="1"/>
    </xf>
    <xf numFmtId="1" fontId="103" fillId="0" borderId="1" xfId="0" applyNumberFormat="1" applyFont="1" applyFill="1" applyBorder="1" applyAlignment="1">
      <alignment horizontal="center" vertical="center" shrinkToFit="1"/>
    </xf>
    <xf numFmtId="1" fontId="103" fillId="0" borderId="1" xfId="0" applyNumberFormat="1" applyFont="1" applyFill="1" applyBorder="1" applyAlignment="1">
      <alignment horizontal="left" vertical="center" shrinkToFit="1"/>
    </xf>
    <xf numFmtId="1" fontId="103" fillId="45" borderId="1" xfId="0" applyNumberFormat="1" applyFont="1" applyFill="1" applyBorder="1" applyAlignment="1">
      <alignment horizontal="center" vertical="center" shrinkToFit="1"/>
    </xf>
    <xf numFmtId="1" fontId="103" fillId="45" borderId="1" xfId="0" applyNumberFormat="1" applyFont="1" applyFill="1" applyBorder="1" applyAlignment="1">
      <alignment horizontal="left" vertical="center" shrinkToFit="1"/>
    </xf>
    <xf numFmtId="1" fontId="103" fillId="50" borderId="1" xfId="0" applyNumberFormat="1" applyFont="1" applyFill="1" applyBorder="1" applyAlignment="1">
      <alignment horizontal="left" vertical="center" shrinkToFit="1"/>
    </xf>
    <xf numFmtId="1" fontId="103" fillId="48" borderId="1" xfId="3712" applyNumberFormat="1" applyFont="1" applyFill="1" applyBorder="1" applyAlignment="1">
      <alignment horizontal="right" vertical="center" wrapText="1"/>
    </xf>
    <xf numFmtId="2" fontId="103" fillId="48" borderId="1" xfId="3712" applyNumberFormat="1" applyFont="1" applyFill="1" applyBorder="1" applyAlignment="1">
      <alignment horizontal="right" vertical="center" wrapText="1"/>
    </xf>
    <xf numFmtId="2" fontId="103" fillId="0" borderId="1" xfId="0" applyNumberFormat="1" applyFont="1" applyFill="1" applyBorder="1" applyAlignment="1">
      <alignment horizontal="right" vertical="center" wrapText="1" shrinkToFit="1"/>
    </xf>
    <xf numFmtId="2" fontId="103" fillId="0" borderId="1" xfId="0" applyNumberFormat="1" applyFont="1" applyBorder="1" applyAlignment="1">
      <alignment horizontal="right" vertical="center"/>
    </xf>
    <xf numFmtId="2" fontId="103" fillId="0" borderId="1" xfId="0" applyNumberFormat="1" applyFont="1" applyFill="1" applyBorder="1" applyAlignment="1">
      <alignment horizontal="right" vertical="center" wrapText="1"/>
    </xf>
    <xf numFmtId="2" fontId="103" fillId="0" borderId="0" xfId="0" applyNumberFormat="1" applyFont="1" applyFill="1" applyAlignment="1">
      <alignment horizontal="right" vertical="center" shrinkToFit="1"/>
    </xf>
    <xf numFmtId="0" fontId="103" fillId="0" borderId="0" xfId="0" applyFont="1" applyFill="1" applyAlignment="1">
      <alignment horizontal="right" vertical="center" shrinkToFit="1"/>
    </xf>
    <xf numFmtId="0" fontId="103" fillId="48" borderId="1" xfId="0" applyFont="1" applyFill="1" applyBorder="1" applyAlignment="1">
      <alignment horizontal="right" vertical="center" wrapText="1"/>
    </xf>
    <xf numFmtId="2" fontId="103" fillId="48" borderId="1" xfId="0" applyNumberFormat="1" applyFont="1" applyFill="1" applyBorder="1" applyAlignment="1">
      <alignment horizontal="right" vertical="center" wrapText="1"/>
    </xf>
    <xf numFmtId="2" fontId="103" fillId="48" borderId="1" xfId="3712" applyNumberFormat="1" applyFont="1" applyFill="1" applyBorder="1" applyAlignment="1">
      <alignment horizontal="right" vertical="center" shrinkToFit="1"/>
    </xf>
    <xf numFmtId="2" fontId="103" fillId="48" borderId="1" xfId="0" applyNumberFormat="1" applyFont="1" applyFill="1" applyBorder="1" applyAlignment="1">
      <alignment horizontal="right" vertical="center" shrinkToFit="1"/>
    </xf>
    <xf numFmtId="0" fontId="103" fillId="48" borderId="1" xfId="3712" applyFont="1" applyFill="1" applyBorder="1" applyAlignment="1">
      <alignment horizontal="right" vertical="center" shrinkToFit="1"/>
    </xf>
    <xf numFmtId="1" fontId="103" fillId="48" borderId="1" xfId="3712" applyNumberFormat="1" applyFont="1" applyFill="1" applyBorder="1" applyAlignment="1">
      <alignment horizontal="right" vertical="center" shrinkToFit="1"/>
    </xf>
    <xf numFmtId="205" fontId="103" fillId="48" borderId="1" xfId="3712" applyNumberFormat="1" applyFont="1" applyFill="1" applyBorder="1" applyAlignment="1">
      <alignment horizontal="right" vertical="center" shrinkToFit="1"/>
    </xf>
    <xf numFmtId="0" fontId="103" fillId="49" borderId="1" xfId="0" applyFont="1" applyFill="1" applyBorder="1" applyAlignment="1">
      <alignment horizontal="right" vertical="center"/>
    </xf>
    <xf numFmtId="0" fontId="103" fillId="0" borderId="0" xfId="0" applyFont="1" applyFill="1" applyAlignment="1">
      <alignment horizontal="right" vertical="center"/>
    </xf>
    <xf numFmtId="0" fontId="129" fillId="52" borderId="37" xfId="3713" applyFont="1" applyFill="1" applyBorder="1" applyAlignment="1">
      <alignment horizontal="right" vertical="center" wrapText="1"/>
    </xf>
    <xf numFmtId="2" fontId="129" fillId="52" borderId="37" xfId="3713" applyNumberFormat="1" applyFont="1" applyFill="1" applyBorder="1" applyAlignment="1">
      <alignment horizontal="right" vertical="center" wrapText="1"/>
    </xf>
    <xf numFmtId="205" fontId="129" fillId="52" borderId="37" xfId="3713" applyNumberFormat="1" applyFont="1" applyFill="1" applyBorder="1" applyAlignment="1">
      <alignment horizontal="right" vertical="center" wrapText="1"/>
    </xf>
    <xf numFmtId="0" fontId="129" fillId="52" borderId="1" xfId="2890" applyFont="1" applyFill="1" applyBorder="1" applyAlignment="1">
      <alignment horizontal="right" vertical="center"/>
    </xf>
    <xf numFmtId="2" fontId="129" fillId="52" borderId="1" xfId="2890" applyNumberFormat="1" applyFont="1" applyFill="1" applyBorder="1" applyAlignment="1">
      <alignment horizontal="right" vertical="center"/>
    </xf>
    <xf numFmtId="205" fontId="129" fillId="52" borderId="1" xfId="2890" applyNumberFormat="1" applyFont="1" applyFill="1" applyBorder="1" applyAlignment="1">
      <alignment horizontal="right" vertical="center"/>
    </xf>
    <xf numFmtId="0" fontId="129" fillId="52" borderId="1" xfId="2890" applyFont="1" applyFill="1" applyBorder="1" applyAlignment="1">
      <alignment horizontal="right" vertical="center" wrapText="1"/>
    </xf>
    <xf numFmtId="2" fontId="129" fillId="52" borderId="1" xfId="3713" applyNumberFormat="1" applyFont="1" applyFill="1" applyBorder="1" applyAlignment="1">
      <alignment horizontal="right" vertical="center" wrapText="1"/>
    </xf>
    <xf numFmtId="205" fontId="129" fillId="52" borderId="1" xfId="3713" applyNumberFormat="1" applyFont="1" applyFill="1" applyBorder="1" applyAlignment="1">
      <alignment horizontal="right" vertical="center" wrapText="1"/>
    </xf>
    <xf numFmtId="0" fontId="129" fillId="52" borderId="1" xfId="3713" applyFont="1" applyFill="1" applyBorder="1" applyAlignment="1">
      <alignment horizontal="right" vertical="center" wrapText="1"/>
    </xf>
    <xf numFmtId="2" fontId="129" fillId="52" borderId="1" xfId="2890" applyNumberFormat="1" applyFont="1" applyFill="1" applyBorder="1" applyAlignment="1">
      <alignment horizontal="right" vertical="center" wrapText="1"/>
    </xf>
    <xf numFmtId="205" fontId="129" fillId="52" borderId="1" xfId="2890" applyNumberFormat="1" applyFont="1" applyFill="1" applyBorder="1" applyAlignment="1">
      <alignment horizontal="right" vertical="center" wrapText="1"/>
    </xf>
    <xf numFmtId="0" fontId="103" fillId="52" borderId="1" xfId="0" applyFont="1" applyFill="1" applyBorder="1" applyAlignment="1">
      <alignment horizontal="right" vertical="center"/>
    </xf>
    <xf numFmtId="2" fontId="103" fillId="52" borderId="1" xfId="0" applyNumberFormat="1" applyFont="1" applyFill="1" applyBorder="1" applyAlignment="1">
      <alignment horizontal="right" vertical="center" wrapText="1" shrinkToFit="1"/>
    </xf>
    <xf numFmtId="2" fontId="103" fillId="52" borderId="1" xfId="0" applyNumberFormat="1" applyFont="1" applyFill="1" applyBorder="1" applyAlignment="1">
      <alignment horizontal="right" vertical="center"/>
    </xf>
    <xf numFmtId="2" fontId="103" fillId="45" borderId="1" xfId="0" applyNumberFormat="1" applyFont="1" applyFill="1" applyBorder="1" applyAlignment="1">
      <alignment horizontal="right" vertical="center" wrapText="1" shrinkToFit="1"/>
    </xf>
    <xf numFmtId="2" fontId="103" fillId="45" borderId="1" xfId="0" applyNumberFormat="1" applyFont="1" applyFill="1" applyBorder="1" applyAlignment="1">
      <alignment horizontal="right" vertical="center"/>
    </xf>
    <xf numFmtId="2" fontId="103" fillId="45" borderId="1" xfId="0" applyNumberFormat="1" applyFont="1" applyFill="1" applyBorder="1" applyAlignment="1">
      <alignment horizontal="right" vertical="center" wrapText="1"/>
    </xf>
    <xf numFmtId="2" fontId="103" fillId="45" borderId="0" xfId="0" applyNumberFormat="1" applyFont="1" applyFill="1" applyAlignment="1">
      <alignment horizontal="right" vertical="center" shrinkToFit="1"/>
    </xf>
    <xf numFmtId="0" fontId="103" fillId="45" borderId="0" xfId="0" applyFont="1" applyFill="1" applyAlignment="1">
      <alignment horizontal="right" vertical="center"/>
    </xf>
    <xf numFmtId="1" fontId="130" fillId="51" borderId="1" xfId="3437" applyNumberFormat="1" applyFont="1" applyFill="1" applyBorder="1" applyAlignment="1">
      <alignment horizontal="right" vertical="center"/>
    </xf>
    <xf numFmtId="0" fontId="103" fillId="51" borderId="1" xfId="0" applyFont="1" applyFill="1" applyBorder="1" applyAlignment="1">
      <alignment horizontal="right" vertical="center"/>
    </xf>
    <xf numFmtId="2" fontId="103" fillId="51" borderId="1" xfId="0" applyNumberFormat="1" applyFont="1" applyFill="1" applyBorder="1" applyAlignment="1">
      <alignment horizontal="right" vertical="center"/>
    </xf>
    <xf numFmtId="0" fontId="130" fillId="51" borderId="1" xfId="3437" applyFont="1" applyFill="1" applyBorder="1" applyAlignment="1">
      <alignment horizontal="right" vertical="center"/>
    </xf>
    <xf numFmtId="0" fontId="4" fillId="0" borderId="0" xfId="3437" applyFont="1" applyFill="1" applyAlignment="1">
      <alignment horizontal="center"/>
    </xf>
    <xf numFmtId="0" fontId="4" fillId="0" borderId="0" xfId="3437" applyFont="1" applyFill="1" applyAlignment="1">
      <alignment horizontal="left"/>
    </xf>
    <xf numFmtId="0" fontId="110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3" fillId="0" borderId="1" xfId="0" applyFont="1" applyFill="1" applyBorder="1" applyAlignment="1">
      <alignment horizontal="left" vertical="center"/>
    </xf>
    <xf numFmtId="0" fontId="112" fillId="47" borderId="0" xfId="0" applyFont="1" applyFill="1" applyAlignment="1">
      <alignment horizontal="center"/>
    </xf>
    <xf numFmtId="0" fontId="112" fillId="0" borderId="0" xfId="3437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10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8" fillId="47" borderId="1" xfId="3437" applyFont="1" applyFill="1" applyBorder="1" applyAlignment="1">
      <alignment horizontal="center"/>
    </xf>
    <xf numFmtId="2" fontId="112" fillId="0" borderId="0" xfId="3437" applyNumberFormat="1" applyFont="1" applyFill="1" applyAlignment="1"/>
    <xf numFmtId="0" fontId="103" fillId="0" borderId="1" xfId="0" applyFont="1" applyFill="1" applyBorder="1" applyAlignment="1">
      <alignment horizontal="left" vertical="center" wrapText="1"/>
    </xf>
    <xf numFmtId="0" fontId="126" fillId="0" borderId="1" xfId="0" applyFont="1" applyFill="1" applyBorder="1" applyAlignment="1">
      <alignment horizontal="left" vertical="center" wrapText="1"/>
    </xf>
    <xf numFmtId="0" fontId="126" fillId="0" borderId="38" xfId="0" applyFont="1" applyFill="1" applyBorder="1" applyAlignment="1">
      <alignment horizontal="left" vertical="center" wrapText="1"/>
    </xf>
    <xf numFmtId="1" fontId="103" fillId="27" borderId="1" xfId="0" applyNumberFormat="1" applyFont="1" applyFill="1" applyBorder="1" applyAlignment="1">
      <alignment horizontal="center" vertical="center" shrinkToFit="1"/>
    </xf>
    <xf numFmtId="1" fontId="126" fillId="27" borderId="1" xfId="0" applyNumberFormat="1" applyFont="1" applyFill="1" applyBorder="1" applyAlignment="1">
      <alignment horizontal="center" vertical="center" shrinkToFit="1"/>
    </xf>
    <xf numFmtId="1" fontId="126" fillId="45" borderId="1" xfId="0" applyNumberFormat="1" applyFont="1" applyFill="1" applyBorder="1" applyAlignment="1">
      <alignment horizontal="center" vertical="center" shrinkToFit="1"/>
    </xf>
    <xf numFmtId="0" fontId="126" fillId="45" borderId="1" xfId="0" applyFont="1" applyFill="1" applyBorder="1" applyAlignment="1">
      <alignment horizontal="left" vertical="center" wrapText="1"/>
    </xf>
    <xf numFmtId="1" fontId="112" fillId="0" borderId="0" xfId="3437" applyNumberFormat="1" applyFont="1" applyFill="1" applyAlignment="1"/>
    <xf numFmtId="0" fontId="112" fillId="0" borderId="0" xfId="0" applyFont="1"/>
    <xf numFmtId="2" fontId="131" fillId="0" borderId="0" xfId="3437" applyNumberFormat="1" applyFont="1" applyFill="1" applyAlignment="1"/>
    <xf numFmtId="2" fontId="103" fillId="0" borderId="0" xfId="3437" applyNumberFormat="1" applyFont="1" applyFill="1" applyAlignment="1"/>
    <xf numFmtId="0" fontId="103" fillId="0" borderId="0" xfId="3437" applyFont="1" applyFill="1" applyAlignment="1"/>
    <xf numFmtId="166" fontId="103" fillId="0" borderId="0" xfId="0" applyNumberFormat="1" applyFont="1" applyFill="1" applyBorder="1" applyAlignment="1">
      <alignment horizontal="center"/>
    </xf>
    <xf numFmtId="2" fontId="103" fillId="43" borderId="0" xfId="3437" applyNumberFormat="1" applyFont="1" applyFill="1" applyAlignment="1"/>
    <xf numFmtId="166" fontId="103" fillId="43" borderId="0" xfId="0" applyNumberFormat="1" applyFont="1" applyFill="1" applyBorder="1" applyAlignment="1">
      <alignment horizontal="center"/>
    </xf>
    <xf numFmtId="2" fontId="126" fillId="0" borderId="0" xfId="3437" applyNumberFormat="1" applyFont="1" applyFill="1" applyAlignment="1"/>
    <xf numFmtId="166" fontId="126" fillId="0" borderId="0" xfId="0" applyNumberFormat="1" applyFont="1" applyFill="1" applyBorder="1" applyAlignment="1">
      <alignment horizontal="center"/>
    </xf>
    <xf numFmtId="2" fontId="126" fillId="45" borderId="0" xfId="3437" applyNumberFormat="1" applyFont="1" applyFill="1" applyAlignment="1"/>
    <xf numFmtId="166" fontId="126" fillId="45" borderId="0" xfId="0" applyNumberFormat="1" applyFont="1" applyFill="1" applyBorder="1" applyAlignment="1">
      <alignment horizontal="center"/>
    </xf>
    <xf numFmtId="1" fontId="133" fillId="27" borderId="1" xfId="0" applyNumberFormat="1" applyFont="1" applyFill="1" applyBorder="1" applyAlignment="1">
      <alignment horizontal="center" vertical="center" shrinkToFit="1"/>
    </xf>
    <xf numFmtId="0" fontId="133" fillId="0" borderId="1" xfId="0" applyFont="1" applyFill="1" applyBorder="1" applyAlignment="1">
      <alignment horizontal="left" vertical="center" wrapText="1"/>
    </xf>
    <xf numFmtId="2" fontId="133" fillId="0" borderId="0" xfId="3437" applyNumberFormat="1" applyFont="1" applyFill="1" applyAlignment="1"/>
    <xf numFmtId="166" fontId="133" fillId="0" borderId="0" xfId="0" applyNumberFormat="1" applyFont="1" applyFill="1" applyBorder="1" applyAlignment="1">
      <alignment horizontal="center"/>
    </xf>
    <xf numFmtId="1" fontId="103" fillId="48" borderId="1" xfId="0" applyNumberFormat="1" applyFont="1" applyFill="1" applyBorder="1" applyAlignment="1">
      <alignment horizontal="right" vertical="center" wrapText="1"/>
    </xf>
    <xf numFmtId="2" fontId="126" fillId="0" borderId="1" xfId="0" applyNumberFormat="1" applyFont="1" applyFill="1" applyBorder="1" applyAlignment="1">
      <alignment horizontal="right" vertical="center" wrapText="1" shrinkToFit="1"/>
    </xf>
    <xf numFmtId="2" fontId="133" fillId="0" borderId="1" xfId="0" applyNumberFormat="1" applyFont="1" applyFill="1" applyBorder="1" applyAlignment="1">
      <alignment horizontal="right" vertical="center" wrapText="1" shrinkToFit="1"/>
    </xf>
    <xf numFmtId="2" fontId="132" fillId="52" borderId="1" xfId="0" applyNumberFormat="1" applyFont="1" applyFill="1" applyBorder="1" applyAlignment="1">
      <alignment horizontal="right" vertical="center" wrapText="1" shrinkToFit="1"/>
    </xf>
    <xf numFmtId="0" fontId="126" fillId="52" borderId="1" xfId="0" applyFont="1" applyFill="1" applyBorder="1" applyAlignment="1">
      <alignment horizontal="right" vertical="center"/>
    </xf>
    <xf numFmtId="2" fontId="126" fillId="52" borderId="1" xfId="0" applyNumberFormat="1" applyFont="1" applyFill="1" applyBorder="1" applyAlignment="1">
      <alignment horizontal="right" vertical="center"/>
    </xf>
    <xf numFmtId="0" fontId="126" fillId="0" borderId="1" xfId="0" applyFont="1" applyBorder="1" applyAlignment="1">
      <alignment horizontal="right" vertical="center"/>
    </xf>
    <xf numFmtId="2" fontId="126" fillId="0" borderId="1" xfId="0" applyNumberFormat="1" applyFont="1" applyBorder="1" applyAlignment="1">
      <alignment horizontal="right" vertical="center"/>
    </xf>
    <xf numFmtId="0" fontId="132" fillId="52" borderId="1" xfId="0" applyFont="1" applyFill="1" applyBorder="1" applyAlignment="1">
      <alignment horizontal="right" vertical="center"/>
    </xf>
    <xf numFmtId="0" fontId="126" fillId="45" borderId="1" xfId="0" applyFont="1" applyFill="1" applyBorder="1" applyAlignment="1">
      <alignment horizontal="right" vertical="center"/>
    </xf>
    <xf numFmtId="2" fontId="126" fillId="45" borderId="1" xfId="0" applyNumberFormat="1" applyFont="1" applyFill="1" applyBorder="1" applyAlignment="1">
      <alignment horizontal="right" vertical="center"/>
    </xf>
    <xf numFmtId="0" fontId="133" fillId="51" borderId="1" xfId="0" applyFont="1" applyFill="1" applyBorder="1" applyAlignment="1">
      <alignment horizontal="right" vertical="center"/>
    </xf>
    <xf numFmtId="0" fontId="133" fillId="0" borderId="1" xfId="0" applyFont="1" applyBorder="1" applyAlignment="1">
      <alignment horizontal="right" vertical="center"/>
    </xf>
    <xf numFmtId="2" fontId="133" fillId="0" borderId="1" xfId="0" applyNumberFormat="1" applyFont="1" applyBorder="1" applyAlignment="1">
      <alignment horizontal="right" vertical="center"/>
    </xf>
    <xf numFmtId="2" fontId="133" fillId="51" borderId="1" xfId="0" applyNumberFormat="1" applyFont="1" applyFill="1" applyBorder="1" applyAlignment="1">
      <alignment horizontal="right" vertical="center"/>
    </xf>
    <xf numFmtId="0" fontId="109" fillId="0" borderId="0" xfId="3437" applyFont="1" applyFill="1" applyBorder="1" applyAlignment="1">
      <alignment horizontal="center" vertical="center"/>
    </xf>
    <xf numFmtId="0" fontId="110" fillId="0" borderId="0" xfId="0" applyFont="1" applyFill="1" applyBorder="1" applyAlignment="1">
      <alignment horizontal="center" vertical="center"/>
    </xf>
    <xf numFmtId="165" fontId="107" fillId="0" borderId="1" xfId="2037" applyFont="1" applyFill="1" applyBorder="1" applyAlignment="1">
      <alignment horizontal="center" vertical="top" wrapText="1"/>
    </xf>
    <xf numFmtId="2" fontId="109" fillId="0" borderId="0" xfId="3437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0" borderId="0" xfId="0"/>
    <xf numFmtId="165" fontId="107" fillId="44" borderId="1" xfId="2037" applyFont="1" applyFill="1" applyBorder="1" applyAlignment="1">
      <alignment horizontal="center" vertical="top" wrapText="1"/>
    </xf>
    <xf numFmtId="165" fontId="108" fillId="0" borderId="1" xfId="2037" applyFont="1" applyFill="1" applyBorder="1" applyAlignment="1">
      <alignment horizontal="center" vertical="top" wrapText="1"/>
    </xf>
    <xf numFmtId="165" fontId="108" fillId="47" borderId="1" xfId="2037" applyFont="1" applyFill="1" applyBorder="1" applyAlignment="1">
      <alignment horizontal="center" vertical="top" wrapText="1"/>
    </xf>
    <xf numFmtId="0" fontId="103" fillId="45" borderId="0" xfId="0" applyFont="1" applyFill="1" applyAlignment="1">
      <alignment horizontal="right" vertical="center" shrinkToFit="1"/>
    </xf>
    <xf numFmtId="1" fontId="135" fillId="51" borderId="1" xfId="3437" applyNumberFormat="1" applyFont="1" applyFill="1" applyBorder="1" applyAlignment="1">
      <alignment horizontal="center" vertical="center"/>
    </xf>
    <xf numFmtId="0" fontId="135" fillId="51" borderId="1" xfId="3437" applyFont="1" applyFill="1" applyBorder="1" applyAlignment="1">
      <alignment horizontal="center" vertical="center"/>
    </xf>
    <xf numFmtId="0" fontId="134" fillId="54" borderId="1" xfId="0" applyFont="1" applyFill="1" applyBorder="1" applyAlignment="1">
      <alignment horizontal="right" vertical="center"/>
    </xf>
    <xf numFmtId="0" fontId="126" fillId="54" borderId="1" xfId="0" applyFont="1" applyFill="1" applyBorder="1" applyAlignment="1">
      <alignment horizontal="right" vertical="center"/>
    </xf>
    <xf numFmtId="0" fontId="103" fillId="54" borderId="1" xfId="0" applyFont="1" applyFill="1" applyBorder="1" applyAlignment="1">
      <alignment horizontal="right" vertical="center"/>
    </xf>
    <xf numFmtId="2" fontId="134" fillId="54" borderId="1" xfId="0" applyNumberFormat="1" applyFont="1" applyFill="1" applyBorder="1" applyAlignment="1">
      <alignment horizontal="right" vertical="center"/>
    </xf>
    <xf numFmtId="2" fontId="103" fillId="54" borderId="1" xfId="0" applyNumberFormat="1" applyFont="1" applyFill="1" applyBorder="1" applyAlignment="1">
      <alignment horizontal="right" vertical="center"/>
    </xf>
    <xf numFmtId="1" fontId="103" fillId="45" borderId="1" xfId="0" applyNumberFormat="1" applyFont="1" applyFill="1" applyBorder="1" applyAlignment="1">
      <alignment horizontal="center" vertical="center" wrapText="1" shrinkToFit="1"/>
    </xf>
    <xf numFmtId="1" fontId="103" fillId="45" borderId="1" xfId="3436" applyNumberFormat="1" applyFont="1" applyFill="1" applyBorder="1" applyAlignment="1">
      <alignment vertical="center" shrinkToFit="1"/>
    </xf>
    <xf numFmtId="2" fontId="103" fillId="45" borderId="1" xfId="0" applyNumberFormat="1" applyFont="1" applyFill="1" applyBorder="1" applyAlignment="1">
      <alignment vertical="center" shrinkToFit="1"/>
    </xf>
    <xf numFmtId="2" fontId="103" fillId="45" borderId="1" xfId="0" applyNumberFormat="1" applyFont="1" applyFill="1" applyBorder="1" applyAlignment="1">
      <alignment vertical="center" wrapText="1" shrinkToFit="1"/>
    </xf>
    <xf numFmtId="2" fontId="103" fillId="45" borderId="1" xfId="0" applyNumberFormat="1" applyFont="1" applyFill="1" applyBorder="1" applyAlignment="1">
      <alignment vertical="center"/>
    </xf>
    <xf numFmtId="2" fontId="103" fillId="45" borderId="1" xfId="0" applyNumberFormat="1" applyFont="1" applyFill="1" applyBorder="1" applyAlignment="1">
      <alignment vertical="center" wrapText="1"/>
    </xf>
    <xf numFmtId="2" fontId="103" fillId="45" borderId="0" xfId="0" applyNumberFormat="1" applyFont="1" applyFill="1" applyAlignment="1">
      <alignment vertical="center" shrinkToFit="1"/>
    </xf>
    <xf numFmtId="0" fontId="103" fillId="45" borderId="0" xfId="0" applyFont="1" applyFill="1" applyAlignment="1">
      <alignment vertical="center" shrinkToFit="1"/>
    </xf>
    <xf numFmtId="17" fontId="110" fillId="45" borderId="1" xfId="0" applyNumberFormat="1" applyFont="1" applyFill="1" applyBorder="1" applyAlignment="1">
      <alignment vertical="center" shrinkToFit="1"/>
    </xf>
    <xf numFmtId="0" fontId="110" fillId="45" borderId="1" xfId="0" applyFont="1" applyFill="1" applyBorder="1" applyAlignment="1">
      <alignment vertical="center" shrinkToFit="1"/>
    </xf>
    <xf numFmtId="0" fontId="110" fillId="45" borderId="0" xfId="0" applyFont="1" applyFill="1" applyAlignment="1">
      <alignment vertical="center"/>
    </xf>
    <xf numFmtId="17" fontId="110" fillId="45" borderId="1" xfId="0" applyNumberFormat="1" applyFont="1" applyFill="1" applyBorder="1" applyAlignment="1">
      <alignment vertical="center"/>
    </xf>
    <xf numFmtId="0" fontId="110" fillId="45" borderId="1" xfId="0" applyFont="1" applyFill="1" applyBorder="1" applyAlignment="1">
      <alignment vertical="center"/>
    </xf>
    <xf numFmtId="1" fontId="121" fillId="45" borderId="1" xfId="0" applyNumberFormat="1" applyFont="1" applyFill="1" applyBorder="1" applyAlignment="1">
      <alignment horizontal="center" vertical="center" wrapText="1" shrinkToFit="1"/>
    </xf>
    <xf numFmtId="2" fontId="121" fillId="45" borderId="1" xfId="0" applyNumberFormat="1" applyFont="1" applyFill="1" applyBorder="1" applyAlignment="1">
      <alignment vertical="center" wrapText="1" shrinkToFit="1"/>
    </xf>
    <xf numFmtId="2" fontId="121" fillId="45" borderId="1" xfId="0" applyNumberFormat="1" applyFont="1" applyFill="1" applyBorder="1" applyAlignment="1">
      <alignment vertical="center" wrapText="1"/>
    </xf>
    <xf numFmtId="2" fontId="128" fillId="45" borderId="1" xfId="0" applyNumberFormat="1" applyFont="1" applyFill="1" applyBorder="1" applyAlignment="1">
      <alignment vertical="center" wrapText="1"/>
    </xf>
    <xf numFmtId="0" fontId="128" fillId="45" borderId="0" xfId="0" applyFont="1" applyFill="1" applyAlignment="1">
      <alignment vertical="center"/>
    </xf>
    <xf numFmtId="17" fontId="114" fillId="45" borderId="1" xfId="0" applyNumberFormat="1" applyFont="1" applyFill="1" applyBorder="1" applyAlignment="1">
      <alignment vertical="center"/>
    </xf>
    <xf numFmtId="0" fontId="114" fillId="45" borderId="1" xfId="0" applyFont="1" applyFill="1" applyBorder="1" applyAlignment="1">
      <alignment vertical="center"/>
    </xf>
    <xf numFmtId="0" fontId="103" fillId="45" borderId="0" xfId="0" applyFont="1" applyFill="1" applyAlignment="1">
      <alignment vertical="center"/>
    </xf>
    <xf numFmtId="2" fontId="103" fillId="45" borderId="1" xfId="3437" applyNumberFormat="1" applyFont="1" applyFill="1" applyBorder="1" applyAlignment="1">
      <alignment vertical="center"/>
    </xf>
    <xf numFmtId="0" fontId="103" fillId="56" borderId="1" xfId="0" applyFont="1" applyFill="1" applyBorder="1" applyAlignment="1">
      <alignment vertical="center"/>
    </xf>
    <xf numFmtId="2" fontId="103" fillId="56" borderId="1" xfId="0" applyNumberFormat="1" applyFont="1" applyFill="1" applyBorder="1" applyAlignment="1">
      <alignment vertical="center"/>
    </xf>
    <xf numFmtId="1" fontId="110" fillId="55" borderId="1" xfId="3437" applyNumberFormat="1" applyFont="1" applyFill="1" applyBorder="1" applyAlignment="1">
      <alignment horizontal="right" vertical="center"/>
    </xf>
    <xf numFmtId="0" fontId="110" fillId="55" borderId="1" xfId="3437" applyFont="1" applyFill="1" applyBorder="1" applyAlignment="1">
      <alignment horizontal="right" vertical="center"/>
    </xf>
    <xf numFmtId="2" fontId="103" fillId="55" borderId="1" xfId="0" applyNumberFormat="1" applyFont="1" applyFill="1" applyBorder="1" applyAlignment="1">
      <alignment horizontal="right" vertical="center"/>
    </xf>
    <xf numFmtId="0" fontId="103" fillId="55" borderId="1" xfId="0" applyFont="1" applyFill="1" applyBorder="1" applyAlignment="1">
      <alignment horizontal="right" vertical="center"/>
    </xf>
    <xf numFmtId="1" fontId="136" fillId="27" borderId="1" xfId="0" applyNumberFormat="1" applyFont="1" applyFill="1" applyBorder="1" applyAlignment="1">
      <alignment horizontal="center" vertical="center" shrinkToFit="1"/>
    </xf>
    <xf numFmtId="0" fontId="136" fillId="0" borderId="1" xfId="0" applyFont="1" applyFill="1" applyBorder="1" applyAlignment="1">
      <alignment horizontal="left" vertical="center" wrapText="1"/>
    </xf>
    <xf numFmtId="0" fontId="136" fillId="55" borderId="1" xfId="0" applyFont="1" applyFill="1" applyBorder="1" applyAlignment="1">
      <alignment horizontal="right" vertical="center"/>
    </xf>
    <xf numFmtId="2" fontId="137" fillId="45" borderId="1" xfId="0" applyNumberFormat="1" applyFont="1" applyFill="1" applyBorder="1" applyAlignment="1">
      <alignment horizontal="right" vertical="center" wrapText="1" shrinkToFit="1"/>
    </xf>
    <xf numFmtId="2" fontId="136" fillId="55" borderId="1" xfId="0" applyNumberFormat="1" applyFont="1" applyFill="1" applyBorder="1" applyAlignment="1">
      <alignment horizontal="right" vertical="center"/>
    </xf>
    <xf numFmtId="0" fontId="136" fillId="0" borderId="1" xfId="0" applyFont="1" applyBorder="1" applyAlignment="1">
      <alignment horizontal="right" vertical="center"/>
    </xf>
    <xf numFmtId="2" fontId="137" fillId="0" borderId="1" xfId="0" applyNumberFormat="1" applyFont="1" applyBorder="1" applyAlignment="1">
      <alignment horizontal="right" vertical="center"/>
    </xf>
    <xf numFmtId="2" fontId="136" fillId="0" borderId="1" xfId="0" applyNumberFormat="1" applyFont="1" applyBorder="1" applyAlignment="1">
      <alignment horizontal="right" vertical="center"/>
    </xf>
    <xf numFmtId="2" fontId="136" fillId="0" borderId="0" xfId="3437" applyNumberFormat="1" applyFont="1" applyFill="1" applyAlignment="1"/>
    <xf numFmtId="166" fontId="136" fillId="0" borderId="0" xfId="0" applyNumberFormat="1" applyFont="1" applyFill="1" applyBorder="1" applyAlignment="1">
      <alignment horizontal="center"/>
    </xf>
    <xf numFmtId="2" fontId="136" fillId="45" borderId="1" xfId="0" applyNumberFormat="1" applyFont="1" applyFill="1" applyBorder="1" applyAlignment="1">
      <alignment horizontal="right" vertical="center"/>
    </xf>
    <xf numFmtId="1" fontId="136" fillId="45" borderId="1" xfId="0" applyNumberFormat="1" applyFont="1" applyFill="1" applyBorder="1" applyAlignment="1">
      <alignment horizontal="center" vertical="center" shrinkToFit="1"/>
    </xf>
    <xf numFmtId="0" fontId="136" fillId="45" borderId="1" xfId="0" applyFont="1" applyFill="1" applyBorder="1" applyAlignment="1">
      <alignment horizontal="left" vertical="center" wrapText="1"/>
    </xf>
    <xf numFmtId="0" fontId="136" fillId="45" borderId="1" xfId="0" applyFont="1" applyFill="1" applyBorder="1" applyAlignment="1">
      <alignment horizontal="right" vertical="center"/>
    </xf>
    <xf numFmtId="2" fontId="136" fillId="45" borderId="0" xfId="3437" applyNumberFormat="1" applyFont="1" applyFill="1" applyAlignment="1"/>
    <xf numFmtId="166" fontId="136" fillId="45" borderId="0" xfId="0" applyNumberFormat="1" applyFont="1" applyFill="1" applyBorder="1" applyAlignment="1">
      <alignment horizontal="center"/>
    </xf>
    <xf numFmtId="2" fontId="137" fillId="55" borderId="1" xfId="0" applyNumberFormat="1" applyFont="1" applyFill="1" applyBorder="1" applyAlignment="1">
      <alignment horizontal="right" vertical="center" wrapText="1" shrinkToFit="1"/>
    </xf>
    <xf numFmtId="2" fontId="103" fillId="55" borderId="1" xfId="0" applyNumberFormat="1" applyFont="1" applyFill="1" applyBorder="1" applyAlignment="1">
      <alignment horizontal="right" vertical="center" wrapText="1" shrinkToFit="1"/>
    </xf>
    <xf numFmtId="2" fontId="103" fillId="51" borderId="1" xfId="2890" applyNumberFormat="1" applyFont="1" applyFill="1" applyBorder="1" applyAlignment="1">
      <alignment vertical="center" wrapText="1"/>
    </xf>
    <xf numFmtId="0" fontId="103" fillId="51" borderId="1" xfId="2890" applyFont="1" applyFill="1" applyBorder="1" applyAlignment="1">
      <alignment vertical="center" wrapText="1"/>
    </xf>
    <xf numFmtId="0" fontId="103" fillId="54" borderId="37" xfId="3713" applyFont="1" applyFill="1" applyBorder="1" applyAlignment="1">
      <alignment horizontal="right" vertical="center" wrapText="1"/>
    </xf>
    <xf numFmtId="2" fontId="103" fillId="54" borderId="37" xfId="3713" applyNumberFormat="1" applyFont="1" applyFill="1" applyBorder="1" applyAlignment="1">
      <alignment horizontal="right" vertical="center" wrapText="1"/>
    </xf>
    <xf numFmtId="0" fontId="103" fillId="54" borderId="1" xfId="2890" applyFont="1" applyFill="1" applyBorder="1" applyAlignment="1">
      <alignment horizontal="right" vertical="center"/>
    </xf>
    <xf numFmtId="2" fontId="103" fillId="54" borderId="1" xfId="2890" applyNumberFormat="1" applyFont="1" applyFill="1" applyBorder="1" applyAlignment="1">
      <alignment horizontal="right" vertical="center"/>
    </xf>
    <xf numFmtId="0" fontId="103" fillId="54" borderId="1" xfId="2890" applyFont="1" applyFill="1" applyBorder="1" applyAlignment="1">
      <alignment horizontal="right" vertical="center" wrapText="1"/>
    </xf>
    <xf numFmtId="2" fontId="103" fillId="54" borderId="1" xfId="3713" applyNumberFormat="1" applyFont="1" applyFill="1" applyBorder="1" applyAlignment="1">
      <alignment horizontal="right" vertical="center" wrapText="1"/>
    </xf>
    <xf numFmtId="0" fontId="103" fillId="54" borderId="1" xfId="3713" applyFont="1" applyFill="1" applyBorder="1" applyAlignment="1">
      <alignment horizontal="right" vertical="center" wrapText="1"/>
    </xf>
    <xf numFmtId="2" fontId="103" fillId="54" borderId="1" xfId="2890" applyNumberFormat="1" applyFont="1" applyFill="1" applyBorder="1" applyAlignment="1">
      <alignment horizontal="right" vertical="center" wrapText="1"/>
    </xf>
    <xf numFmtId="205" fontId="103" fillId="54" borderId="37" xfId="3713" applyNumberFormat="1" applyFont="1" applyFill="1" applyBorder="1" applyAlignment="1">
      <alignment horizontal="right" vertical="center" wrapText="1"/>
    </xf>
    <xf numFmtId="205" fontId="103" fillId="54" borderId="1" xfId="2890" applyNumberFormat="1" applyFont="1" applyFill="1" applyBorder="1" applyAlignment="1">
      <alignment horizontal="right" vertical="center"/>
    </xf>
    <xf numFmtId="205" fontId="103" fillId="54" borderId="1" xfId="3713" applyNumberFormat="1" applyFont="1" applyFill="1" applyBorder="1" applyAlignment="1">
      <alignment horizontal="right" vertical="center" wrapText="1"/>
    </xf>
    <xf numFmtId="205" fontId="103" fillId="54" borderId="1" xfId="2890" applyNumberFormat="1" applyFont="1" applyFill="1" applyBorder="1" applyAlignment="1">
      <alignment horizontal="right" vertical="center" wrapText="1"/>
    </xf>
    <xf numFmtId="0" fontId="129" fillId="51" borderId="1" xfId="2890" applyFont="1" applyFill="1" applyBorder="1" applyAlignment="1">
      <alignment horizontal="right" vertical="center" wrapText="1"/>
    </xf>
    <xf numFmtId="2" fontId="129" fillId="51" borderId="1" xfId="2890" applyNumberFormat="1" applyFont="1" applyFill="1" applyBorder="1" applyAlignment="1">
      <alignment horizontal="right" vertical="center" wrapText="1"/>
    </xf>
    <xf numFmtId="1" fontId="103" fillId="54" borderId="1" xfId="3436" applyNumberFormat="1" applyFont="1" applyFill="1" applyBorder="1" applyAlignment="1">
      <alignment vertical="center" shrinkToFit="1"/>
    </xf>
    <xf numFmtId="0" fontId="103" fillId="54" borderId="1" xfId="3436" applyFont="1" applyFill="1" applyBorder="1" applyAlignment="1">
      <alignment vertical="center" shrinkToFit="1"/>
    </xf>
    <xf numFmtId="0" fontId="103" fillId="54" borderId="1" xfId="0" applyFont="1" applyFill="1" applyBorder="1" applyAlignment="1">
      <alignment vertical="center" wrapText="1"/>
    </xf>
    <xf numFmtId="2" fontId="103" fillId="54" borderId="1" xfId="3436" applyNumberFormat="1" applyFont="1" applyFill="1" applyBorder="1" applyAlignment="1">
      <alignment vertical="center" shrinkToFit="1"/>
    </xf>
    <xf numFmtId="2" fontId="103" fillId="54" borderId="1" xfId="0" applyNumberFormat="1" applyFont="1" applyFill="1" applyBorder="1" applyAlignment="1">
      <alignment vertical="center" wrapText="1"/>
    </xf>
    <xf numFmtId="1" fontId="103" fillId="57" borderId="1" xfId="3712" applyNumberFormat="1" applyFont="1" applyFill="1" applyBorder="1" applyAlignment="1">
      <alignment horizontal="right" vertical="center" wrapText="1"/>
    </xf>
    <xf numFmtId="0" fontId="103" fillId="57" borderId="1" xfId="0" applyFont="1" applyFill="1" applyBorder="1" applyAlignment="1">
      <alignment horizontal="right" vertical="center" wrapText="1"/>
    </xf>
    <xf numFmtId="0" fontId="103" fillId="57" borderId="1" xfId="3712" applyFont="1" applyFill="1" applyBorder="1" applyAlignment="1">
      <alignment horizontal="right" vertical="center" shrinkToFit="1"/>
    </xf>
    <xf numFmtId="1" fontId="103" fillId="57" borderId="1" xfId="3712" applyNumberFormat="1" applyFont="1" applyFill="1" applyBorder="1" applyAlignment="1">
      <alignment horizontal="right" vertical="center" shrinkToFit="1"/>
    </xf>
    <xf numFmtId="2" fontId="103" fillId="57" borderId="1" xfId="3712" applyNumberFormat="1" applyFont="1" applyFill="1" applyBorder="1" applyAlignment="1">
      <alignment horizontal="right" vertical="center" wrapText="1"/>
    </xf>
    <xf numFmtId="2" fontId="103" fillId="57" borderId="1" xfId="0" applyNumberFormat="1" applyFont="1" applyFill="1" applyBorder="1" applyAlignment="1">
      <alignment horizontal="right" vertical="center" wrapText="1"/>
    </xf>
    <xf numFmtId="2" fontId="103" fillId="57" borderId="1" xfId="3712" applyNumberFormat="1" applyFont="1" applyFill="1" applyBorder="1" applyAlignment="1">
      <alignment horizontal="right" vertical="center" shrinkToFit="1"/>
    </xf>
    <xf numFmtId="2" fontId="103" fillId="57" borderId="1" xfId="0" applyNumberFormat="1" applyFont="1" applyFill="1" applyBorder="1" applyAlignment="1">
      <alignment horizontal="right" vertical="center" shrinkToFit="1"/>
    </xf>
    <xf numFmtId="205" fontId="103" fillId="57" borderId="1" xfId="3712" applyNumberFormat="1" applyFont="1" applyFill="1" applyBorder="1" applyAlignment="1">
      <alignment horizontal="right" vertical="center" shrinkToFit="1"/>
    </xf>
    <xf numFmtId="0" fontId="103" fillId="57" borderId="1" xfId="0" applyFont="1" applyFill="1" applyBorder="1" applyAlignment="1">
      <alignment horizontal="right" vertical="center"/>
    </xf>
    <xf numFmtId="2" fontId="103" fillId="57" borderId="1" xfId="0" applyNumberFormat="1" applyFont="1" applyFill="1" applyBorder="1" applyAlignment="1">
      <alignment horizontal="right" vertical="center" wrapText="1" shrinkToFit="1"/>
    </xf>
    <xf numFmtId="1" fontId="103" fillId="50" borderId="1" xfId="0" applyNumberFormat="1" applyFont="1" applyFill="1" applyBorder="1" applyAlignment="1">
      <alignment horizontal="right" vertical="center" wrapText="1"/>
    </xf>
    <xf numFmtId="0" fontId="103" fillId="50" borderId="1" xfId="3712" applyFont="1" applyFill="1" applyBorder="1" applyAlignment="1">
      <alignment horizontal="right" vertical="center" shrinkToFit="1"/>
    </xf>
    <xf numFmtId="0" fontId="103" fillId="50" borderId="1" xfId="0" applyFont="1" applyFill="1" applyBorder="1" applyAlignment="1">
      <alignment horizontal="right" vertical="center" wrapText="1"/>
    </xf>
    <xf numFmtId="2" fontId="103" fillId="50" borderId="1" xfId="0" applyNumberFormat="1" applyFont="1" applyFill="1" applyBorder="1" applyAlignment="1">
      <alignment horizontal="right" vertical="center" wrapText="1"/>
    </xf>
    <xf numFmtId="2" fontId="138" fillId="50" borderId="1" xfId="3712" applyNumberFormat="1" applyFont="1" applyFill="1" applyBorder="1" applyAlignment="1">
      <alignment horizontal="center" vertical="center" shrinkToFit="1"/>
    </xf>
    <xf numFmtId="2" fontId="103" fillId="50" borderId="1" xfId="0" applyNumberFormat="1" applyFont="1" applyFill="1" applyBorder="1" applyAlignment="1">
      <alignment horizontal="right" vertical="center"/>
    </xf>
    <xf numFmtId="0" fontId="103" fillId="58" borderId="1" xfId="0" applyFont="1" applyFill="1" applyBorder="1" applyAlignment="1">
      <alignment horizontal="right" vertical="center"/>
    </xf>
    <xf numFmtId="2" fontId="103" fillId="44" borderId="1" xfId="0" applyNumberFormat="1" applyFont="1" applyFill="1" applyBorder="1" applyAlignment="1">
      <alignment horizontal="right" vertical="center" wrapText="1"/>
    </xf>
    <xf numFmtId="2" fontId="103" fillId="44" borderId="1" xfId="3712" applyNumberFormat="1" applyFont="1" applyFill="1" applyBorder="1" applyAlignment="1">
      <alignment horizontal="right" vertical="center" shrinkToFit="1"/>
    </xf>
    <xf numFmtId="2" fontId="103" fillId="44" borderId="1" xfId="0" applyNumberFormat="1" applyFont="1" applyFill="1" applyBorder="1" applyAlignment="1">
      <alignment horizontal="right" vertical="center"/>
    </xf>
    <xf numFmtId="1" fontId="103" fillId="45" borderId="0" xfId="0" applyNumberFormat="1" applyFont="1" applyFill="1" applyBorder="1" applyAlignment="1">
      <alignment horizontal="center" vertical="center" shrinkToFit="1"/>
    </xf>
    <xf numFmtId="2" fontId="109" fillId="45" borderId="0" xfId="0" applyNumberFormat="1" applyFont="1" applyFill="1" applyBorder="1" applyAlignment="1">
      <alignment horizontal="right" vertical="center" shrinkToFit="1"/>
    </xf>
    <xf numFmtId="2" fontId="103" fillId="45" borderId="0" xfId="3437" applyNumberFormat="1" applyFont="1" applyFill="1" applyAlignment="1"/>
    <xf numFmtId="166" fontId="103" fillId="45" borderId="0" xfId="0" applyNumberFormat="1" applyFont="1" applyFill="1" applyBorder="1" applyAlignment="1">
      <alignment horizontal="center"/>
    </xf>
    <xf numFmtId="0" fontId="109" fillId="45" borderId="0" xfId="0" applyFont="1" applyFill="1" applyBorder="1" applyAlignment="1">
      <alignment vertical="center"/>
    </xf>
    <xf numFmtId="2" fontId="109" fillId="45" borderId="0" xfId="0" applyNumberFormat="1" applyFont="1" applyFill="1" applyBorder="1" applyAlignment="1">
      <alignment horizontal="right" vertical="center"/>
    </xf>
    <xf numFmtId="2" fontId="103" fillId="45" borderId="0" xfId="0" applyNumberFormat="1" applyFont="1" applyFill="1" applyBorder="1" applyAlignment="1">
      <alignment horizontal="right" vertical="center"/>
    </xf>
    <xf numFmtId="0" fontId="109" fillId="45" borderId="0" xfId="0" applyFont="1" applyFill="1" applyBorder="1" applyAlignment="1">
      <alignment horizontal="right" vertical="center"/>
    </xf>
    <xf numFmtId="0" fontId="4" fillId="45" borderId="0" xfId="3437" applyFont="1" applyFill="1">
      <alignment vertical="top"/>
    </xf>
    <xf numFmtId="17" fontId="79" fillId="45" borderId="1" xfId="3437" applyNumberFormat="1" applyFont="1" applyFill="1" applyBorder="1" applyAlignment="1">
      <alignment horizontal="center" vertical="center"/>
    </xf>
    <xf numFmtId="0" fontId="79" fillId="45" borderId="1" xfId="3437" applyFont="1" applyFill="1" applyBorder="1" applyAlignment="1">
      <alignment horizontal="center" vertical="center"/>
    </xf>
    <xf numFmtId="0" fontId="4" fillId="45" borderId="0" xfId="3437" applyFont="1" applyFill="1" applyAlignment="1">
      <alignment horizontal="center" vertical="center"/>
    </xf>
    <xf numFmtId="0" fontId="4" fillId="45" borderId="0" xfId="0" applyFont="1" applyFill="1"/>
    <xf numFmtId="17" fontId="79" fillId="45" borderId="1" xfId="0" applyNumberFormat="1" applyFont="1" applyFill="1" applyBorder="1" applyAlignment="1">
      <alignment horizontal="center" vertical="center"/>
    </xf>
    <xf numFmtId="0" fontId="79" fillId="45" borderId="1" xfId="0" applyFont="1" applyFill="1" applyBorder="1" applyAlignment="1">
      <alignment horizontal="center" vertical="center"/>
    </xf>
    <xf numFmtId="0" fontId="4" fillId="45" borderId="0" xfId="0" applyFont="1" applyFill="1" applyAlignment="1">
      <alignment horizontal="center" vertical="center"/>
    </xf>
    <xf numFmtId="0" fontId="110" fillId="45" borderId="0" xfId="0" applyFont="1" applyFill="1" applyBorder="1" applyAlignment="1">
      <alignment horizontal="center"/>
    </xf>
    <xf numFmtId="0" fontId="110" fillId="45" borderId="0" xfId="0" applyFont="1" applyFill="1" applyBorder="1" applyAlignment="1"/>
    <xf numFmtId="0" fontId="109" fillId="45" borderId="0" xfId="0" applyFont="1" applyFill="1" applyBorder="1" applyAlignment="1">
      <alignment horizontal="center" vertical="center"/>
    </xf>
    <xf numFmtId="0" fontId="108" fillId="45" borderId="0" xfId="3437" applyFont="1" applyFill="1" applyAlignment="1">
      <alignment horizontal="center" vertical="top"/>
    </xf>
    <xf numFmtId="17" fontId="110" fillId="45" borderId="1" xfId="3437" applyNumberFormat="1" applyFont="1" applyFill="1" applyBorder="1" applyAlignment="1">
      <alignment horizontal="center" vertical="center"/>
    </xf>
    <xf numFmtId="0" fontId="110" fillId="45" borderId="1" xfId="3437" applyFont="1" applyFill="1" applyBorder="1" applyAlignment="1">
      <alignment horizontal="center" vertical="center"/>
    </xf>
    <xf numFmtId="0" fontId="108" fillId="45" borderId="0" xfId="3437" applyFont="1" applyFill="1" applyAlignment="1">
      <alignment horizontal="center" vertical="center"/>
    </xf>
    <xf numFmtId="165" fontId="107" fillId="45" borderId="1" xfId="2037" applyFont="1" applyFill="1" applyBorder="1" applyAlignment="1">
      <alignment horizontal="center" vertical="top" wrapText="1"/>
    </xf>
    <xf numFmtId="0" fontId="112" fillId="45" borderId="0" xfId="3437" applyFont="1" applyFill="1" applyAlignment="1">
      <alignment horizontal="center" vertical="top"/>
    </xf>
    <xf numFmtId="0" fontId="112" fillId="45" borderId="0" xfId="3437" applyFont="1" applyFill="1" applyAlignment="1">
      <alignment horizontal="center" vertical="center"/>
    </xf>
    <xf numFmtId="0" fontId="6" fillId="45" borderId="1" xfId="0" applyFont="1" applyFill="1" applyBorder="1" applyAlignment="1">
      <alignment horizontal="center"/>
    </xf>
    <xf numFmtId="49" fontId="6" fillId="45" borderId="1" xfId="0" applyNumberFormat="1" applyFont="1" applyFill="1" applyBorder="1" applyAlignment="1">
      <alignment horizontal="center"/>
    </xf>
    <xf numFmtId="0" fontId="9" fillId="45" borderId="0" xfId="0" applyFont="1" applyFill="1" applyAlignment="1">
      <alignment horizontal="center"/>
    </xf>
    <xf numFmtId="0" fontId="9" fillId="45" borderId="0" xfId="0" applyFont="1" applyFill="1" applyAlignment="1">
      <alignment horizontal="center" vertical="center"/>
    </xf>
    <xf numFmtId="1" fontId="11" fillId="45" borderId="0" xfId="0" applyNumberFormat="1" applyFont="1" applyFill="1" applyBorder="1" applyAlignment="1">
      <alignment horizontal="center" vertical="center" shrinkToFit="1"/>
    </xf>
    <xf numFmtId="0" fontId="4" fillId="45" borderId="0" xfId="0" applyFont="1" applyFill="1" applyAlignment="1">
      <alignment horizontal="center" vertical="center" wrapText="1"/>
    </xf>
    <xf numFmtId="1" fontId="3" fillId="45" borderId="0" xfId="0" applyNumberFormat="1" applyFont="1" applyFill="1" applyBorder="1" applyAlignment="1">
      <alignment horizontal="center"/>
    </xf>
    <xf numFmtId="2" fontId="9" fillId="45" borderId="37" xfId="0" applyNumberFormat="1" applyFont="1" applyFill="1" applyBorder="1" applyAlignment="1">
      <alignment horizontal="center" vertical="center" wrapText="1"/>
    </xf>
    <xf numFmtId="2" fontId="10" fillId="45" borderId="0" xfId="0" applyNumberFormat="1" applyFont="1" applyFill="1" applyAlignment="1">
      <alignment shrinkToFit="1"/>
    </xf>
    <xf numFmtId="0" fontId="3" fillId="45" borderId="0" xfId="0" applyFont="1" applyFill="1" applyBorder="1" applyAlignment="1">
      <alignment horizontal="center"/>
    </xf>
    <xf numFmtId="2" fontId="3" fillId="45" borderId="0" xfId="0" applyNumberFormat="1" applyFont="1" applyFill="1" applyBorder="1" applyAlignment="1">
      <alignment horizontal="center"/>
    </xf>
    <xf numFmtId="0" fontId="4" fillId="45" borderId="0" xfId="0" applyFont="1" applyFill="1" applyAlignment="1">
      <alignment horizontal="center"/>
    </xf>
    <xf numFmtId="2" fontId="4" fillId="45" borderId="0" xfId="0" applyNumberFormat="1" applyFont="1" applyFill="1"/>
    <xf numFmtId="2" fontId="8" fillId="45" borderId="0" xfId="0" applyNumberFormat="1" applyFont="1" applyFill="1"/>
    <xf numFmtId="1" fontId="4" fillId="45" borderId="0" xfId="0" applyNumberFormat="1" applyFont="1" applyFill="1"/>
    <xf numFmtId="2" fontId="109" fillId="45" borderId="0" xfId="3437" applyNumberFormat="1" applyFont="1" applyFill="1" applyBorder="1" applyAlignment="1">
      <alignment horizontal="center" vertical="center" wrapText="1"/>
    </xf>
    <xf numFmtId="2" fontId="109" fillId="45" borderId="0" xfId="0" applyNumberFormat="1" applyFont="1" applyFill="1" applyBorder="1" applyAlignment="1">
      <alignment horizontal="center" vertical="center" wrapText="1" shrinkToFit="1"/>
    </xf>
    <xf numFmtId="2" fontId="109" fillId="45" borderId="0" xfId="0" applyNumberFormat="1" applyFont="1" applyFill="1" applyBorder="1" applyAlignment="1">
      <alignment horizontal="center" vertical="center" wrapText="1"/>
    </xf>
    <xf numFmtId="0" fontId="109" fillId="45" borderId="0" xfId="0" applyFont="1" applyFill="1"/>
    <xf numFmtId="0" fontId="109" fillId="45" borderId="0" xfId="3437" applyFont="1" applyFill="1" applyBorder="1" applyAlignment="1">
      <alignment horizontal="center" vertical="center" wrapText="1"/>
    </xf>
    <xf numFmtId="2" fontId="109" fillId="45" borderId="0" xfId="0" applyNumberFormat="1" applyFont="1" applyFill="1" applyBorder="1" applyAlignment="1">
      <alignment horizontal="center" vertical="center" shrinkToFit="1"/>
    </xf>
    <xf numFmtId="0" fontId="112" fillId="45" borderId="0" xfId="0" applyFont="1" applyFill="1"/>
    <xf numFmtId="0" fontId="4" fillId="45" borderId="0" xfId="0" applyNumberFormat="1" applyFont="1" applyFill="1"/>
    <xf numFmtId="0" fontId="109" fillId="45" borderId="0" xfId="0" applyFont="1" applyFill="1" applyBorder="1" applyAlignment="1">
      <alignment horizontal="left" vertical="center" wrapText="1" shrinkToFit="1"/>
    </xf>
    <xf numFmtId="46" fontId="139" fillId="45" borderId="1" xfId="0" applyNumberFormat="1" applyFont="1" applyFill="1" applyBorder="1" applyAlignment="1">
      <alignment horizontal="center" vertical="center"/>
    </xf>
    <xf numFmtId="0" fontId="4" fillId="45" borderId="0" xfId="3437" applyFont="1" applyFill="1" applyAlignment="1">
      <alignment horizontal="center"/>
    </xf>
    <xf numFmtId="0" fontId="4" fillId="45" borderId="0" xfId="3437" applyFont="1" applyFill="1" applyAlignment="1">
      <alignment horizontal="left"/>
    </xf>
    <xf numFmtId="0" fontId="4" fillId="45" borderId="0" xfId="3437" applyFont="1" applyFill="1" applyAlignment="1">
      <alignment horizontal="right"/>
    </xf>
    <xf numFmtId="0" fontId="4" fillId="45" borderId="0" xfId="3437" applyFont="1" applyFill="1" applyAlignment="1"/>
    <xf numFmtId="0" fontId="110" fillId="45" borderId="0" xfId="0" applyFont="1" applyFill="1" applyBorder="1" applyAlignment="1">
      <alignment horizontal="center" vertical="center"/>
    </xf>
    <xf numFmtId="0" fontId="110" fillId="45" borderId="0" xfId="0" applyFont="1" applyFill="1" applyBorder="1" applyAlignment="1">
      <alignment horizontal="left" vertical="center"/>
    </xf>
    <xf numFmtId="0" fontId="110" fillId="45" borderId="0" xfId="0" applyFont="1" applyFill="1" applyBorder="1" applyAlignment="1">
      <alignment horizontal="right" vertical="center"/>
    </xf>
    <xf numFmtId="0" fontId="109" fillId="45" borderId="0" xfId="3437" applyFont="1" applyFill="1" applyBorder="1" applyAlignment="1">
      <alignment horizontal="right" vertical="center"/>
    </xf>
    <xf numFmtId="0" fontId="109" fillId="45" borderId="0" xfId="3437" applyFont="1" applyFill="1" applyBorder="1" applyAlignment="1">
      <alignment horizontal="center" vertical="center"/>
    </xf>
    <xf numFmtId="165" fontId="108" fillId="45" borderId="1" xfId="2037" applyFont="1" applyFill="1" applyBorder="1" applyAlignment="1">
      <alignment horizontal="center" vertical="top" wrapText="1"/>
    </xf>
    <xf numFmtId="0" fontId="108" fillId="45" borderId="1" xfId="3437" applyFont="1" applyFill="1" applyBorder="1" applyAlignment="1">
      <alignment horizontal="center"/>
    </xf>
    <xf numFmtId="0" fontId="108" fillId="45" borderId="1" xfId="3437" applyFont="1" applyFill="1" applyBorder="1" applyAlignment="1">
      <alignment horizontal="right"/>
    </xf>
    <xf numFmtId="49" fontId="108" fillId="45" borderId="1" xfId="3437" applyNumberFormat="1" applyFont="1" applyFill="1" applyBorder="1" applyAlignment="1">
      <alignment horizontal="center"/>
    </xf>
    <xf numFmtId="1" fontId="9" fillId="45" borderId="29" xfId="0" applyNumberFormat="1" applyFont="1" applyFill="1" applyBorder="1" applyAlignment="1">
      <alignment horizontal="center" vertical="center" shrinkToFit="1"/>
    </xf>
    <xf numFmtId="0" fontId="4" fillId="45" borderId="0" xfId="0" applyFont="1" applyFill="1" applyAlignment="1">
      <alignment horizontal="left"/>
    </xf>
    <xf numFmtId="0" fontId="4" fillId="45" borderId="0" xfId="0" applyFont="1" applyFill="1" applyAlignment="1">
      <alignment horizontal="right"/>
    </xf>
    <xf numFmtId="2" fontId="9" fillId="45" borderId="0" xfId="0" applyNumberFormat="1" applyFont="1" applyFill="1" applyAlignment="1">
      <alignment shrinkToFit="1"/>
    </xf>
    <xf numFmtId="0" fontId="9" fillId="45" borderId="0" xfId="0" applyFont="1" applyFill="1"/>
    <xf numFmtId="0" fontId="13" fillId="45" borderId="1" xfId="0" applyFont="1" applyFill="1" applyBorder="1" applyAlignment="1">
      <alignment horizontal="left" vertical="center"/>
    </xf>
    <xf numFmtId="1" fontId="4" fillId="45" borderId="0" xfId="3437" applyNumberFormat="1" applyFont="1" applyFill="1" applyAlignment="1">
      <alignment horizontal="right"/>
    </xf>
    <xf numFmtId="1" fontId="4" fillId="45" borderId="0" xfId="3437" applyNumberFormat="1" applyFont="1" applyFill="1" applyAlignment="1"/>
    <xf numFmtId="2" fontId="9" fillId="45" borderId="1" xfId="0" applyNumberFormat="1" applyFont="1" applyFill="1" applyBorder="1" applyAlignment="1">
      <alignment horizontal="center" vertical="center" wrapText="1"/>
    </xf>
    <xf numFmtId="0" fontId="119" fillId="45" borderId="0" xfId="3437" applyFont="1" applyFill="1" applyAlignment="1"/>
    <xf numFmtId="2" fontId="4" fillId="45" borderId="0" xfId="3437" applyNumberFormat="1" applyFont="1" applyFill="1" applyAlignment="1"/>
    <xf numFmtId="0" fontId="112" fillId="45" borderId="0" xfId="3437" applyFont="1" applyFill="1" applyAlignment="1"/>
    <xf numFmtId="0" fontId="108" fillId="45" borderId="1" xfId="3437" applyFont="1" applyFill="1" applyBorder="1" applyAlignment="1">
      <alignment horizontal="center" vertical="center"/>
    </xf>
    <xf numFmtId="165" fontId="108" fillId="45" borderId="1" xfId="2037" applyFont="1" applyFill="1" applyBorder="1" applyAlignment="1">
      <alignment horizontal="center" vertical="center" wrapText="1"/>
    </xf>
    <xf numFmtId="0" fontId="103" fillId="45" borderId="0" xfId="3437" applyFont="1" applyFill="1" applyAlignment="1"/>
    <xf numFmtId="0" fontId="103" fillId="45" borderId="1" xfId="0" applyFont="1" applyFill="1" applyBorder="1" applyAlignment="1">
      <alignment horizontal="left" vertical="center" wrapText="1"/>
    </xf>
    <xf numFmtId="2" fontId="112" fillId="45" borderId="0" xfId="3437" applyNumberFormat="1" applyFont="1" applyFill="1" applyAlignment="1"/>
    <xf numFmtId="0" fontId="112" fillId="45" borderId="0" xfId="3437" applyFont="1" applyFill="1" applyAlignment="1">
      <alignment horizontal="right"/>
    </xf>
    <xf numFmtId="1" fontId="112" fillId="45" borderId="0" xfId="3437" applyNumberFormat="1" applyFont="1" applyFill="1" applyAlignment="1"/>
    <xf numFmtId="0" fontId="133" fillId="45" borderId="1" xfId="0" applyFont="1" applyFill="1" applyBorder="1" applyAlignment="1">
      <alignment horizontal="left" vertical="center" wrapText="1"/>
    </xf>
    <xf numFmtId="0" fontId="133" fillId="45" borderId="38" xfId="0" applyFont="1" applyFill="1" applyBorder="1" applyAlignment="1">
      <alignment horizontal="left" vertical="center" wrapText="1"/>
    </xf>
    <xf numFmtId="1" fontId="133" fillId="45" borderId="1" xfId="0" applyNumberFormat="1" applyFont="1" applyFill="1" applyBorder="1" applyAlignment="1">
      <alignment horizontal="center" vertical="center" shrinkToFit="1"/>
    </xf>
    <xf numFmtId="2" fontId="133" fillId="45" borderId="0" xfId="3437" applyNumberFormat="1" applyFont="1" applyFill="1" applyAlignment="1"/>
    <xf numFmtId="166" fontId="133" fillId="45" borderId="0" xfId="0" applyNumberFormat="1" applyFont="1" applyFill="1" applyBorder="1" applyAlignment="1">
      <alignment horizontal="center"/>
    </xf>
    <xf numFmtId="0" fontId="4" fillId="45" borderId="0" xfId="0" applyFont="1" applyFill="1" applyBorder="1"/>
    <xf numFmtId="1" fontId="109" fillId="45" borderId="0" xfId="3712" applyNumberFormat="1" applyFont="1" applyFill="1" applyBorder="1" applyAlignment="1">
      <alignment horizontal="center" vertical="center" shrinkToFit="1"/>
    </xf>
    <xf numFmtId="1" fontId="140" fillId="45" borderId="1" xfId="3712" applyNumberFormat="1" applyFont="1" applyFill="1" applyBorder="1" applyAlignment="1">
      <alignment horizontal="right" vertical="center" shrinkToFit="1"/>
    </xf>
    <xf numFmtId="2" fontId="140" fillId="45" borderId="1" xfId="3712" applyNumberFormat="1" applyFont="1" applyFill="1" applyBorder="1" applyAlignment="1">
      <alignment horizontal="right" vertical="center" shrinkToFit="1"/>
    </xf>
    <xf numFmtId="2" fontId="140" fillId="45" borderId="1" xfId="0" applyNumberFormat="1" applyFont="1" applyFill="1" applyBorder="1" applyAlignment="1">
      <alignment horizontal="right" vertical="center" shrinkToFit="1"/>
    </xf>
    <xf numFmtId="2" fontId="140" fillId="45" borderId="1" xfId="0" applyNumberFormat="1" applyFont="1" applyFill="1" applyBorder="1" applyAlignment="1">
      <alignment vertical="center" wrapText="1" shrinkToFit="1"/>
    </xf>
    <xf numFmtId="2" fontId="140" fillId="45" borderId="1" xfId="0" applyNumberFormat="1" applyFont="1" applyFill="1" applyBorder="1" applyAlignment="1">
      <alignment vertical="center"/>
    </xf>
    <xf numFmtId="2" fontId="140" fillId="45" borderId="1" xfId="0" applyNumberFormat="1" applyFont="1" applyFill="1" applyBorder="1" applyAlignment="1">
      <alignment vertical="center" wrapText="1"/>
    </xf>
    <xf numFmtId="0" fontId="140" fillId="45" borderId="1" xfId="3712" applyFont="1" applyFill="1" applyBorder="1" applyAlignment="1">
      <alignment horizontal="right" vertical="center" shrinkToFit="1"/>
    </xf>
    <xf numFmtId="0" fontId="140" fillId="45" borderId="1" xfId="0" applyFont="1" applyFill="1" applyBorder="1" applyAlignment="1">
      <alignment horizontal="right" vertical="center" wrapText="1"/>
    </xf>
    <xf numFmtId="2" fontId="140" fillId="45" borderId="1" xfId="0" applyNumberFormat="1" applyFont="1" applyFill="1" applyBorder="1" applyAlignment="1">
      <alignment horizontal="right" vertical="center" wrapText="1"/>
    </xf>
    <xf numFmtId="0" fontId="140" fillId="45" borderId="1" xfId="0" applyFont="1" applyFill="1" applyBorder="1" applyAlignment="1">
      <alignment horizontal="right" vertical="center"/>
    </xf>
    <xf numFmtId="2" fontId="140" fillId="45" borderId="1" xfId="0" applyNumberFormat="1" applyFont="1" applyFill="1" applyBorder="1" applyAlignment="1">
      <alignment horizontal="right" vertical="center"/>
    </xf>
    <xf numFmtId="0" fontId="140" fillId="45" borderId="1" xfId="2890" applyFont="1" applyFill="1" applyBorder="1" applyAlignment="1">
      <alignment horizontal="right" vertical="center" wrapText="1"/>
    </xf>
    <xf numFmtId="2" fontId="140" fillId="45" borderId="1" xfId="2890" applyNumberFormat="1" applyFont="1" applyFill="1" applyBorder="1" applyAlignment="1">
      <alignment horizontal="right" vertical="center" wrapText="1"/>
    </xf>
    <xf numFmtId="1" fontId="141" fillId="45" borderId="1" xfId="0" applyNumberFormat="1" applyFont="1" applyFill="1" applyBorder="1" applyAlignment="1">
      <alignment horizontal="right" vertical="center"/>
    </xf>
    <xf numFmtId="2" fontId="141" fillId="45" borderId="1" xfId="0" applyNumberFormat="1" applyFont="1" applyFill="1" applyBorder="1" applyAlignment="1">
      <alignment horizontal="right" vertical="center"/>
    </xf>
    <xf numFmtId="2" fontId="141" fillId="45" borderId="1" xfId="0" applyNumberFormat="1" applyFont="1" applyFill="1" applyBorder="1" applyAlignment="1">
      <alignment horizontal="right" vertical="center" wrapText="1" shrinkToFit="1"/>
    </xf>
    <xf numFmtId="2" fontId="141" fillId="45" borderId="1" xfId="0" applyNumberFormat="1" applyFont="1" applyFill="1" applyBorder="1" applyAlignment="1">
      <alignment horizontal="right" vertical="center" wrapText="1"/>
    </xf>
    <xf numFmtId="0" fontId="141" fillId="45" borderId="1" xfId="0" applyFont="1" applyFill="1" applyBorder="1" applyAlignment="1">
      <alignment horizontal="right" vertical="center"/>
    </xf>
    <xf numFmtId="0" fontId="142" fillId="45" borderId="1" xfId="3713" applyFont="1" applyFill="1" applyBorder="1" applyAlignment="1">
      <alignment horizontal="right" vertical="center" wrapText="1"/>
    </xf>
    <xf numFmtId="2" fontId="141" fillId="45" borderId="1" xfId="3713" applyNumberFormat="1" applyFont="1" applyFill="1" applyBorder="1" applyAlignment="1">
      <alignment horizontal="right" vertical="center" wrapText="1"/>
    </xf>
    <xf numFmtId="205" fontId="141" fillId="45" borderId="1" xfId="3713" applyNumberFormat="1" applyFont="1" applyFill="1" applyBorder="1" applyAlignment="1">
      <alignment horizontal="right" vertical="center" wrapText="1"/>
    </xf>
    <xf numFmtId="0" fontId="142" fillId="45" borderId="1" xfId="2890" applyFont="1" applyFill="1" applyBorder="1" applyAlignment="1">
      <alignment horizontal="right" vertical="center"/>
    </xf>
    <xf numFmtId="2" fontId="141" fillId="45" borderId="1" xfId="2890" applyNumberFormat="1" applyFont="1" applyFill="1" applyBorder="1" applyAlignment="1">
      <alignment horizontal="right" vertical="center"/>
    </xf>
    <xf numFmtId="205" fontId="141" fillId="45" borderId="1" xfId="2890" applyNumberFormat="1" applyFont="1" applyFill="1" applyBorder="1" applyAlignment="1">
      <alignment horizontal="right" vertical="center"/>
    </xf>
    <xf numFmtId="0" fontId="142" fillId="45" borderId="1" xfId="2890" applyFont="1" applyFill="1" applyBorder="1" applyAlignment="1">
      <alignment horizontal="right" vertical="center" wrapText="1"/>
    </xf>
    <xf numFmtId="2" fontId="141" fillId="45" borderId="1" xfId="2890" applyNumberFormat="1" applyFont="1" applyFill="1" applyBorder="1" applyAlignment="1">
      <alignment horizontal="right" vertical="center" wrapText="1"/>
    </xf>
    <xf numFmtId="205" fontId="141" fillId="45" borderId="1" xfId="2890" applyNumberFormat="1" applyFont="1" applyFill="1" applyBorder="1" applyAlignment="1">
      <alignment horizontal="right" vertical="center" wrapText="1"/>
    </xf>
    <xf numFmtId="0" fontId="143" fillId="45" borderId="1" xfId="3437" applyFont="1" applyFill="1" applyBorder="1" applyAlignment="1">
      <alignment horizontal="right" vertical="center"/>
    </xf>
    <xf numFmtId="1" fontId="143" fillId="45" borderId="1" xfId="3437" applyNumberFormat="1" applyFont="1" applyFill="1" applyBorder="1" applyAlignment="1">
      <alignment horizontal="right" vertical="center"/>
    </xf>
    <xf numFmtId="1" fontId="141" fillId="45" borderId="1" xfId="3437" applyNumberFormat="1" applyFont="1" applyFill="1" applyBorder="1" applyAlignment="1">
      <alignment horizontal="right" vertical="center"/>
    </xf>
    <xf numFmtId="0" fontId="141" fillId="45" borderId="1" xfId="3437" applyFont="1" applyFill="1" applyBorder="1" applyAlignment="1">
      <alignment horizontal="right" vertical="center"/>
    </xf>
    <xf numFmtId="0" fontId="144" fillId="45" borderId="1" xfId="3437" applyFont="1" applyFill="1" applyBorder="1" applyAlignment="1">
      <alignment horizontal="right" vertical="center"/>
    </xf>
    <xf numFmtId="0" fontId="108" fillId="45" borderId="1" xfId="0" applyFont="1" applyFill="1" applyBorder="1" applyAlignment="1">
      <alignment horizontal="center" vertical="center"/>
    </xf>
    <xf numFmtId="49" fontId="108" fillId="45" borderId="1" xfId="3437" applyNumberFormat="1" applyFont="1" applyFill="1" applyBorder="1" applyAlignment="1">
      <alignment horizontal="center" vertical="center"/>
    </xf>
    <xf numFmtId="1" fontId="141" fillId="45" borderId="1" xfId="3712" applyNumberFormat="1" applyFont="1" applyFill="1" applyBorder="1" applyAlignment="1">
      <alignment horizontal="right" vertical="center" shrinkToFit="1"/>
    </xf>
    <xf numFmtId="2" fontId="141" fillId="45" borderId="1" xfId="3712" applyNumberFormat="1" applyFont="1" applyFill="1" applyBorder="1" applyAlignment="1">
      <alignment horizontal="right" vertical="center" shrinkToFit="1"/>
    </xf>
    <xf numFmtId="0" fontId="141" fillId="45" borderId="1" xfId="2890" applyFont="1" applyFill="1" applyBorder="1" applyAlignment="1">
      <alignment horizontal="right" vertical="center" wrapText="1"/>
    </xf>
    <xf numFmtId="0" fontId="145" fillId="45" borderId="1" xfId="0" applyFont="1" applyFill="1" applyBorder="1" applyAlignment="1">
      <alignment horizontal="right" vertical="center"/>
    </xf>
    <xf numFmtId="2" fontId="145" fillId="45" borderId="1" xfId="0" applyNumberFormat="1" applyFont="1" applyFill="1" applyBorder="1" applyAlignment="1">
      <alignment horizontal="right" vertical="center"/>
    </xf>
    <xf numFmtId="2" fontId="141" fillId="44" borderId="1" xfId="0" applyNumberFormat="1" applyFont="1" applyFill="1" applyBorder="1" applyAlignment="1">
      <alignment horizontal="right" vertical="center"/>
    </xf>
    <xf numFmtId="0" fontId="103" fillId="44" borderId="1" xfId="0" applyFont="1" applyFill="1" applyBorder="1" applyAlignment="1">
      <alignment horizontal="left" vertical="center" wrapText="1"/>
    </xf>
    <xf numFmtId="2" fontId="109" fillId="45" borderId="0" xfId="3437" applyNumberFormat="1" applyFont="1" applyFill="1" applyBorder="1" applyAlignment="1">
      <alignment horizontal="center" vertical="center" wrapText="1"/>
    </xf>
    <xf numFmtId="0" fontId="109" fillId="45" borderId="0" xfId="3437" applyFont="1" applyFill="1" applyBorder="1" applyAlignment="1">
      <alignment horizontal="center" vertical="center"/>
    </xf>
    <xf numFmtId="0" fontId="110" fillId="45" borderId="0" xfId="0" applyFont="1" applyFill="1" applyBorder="1" applyAlignment="1">
      <alignment horizontal="center" vertical="center"/>
    </xf>
    <xf numFmtId="165" fontId="107" fillId="45" borderId="1" xfId="2037" applyFont="1" applyFill="1" applyBorder="1" applyAlignment="1">
      <alignment horizontal="center" vertical="top" wrapText="1"/>
    </xf>
    <xf numFmtId="0" fontId="4" fillId="45" borderId="0" xfId="0" applyFont="1" applyFill="1"/>
    <xf numFmtId="165" fontId="108" fillId="45" borderId="1" xfId="2037" applyFont="1" applyFill="1" applyBorder="1" applyAlignment="1">
      <alignment horizontal="center" vertical="top" wrapText="1"/>
    </xf>
    <xf numFmtId="0" fontId="108" fillId="45" borderId="1" xfId="3437" applyFont="1" applyFill="1" applyBorder="1" applyAlignment="1">
      <alignment horizontal="center" vertical="center"/>
    </xf>
    <xf numFmtId="165" fontId="108" fillId="45" borderId="1" xfId="2037" applyFont="1" applyFill="1" applyBorder="1" applyAlignment="1">
      <alignment horizontal="center" vertical="center" wrapText="1"/>
    </xf>
    <xf numFmtId="0" fontId="146" fillId="45" borderId="1" xfId="0" applyFont="1" applyFill="1" applyBorder="1" applyAlignment="1">
      <alignment horizontal="left" vertical="center" wrapText="1"/>
    </xf>
    <xf numFmtId="0" fontId="147" fillId="45" borderId="1" xfId="0" applyFont="1" applyFill="1" applyBorder="1" applyAlignment="1">
      <alignment horizontal="right" vertical="center"/>
    </xf>
    <xf numFmtId="2" fontId="148" fillId="45" borderId="1" xfId="0" applyNumberFormat="1" applyFont="1" applyFill="1" applyBorder="1" applyAlignment="1">
      <alignment horizontal="right" vertical="center" wrapText="1" shrinkToFit="1"/>
    </xf>
    <xf numFmtId="2" fontId="147" fillId="45" borderId="1" xfId="0" applyNumberFormat="1" applyFont="1" applyFill="1" applyBorder="1" applyAlignment="1">
      <alignment horizontal="right" vertical="center"/>
    </xf>
    <xf numFmtId="2" fontId="148" fillId="45" borderId="1" xfId="0" applyNumberFormat="1" applyFont="1" applyFill="1" applyBorder="1" applyAlignment="1">
      <alignment horizontal="right" vertical="center"/>
    </xf>
    <xf numFmtId="0" fontId="146" fillId="45" borderId="38" xfId="0" applyFont="1" applyFill="1" applyBorder="1" applyAlignment="1">
      <alignment horizontal="left" vertical="center" wrapText="1"/>
    </xf>
    <xf numFmtId="1" fontId="146" fillId="45" borderId="1" xfId="0" applyNumberFormat="1" applyFont="1" applyFill="1" applyBorder="1" applyAlignment="1">
      <alignment horizontal="center" vertical="center" shrinkToFit="1"/>
    </xf>
    <xf numFmtId="2" fontId="146" fillId="45" borderId="0" xfId="3437" applyNumberFormat="1" applyFont="1" applyFill="1" applyAlignment="1"/>
    <xf numFmtId="166" fontId="146" fillId="45" borderId="0" xfId="0" applyNumberFormat="1" applyFont="1" applyFill="1" applyBorder="1" applyAlignment="1">
      <alignment horizontal="center"/>
    </xf>
    <xf numFmtId="0" fontId="103" fillId="45" borderId="0" xfId="0" applyFont="1" applyFill="1" applyAlignment="1">
      <alignment horizontal="center"/>
    </xf>
    <xf numFmtId="0" fontId="110" fillId="45" borderId="0" xfId="0" applyFont="1" applyFill="1" applyAlignment="1">
      <alignment vertical="center" wrapText="1"/>
    </xf>
    <xf numFmtId="0" fontId="110" fillId="45" borderId="0" xfId="0" applyFont="1" applyFill="1"/>
    <xf numFmtId="0" fontId="103" fillId="45" borderId="0" xfId="0" applyFont="1" applyFill="1"/>
    <xf numFmtId="2" fontId="103" fillId="45" borderId="0" xfId="0" applyNumberFormat="1" applyFont="1" applyFill="1" applyAlignment="1">
      <alignment shrinkToFit="1"/>
    </xf>
    <xf numFmtId="165" fontId="107" fillId="44" borderId="1" xfId="2037" applyFont="1" applyFill="1" applyBorder="1" applyAlignment="1">
      <alignment horizontal="center" vertical="top" wrapText="1"/>
    </xf>
    <xf numFmtId="0" fontId="109" fillId="45" borderId="0" xfId="3437" applyFont="1" applyFill="1" applyBorder="1" applyAlignment="1">
      <alignment horizontal="center" vertical="center"/>
    </xf>
    <xf numFmtId="0" fontId="110" fillId="45" borderId="0" xfId="0" applyFont="1" applyFill="1" applyBorder="1" applyAlignment="1">
      <alignment horizontal="center" vertical="center"/>
    </xf>
    <xf numFmtId="165" fontId="107" fillId="45" borderId="1" xfId="2037" applyFont="1" applyFill="1" applyBorder="1" applyAlignment="1">
      <alignment horizontal="center" vertical="top" wrapText="1"/>
    </xf>
    <xf numFmtId="2" fontId="109" fillId="45" borderId="0" xfId="3437" applyNumberFormat="1" applyFont="1" applyFill="1" applyBorder="1" applyAlignment="1">
      <alignment horizontal="center" vertical="center" wrapText="1"/>
    </xf>
    <xf numFmtId="165" fontId="108" fillId="45" borderId="1" xfId="2037" applyFont="1" applyFill="1" applyBorder="1" applyAlignment="1">
      <alignment horizontal="center" vertical="top" wrapText="1"/>
    </xf>
    <xf numFmtId="0" fontId="4" fillId="45" borderId="0" xfId="0" applyFont="1" applyFill="1"/>
    <xf numFmtId="165" fontId="108" fillId="45" borderId="1" xfId="2037" applyFont="1" applyFill="1" applyBorder="1" applyAlignment="1">
      <alignment horizontal="center" vertical="center" wrapText="1"/>
    </xf>
    <xf numFmtId="0" fontId="108" fillId="45" borderId="1" xfId="3437" applyFont="1" applyFill="1" applyBorder="1" applyAlignment="1">
      <alignment horizontal="center" vertical="center"/>
    </xf>
    <xf numFmtId="0" fontId="6" fillId="59" borderId="1" xfId="0" applyFont="1" applyFill="1" applyBorder="1" applyAlignment="1">
      <alignment horizontal="center"/>
    </xf>
    <xf numFmtId="2" fontId="140" fillId="53" borderId="1" xfId="0" applyNumberFormat="1" applyFont="1" applyFill="1" applyBorder="1" applyAlignment="1">
      <alignment vertical="center"/>
    </xf>
    <xf numFmtId="2" fontId="140" fillId="53" borderId="1" xfId="0" applyNumberFormat="1" applyFont="1" applyFill="1" applyBorder="1" applyAlignment="1">
      <alignment horizontal="right" vertical="center" shrinkToFit="1"/>
    </xf>
    <xf numFmtId="165" fontId="107" fillId="53" borderId="1" xfId="2037" applyFont="1" applyFill="1" applyBorder="1" applyAlignment="1">
      <alignment horizontal="center" vertical="top" wrapText="1"/>
    </xf>
    <xf numFmtId="2" fontId="141" fillId="53" borderId="1" xfId="0" applyNumberFormat="1" applyFont="1" applyFill="1" applyBorder="1" applyAlignment="1">
      <alignment horizontal="right" vertical="center" wrapText="1" shrinkToFit="1"/>
    </xf>
    <xf numFmtId="165" fontId="108" fillId="44" borderId="1" xfId="2037" applyFont="1" applyFill="1" applyBorder="1" applyAlignment="1">
      <alignment horizontal="center" vertical="top" wrapText="1"/>
    </xf>
    <xf numFmtId="165" fontId="108" fillId="53" borderId="1" xfId="2037" applyFont="1" applyFill="1" applyBorder="1" applyAlignment="1">
      <alignment horizontal="center" vertical="top" wrapText="1"/>
    </xf>
    <xf numFmtId="0" fontId="108" fillId="53" borderId="1" xfId="3437" applyFont="1" applyFill="1" applyBorder="1" applyAlignment="1">
      <alignment horizontal="center" vertical="center"/>
    </xf>
    <xf numFmtId="2" fontId="141" fillId="53" borderId="1" xfId="0" applyNumberFormat="1" applyFont="1" applyFill="1" applyBorder="1" applyAlignment="1">
      <alignment horizontal="right" vertical="center"/>
    </xf>
    <xf numFmtId="165" fontId="108" fillId="44" borderId="1" xfId="2037" applyFont="1" applyFill="1" applyBorder="1" applyAlignment="1">
      <alignment horizontal="center" vertical="center" wrapText="1"/>
    </xf>
    <xf numFmtId="0" fontId="108" fillId="53" borderId="1" xfId="3437" applyFont="1" applyFill="1" applyBorder="1" applyAlignment="1">
      <alignment horizontal="center"/>
    </xf>
    <xf numFmtId="165" fontId="108" fillId="53" borderId="1" xfId="2037" applyFont="1" applyFill="1" applyBorder="1" applyAlignment="1">
      <alignment horizontal="center" vertical="center" wrapText="1"/>
    </xf>
    <xf numFmtId="165" fontId="108" fillId="44" borderId="1" xfId="2037" applyFont="1" applyFill="1" applyBorder="1" applyAlignment="1">
      <alignment horizontal="center" vertical="top" wrapText="1"/>
    </xf>
    <xf numFmtId="1" fontId="140" fillId="44" borderId="1" xfId="3712" applyNumberFormat="1" applyFont="1" applyFill="1" applyBorder="1" applyAlignment="1">
      <alignment horizontal="right" vertical="center" shrinkToFit="1"/>
    </xf>
    <xf numFmtId="0" fontId="140" fillId="44" borderId="1" xfId="3712" applyFont="1" applyFill="1" applyBorder="1" applyAlignment="1">
      <alignment horizontal="right" vertical="center" shrinkToFit="1"/>
    </xf>
    <xf numFmtId="0" fontId="140" fillId="44" borderId="1" xfId="0" applyFont="1" applyFill="1" applyBorder="1" applyAlignment="1">
      <alignment horizontal="right" vertical="center" wrapText="1"/>
    </xf>
    <xf numFmtId="0" fontId="103" fillId="44" borderId="0" xfId="0" applyFont="1" applyFill="1" applyAlignment="1">
      <alignment vertical="center"/>
    </xf>
    <xf numFmtId="0" fontId="140" fillId="44" borderId="1" xfId="0" applyFont="1" applyFill="1" applyBorder="1" applyAlignment="1">
      <alignment horizontal="right" vertical="center"/>
    </xf>
    <xf numFmtId="0" fontId="140" fillId="44" borderId="1" xfId="2890" applyFont="1" applyFill="1" applyBorder="1" applyAlignment="1">
      <alignment horizontal="right" vertical="center" wrapText="1"/>
    </xf>
    <xf numFmtId="2" fontId="140" fillId="44" borderId="1" xfId="3712" applyNumberFormat="1" applyFont="1" applyFill="1" applyBorder="1" applyAlignment="1">
      <alignment horizontal="right" vertical="center" shrinkToFit="1"/>
    </xf>
    <xf numFmtId="2" fontId="140" fillId="44" borderId="1" xfId="0" applyNumberFormat="1" applyFont="1" applyFill="1" applyBorder="1" applyAlignment="1">
      <alignment horizontal="right" vertical="center" wrapText="1"/>
    </xf>
    <xf numFmtId="2" fontId="140" fillId="44" borderId="1" xfId="0" applyNumberFormat="1" applyFont="1" applyFill="1" applyBorder="1" applyAlignment="1">
      <alignment horizontal="right" vertical="center"/>
    </xf>
    <xf numFmtId="2" fontId="140" fillId="44" borderId="1" xfId="2890" applyNumberFormat="1" applyFont="1" applyFill="1" applyBorder="1" applyAlignment="1">
      <alignment horizontal="right" vertical="center" wrapText="1"/>
    </xf>
    <xf numFmtId="1" fontId="141" fillId="44" borderId="1" xfId="0" applyNumberFormat="1" applyFont="1" applyFill="1" applyBorder="1" applyAlignment="1">
      <alignment horizontal="right" vertical="center"/>
    </xf>
    <xf numFmtId="0" fontId="141" fillId="44" borderId="1" xfId="0" applyFont="1" applyFill="1" applyBorder="1" applyAlignment="1">
      <alignment horizontal="right" vertical="center"/>
    </xf>
    <xf numFmtId="0" fontId="142" fillId="44" borderId="1" xfId="3713" applyFont="1" applyFill="1" applyBorder="1" applyAlignment="1">
      <alignment horizontal="right" vertical="center" wrapText="1"/>
    </xf>
    <xf numFmtId="0" fontId="142" fillId="44" borderId="1" xfId="2890" applyFont="1" applyFill="1" applyBorder="1" applyAlignment="1">
      <alignment horizontal="right" vertical="center"/>
    </xf>
    <xf numFmtId="0" fontId="142" fillId="44" borderId="1" xfId="2890" applyFont="1" applyFill="1" applyBorder="1" applyAlignment="1">
      <alignment horizontal="right" vertical="center" wrapText="1"/>
    </xf>
    <xf numFmtId="1" fontId="143" fillId="44" borderId="1" xfId="3437" applyNumberFormat="1" applyFont="1" applyFill="1" applyBorder="1" applyAlignment="1">
      <alignment horizontal="right" vertical="center"/>
    </xf>
    <xf numFmtId="0" fontId="143" fillId="44" borderId="1" xfId="3437" applyFont="1" applyFill="1" applyBorder="1" applyAlignment="1">
      <alignment horizontal="right" vertical="center"/>
    </xf>
    <xf numFmtId="1" fontId="141" fillId="44" borderId="1" xfId="3437" applyNumberFormat="1" applyFont="1" applyFill="1" applyBorder="1" applyAlignment="1">
      <alignment horizontal="right" vertical="center"/>
    </xf>
    <xf numFmtId="0" fontId="141" fillId="44" borderId="1" xfId="3437" applyFont="1" applyFill="1" applyBorder="1" applyAlignment="1">
      <alignment horizontal="right" vertical="center"/>
    </xf>
    <xf numFmtId="2" fontId="141" fillId="44" borderId="1" xfId="3713" applyNumberFormat="1" applyFont="1" applyFill="1" applyBorder="1" applyAlignment="1">
      <alignment horizontal="right" vertical="center" wrapText="1"/>
    </xf>
    <xf numFmtId="2" fontId="141" fillId="44" borderId="1" xfId="2890" applyNumberFormat="1" applyFont="1" applyFill="1" applyBorder="1" applyAlignment="1">
      <alignment horizontal="right" vertical="center"/>
    </xf>
    <xf numFmtId="2" fontId="141" fillId="44" borderId="1" xfId="2890" applyNumberFormat="1" applyFont="1" applyFill="1" applyBorder="1" applyAlignment="1">
      <alignment horizontal="right" vertical="center" wrapText="1"/>
    </xf>
    <xf numFmtId="0" fontId="141" fillId="50" borderId="1" xfId="0" applyFont="1" applyFill="1" applyBorder="1" applyAlignment="1">
      <alignment horizontal="right" vertical="center"/>
    </xf>
    <xf numFmtId="2" fontId="141" fillId="50" borderId="1" xfId="0" applyNumberFormat="1" applyFont="1" applyFill="1" applyBorder="1" applyAlignment="1">
      <alignment horizontal="right" vertical="center"/>
    </xf>
    <xf numFmtId="0" fontId="4" fillId="60" borderId="0" xfId="3437" applyFont="1" applyFill="1" applyAlignment="1">
      <alignment horizontal="right"/>
    </xf>
    <xf numFmtId="1" fontId="141" fillId="44" borderId="1" xfId="3712" applyNumberFormat="1" applyFont="1" applyFill="1" applyBorder="1" applyAlignment="1">
      <alignment horizontal="right" vertical="center" shrinkToFit="1"/>
    </xf>
    <xf numFmtId="0" fontId="141" fillId="44" borderId="1" xfId="2890" applyFont="1" applyFill="1" applyBorder="1" applyAlignment="1">
      <alignment horizontal="right" vertical="center" wrapText="1"/>
    </xf>
    <xf numFmtId="0" fontId="147" fillId="44" borderId="1" xfId="0" applyFont="1" applyFill="1" applyBorder="1" applyAlignment="1">
      <alignment horizontal="right" vertical="center"/>
    </xf>
    <xf numFmtId="0" fontId="149" fillId="0" borderId="29" xfId="3437" applyFont="1" applyFill="1" applyBorder="1" applyAlignment="1">
      <alignment horizontal="left" vertical="center" wrapText="1"/>
    </xf>
    <xf numFmtId="46" fontId="152" fillId="45" borderId="0" xfId="0" applyNumberFormat="1" applyFont="1" applyFill="1" applyBorder="1" applyAlignment="1">
      <alignment horizontal="center" vertical="center"/>
    </xf>
    <xf numFmtId="0" fontId="3" fillId="45" borderId="0" xfId="0" applyFont="1" applyFill="1" applyAlignment="1">
      <alignment horizontal="center" vertical="center" wrapText="1"/>
    </xf>
    <xf numFmtId="0" fontId="154" fillId="0" borderId="0" xfId="3437" applyFont="1" applyFill="1" applyAlignment="1"/>
    <xf numFmtId="0" fontId="155" fillId="0" borderId="0" xfId="3437" applyFont="1" applyFill="1" applyAlignment="1"/>
    <xf numFmtId="0" fontId="149" fillId="0" borderId="0" xfId="3437" applyFont="1" applyFill="1" applyBorder="1" applyAlignment="1">
      <alignment horizontal="left" vertical="center" wrapText="1"/>
    </xf>
    <xf numFmtId="2" fontId="157" fillId="45" borderId="0" xfId="0" applyNumberFormat="1" applyFont="1" applyFill="1" applyAlignment="1">
      <alignment shrinkToFit="1"/>
    </xf>
    <xf numFmtId="0" fontId="157" fillId="45" borderId="0" xfId="0" applyFont="1" applyFill="1"/>
    <xf numFmtId="165" fontId="107" fillId="44" borderId="1" xfId="2037" applyFont="1" applyFill="1" applyBorder="1" applyAlignment="1">
      <alignment horizontal="center" vertical="top" wrapText="1"/>
    </xf>
    <xf numFmtId="0" fontId="109" fillId="45" borderId="0" xfId="3437" applyFont="1" applyFill="1" applyBorder="1" applyAlignment="1">
      <alignment horizontal="center" vertical="center"/>
    </xf>
    <xf numFmtId="0" fontId="110" fillId="45" borderId="0" xfId="0" applyFont="1" applyFill="1" applyBorder="1" applyAlignment="1">
      <alignment horizontal="center" vertical="center"/>
    </xf>
    <xf numFmtId="165" fontId="107" fillId="45" borderId="1" xfId="2037" applyFont="1" applyFill="1" applyBorder="1" applyAlignment="1">
      <alignment horizontal="center" vertical="top" wrapText="1"/>
    </xf>
    <xf numFmtId="2" fontId="109" fillId="45" borderId="0" xfId="3437" applyNumberFormat="1" applyFont="1" applyFill="1" applyBorder="1" applyAlignment="1">
      <alignment horizontal="center" vertical="center" wrapText="1"/>
    </xf>
    <xf numFmtId="165" fontId="108" fillId="45" borderId="1" xfId="2037" applyFont="1" applyFill="1" applyBorder="1" applyAlignment="1">
      <alignment horizontal="center" vertical="top" wrapText="1"/>
    </xf>
    <xf numFmtId="0" fontId="4" fillId="45" borderId="0" xfId="0" applyFont="1" applyFill="1"/>
    <xf numFmtId="165" fontId="108" fillId="45" borderId="1" xfId="2037" applyFont="1" applyFill="1" applyBorder="1" applyAlignment="1">
      <alignment horizontal="center" vertical="center" wrapText="1"/>
    </xf>
    <xf numFmtId="0" fontId="108" fillId="45" borderId="1" xfId="3437" applyFont="1" applyFill="1" applyBorder="1" applyAlignment="1">
      <alignment horizontal="center" vertical="center"/>
    </xf>
    <xf numFmtId="0" fontId="157" fillId="45" borderId="0" xfId="0" applyFont="1" applyFill="1"/>
    <xf numFmtId="165" fontId="108" fillId="44" borderId="1" xfId="2037" applyFont="1" applyFill="1" applyBorder="1" applyAlignment="1">
      <alignment horizontal="center" vertical="top" wrapText="1"/>
    </xf>
    <xf numFmtId="165" fontId="108" fillId="44" borderId="1" xfId="2037" applyFont="1" applyFill="1" applyBorder="1" applyAlignment="1">
      <alignment horizontal="center" vertical="center" wrapText="1"/>
    </xf>
    <xf numFmtId="2" fontId="141" fillId="44" borderId="1" xfId="3712" applyNumberFormat="1" applyFont="1" applyFill="1" applyBorder="1" applyAlignment="1">
      <alignment horizontal="right" vertical="center" shrinkToFit="1"/>
    </xf>
    <xf numFmtId="2" fontId="147" fillId="44" borderId="1" xfId="0" applyNumberFormat="1" applyFont="1" applyFill="1" applyBorder="1" applyAlignment="1">
      <alignment horizontal="right" vertical="center"/>
    </xf>
    <xf numFmtId="0" fontId="150" fillId="44" borderId="1" xfId="0" applyFont="1" applyFill="1" applyBorder="1" applyAlignment="1">
      <alignment horizontal="right" vertical="center"/>
    </xf>
    <xf numFmtId="0" fontId="151" fillId="44" borderId="1" xfId="0" applyFont="1" applyFill="1" applyBorder="1" applyAlignment="1">
      <alignment horizontal="right" vertical="center"/>
    </xf>
    <xf numFmtId="2" fontId="141" fillId="44" borderId="1" xfId="0" applyNumberFormat="1" applyFont="1" applyFill="1" applyBorder="1" applyAlignment="1">
      <alignment horizontal="right" vertical="center" wrapText="1"/>
    </xf>
    <xf numFmtId="206" fontId="147" fillId="45" borderId="1" xfId="0" applyNumberFormat="1" applyFont="1" applyFill="1" applyBorder="1" applyAlignment="1">
      <alignment horizontal="right" vertical="center"/>
    </xf>
    <xf numFmtId="167" fontId="147" fillId="45" borderId="1" xfId="0" applyNumberFormat="1" applyFont="1" applyFill="1" applyBorder="1" applyAlignment="1">
      <alignment horizontal="right" vertical="center"/>
    </xf>
    <xf numFmtId="205" fontId="141" fillId="44" borderId="1" xfId="3713" applyNumberFormat="1" applyFont="1" applyFill="1" applyBorder="1" applyAlignment="1">
      <alignment horizontal="right" vertical="center" wrapText="1"/>
    </xf>
    <xf numFmtId="205" fontId="141" fillId="44" borderId="1" xfId="2890" applyNumberFormat="1" applyFont="1" applyFill="1" applyBorder="1" applyAlignment="1">
      <alignment horizontal="right" vertical="center"/>
    </xf>
    <xf numFmtId="205" fontId="141" fillId="44" borderId="1" xfId="2890" applyNumberFormat="1" applyFont="1" applyFill="1" applyBorder="1" applyAlignment="1">
      <alignment horizontal="right" vertical="center" wrapText="1"/>
    </xf>
    <xf numFmtId="0" fontId="6" fillId="61" borderId="1" xfId="0" applyFont="1" applyFill="1" applyBorder="1" applyAlignment="1">
      <alignment horizontal="center"/>
    </xf>
    <xf numFmtId="2" fontId="140" fillId="61" borderId="1" xfId="0" applyNumberFormat="1" applyFont="1" applyFill="1" applyBorder="1" applyAlignment="1">
      <alignment horizontal="right" vertical="center" shrinkToFit="1"/>
    </xf>
    <xf numFmtId="165" fontId="107" fillId="61" borderId="1" xfId="2037" applyFont="1" applyFill="1" applyBorder="1" applyAlignment="1">
      <alignment horizontal="center" vertical="top" wrapText="1"/>
    </xf>
    <xf numFmtId="2" fontId="140" fillId="61" borderId="1" xfId="0" applyNumberFormat="1" applyFont="1" applyFill="1" applyBorder="1" applyAlignment="1">
      <alignment vertical="center"/>
    </xf>
    <xf numFmtId="0" fontId="108" fillId="61" borderId="1" xfId="3437" applyFont="1" applyFill="1" applyBorder="1" applyAlignment="1">
      <alignment horizontal="center" vertical="center"/>
    </xf>
    <xf numFmtId="2" fontId="141" fillId="61" borderId="1" xfId="0" applyNumberFormat="1" applyFont="1" applyFill="1" applyBorder="1" applyAlignment="1">
      <alignment horizontal="right" vertical="center" wrapText="1" shrinkToFit="1"/>
    </xf>
    <xf numFmtId="165" fontId="108" fillId="61" borderId="1" xfId="2037" applyFont="1" applyFill="1" applyBorder="1" applyAlignment="1">
      <alignment horizontal="center" vertical="top" wrapText="1"/>
    </xf>
    <xf numFmtId="2" fontId="141" fillId="61" borderId="1" xfId="0" applyNumberFormat="1" applyFont="1" applyFill="1" applyBorder="1" applyAlignment="1">
      <alignment horizontal="right" vertical="center"/>
    </xf>
    <xf numFmtId="0" fontId="108" fillId="61" borderId="1" xfId="3437" applyFont="1" applyFill="1" applyBorder="1" applyAlignment="1">
      <alignment horizontal="center"/>
    </xf>
    <xf numFmtId="165" fontId="108" fillId="61" borderId="1" xfId="2037" applyFont="1" applyFill="1" applyBorder="1" applyAlignment="1">
      <alignment horizontal="center" vertical="center" wrapText="1"/>
    </xf>
    <xf numFmtId="1" fontId="140" fillId="51" borderId="1" xfId="3712" applyNumberFormat="1" applyFont="1" applyFill="1" applyBorder="1" applyAlignment="1">
      <alignment horizontal="right" vertical="center" shrinkToFit="1"/>
    </xf>
    <xf numFmtId="0" fontId="140" fillId="51" borderId="1" xfId="3712" applyFont="1" applyFill="1" applyBorder="1" applyAlignment="1">
      <alignment horizontal="right" vertical="center" shrinkToFit="1"/>
    </xf>
    <xf numFmtId="0" fontId="140" fillId="51" borderId="1" xfId="0" applyFont="1" applyFill="1" applyBorder="1" applyAlignment="1">
      <alignment horizontal="right" vertical="center" wrapText="1"/>
    </xf>
    <xf numFmtId="0" fontId="140" fillId="51" borderId="1" xfId="0" applyFont="1" applyFill="1" applyBorder="1" applyAlignment="1">
      <alignment horizontal="right" vertical="center"/>
    </xf>
    <xf numFmtId="0" fontId="140" fillId="51" borderId="1" xfId="2890" applyFont="1" applyFill="1" applyBorder="1" applyAlignment="1">
      <alignment horizontal="right" vertical="center" wrapText="1"/>
    </xf>
    <xf numFmtId="0" fontId="103" fillId="51" borderId="1" xfId="0" applyFont="1" applyFill="1" applyBorder="1" applyAlignment="1">
      <alignment vertical="center"/>
    </xf>
    <xf numFmtId="0" fontId="4" fillId="45" borderId="1" xfId="0" applyFont="1" applyFill="1" applyBorder="1"/>
    <xf numFmtId="2" fontId="140" fillId="51" borderId="1" xfId="2890" applyNumberFormat="1" applyFont="1" applyFill="1" applyBorder="1" applyAlignment="1">
      <alignment horizontal="right" vertical="center" wrapText="1"/>
    </xf>
    <xf numFmtId="2" fontId="140" fillId="51" borderId="1" xfId="0" applyNumberFormat="1" applyFont="1" applyFill="1" applyBorder="1" applyAlignment="1">
      <alignment horizontal="right" vertical="center"/>
    </xf>
    <xf numFmtId="2" fontId="140" fillId="51" borderId="1" xfId="3712" applyNumberFormat="1" applyFont="1" applyFill="1" applyBorder="1" applyAlignment="1">
      <alignment horizontal="right" vertical="center" shrinkToFit="1"/>
    </xf>
    <xf numFmtId="2" fontId="140" fillId="51" borderId="1" xfId="0" applyNumberFormat="1" applyFont="1" applyFill="1" applyBorder="1" applyAlignment="1">
      <alignment horizontal="right" vertical="center" wrapText="1"/>
    </xf>
    <xf numFmtId="0" fontId="160" fillId="0" borderId="1" xfId="3437" applyFont="1" applyFill="1" applyBorder="1" applyAlignment="1">
      <alignment horizontal="center" vertical="center"/>
    </xf>
    <xf numFmtId="2" fontId="138" fillId="0" borderId="1" xfId="0" applyNumberFormat="1" applyFont="1" applyBorder="1" applyAlignment="1">
      <alignment horizontal="center" vertical="center"/>
    </xf>
    <xf numFmtId="1" fontId="141" fillId="51" borderId="1" xfId="0" applyNumberFormat="1" applyFont="1" applyFill="1" applyBorder="1" applyAlignment="1">
      <alignment horizontal="right" vertical="center"/>
    </xf>
    <xf numFmtId="2" fontId="141" fillId="51" borderId="1" xfId="0" applyNumberFormat="1" applyFont="1" applyFill="1" applyBorder="1" applyAlignment="1">
      <alignment horizontal="right" vertical="center"/>
    </xf>
    <xf numFmtId="0" fontId="141" fillId="51" borderId="1" xfId="0" applyFont="1" applyFill="1" applyBorder="1" applyAlignment="1">
      <alignment horizontal="right" vertical="center"/>
    </xf>
    <xf numFmtId="2" fontId="141" fillId="51" borderId="1" xfId="3713" applyNumberFormat="1" applyFont="1" applyFill="1" applyBorder="1" applyAlignment="1">
      <alignment horizontal="right" vertical="center" wrapText="1"/>
    </xf>
    <xf numFmtId="2" fontId="141" fillId="51" borderId="1" xfId="2890" applyNumberFormat="1" applyFont="1" applyFill="1" applyBorder="1" applyAlignment="1">
      <alignment horizontal="right" vertical="center"/>
    </xf>
    <xf numFmtId="2" fontId="141" fillId="51" borderId="1" xfId="2890" applyNumberFormat="1" applyFont="1" applyFill="1" applyBorder="1" applyAlignment="1">
      <alignment horizontal="right" vertical="center" wrapText="1"/>
    </xf>
    <xf numFmtId="0" fontId="142" fillId="51" borderId="1" xfId="3713" applyFont="1" applyFill="1" applyBorder="1" applyAlignment="1">
      <alignment horizontal="right" vertical="center" wrapText="1"/>
    </xf>
    <xf numFmtId="0" fontId="143" fillId="51" borderId="1" xfId="3437" applyFont="1" applyFill="1" applyBorder="1" applyAlignment="1">
      <alignment horizontal="right" vertical="center"/>
    </xf>
    <xf numFmtId="1" fontId="143" fillId="51" borderId="1" xfId="3437" applyNumberFormat="1" applyFont="1" applyFill="1" applyBorder="1" applyAlignment="1">
      <alignment horizontal="right" vertical="center"/>
    </xf>
    <xf numFmtId="1" fontId="141" fillId="51" borderId="1" xfId="3437" applyNumberFormat="1" applyFont="1" applyFill="1" applyBorder="1" applyAlignment="1">
      <alignment horizontal="right" vertical="center"/>
    </xf>
    <xf numFmtId="0" fontId="141" fillId="51" borderId="1" xfId="3437" applyFont="1" applyFill="1" applyBorder="1" applyAlignment="1">
      <alignment horizontal="right" vertical="center"/>
    </xf>
    <xf numFmtId="205" fontId="141" fillId="51" borderId="1" xfId="3713" applyNumberFormat="1" applyFont="1" applyFill="1" applyBorder="1" applyAlignment="1">
      <alignment horizontal="right" vertical="center" wrapText="1"/>
    </xf>
    <xf numFmtId="205" fontId="141" fillId="51" borderId="1" xfId="2890" applyNumberFormat="1" applyFont="1" applyFill="1" applyBorder="1" applyAlignment="1">
      <alignment horizontal="right" vertical="center"/>
    </xf>
    <xf numFmtId="205" fontId="141" fillId="51" borderId="1" xfId="2890" applyNumberFormat="1" applyFont="1" applyFill="1" applyBorder="1" applyAlignment="1">
      <alignment horizontal="right" vertical="center" wrapText="1"/>
    </xf>
    <xf numFmtId="1" fontId="141" fillId="51" borderId="1" xfId="3712" applyNumberFormat="1" applyFont="1" applyFill="1" applyBorder="1" applyAlignment="1">
      <alignment horizontal="right" vertical="center" shrinkToFit="1"/>
    </xf>
    <xf numFmtId="0" fontId="147" fillId="51" borderId="1" xfId="0" applyFont="1" applyFill="1" applyBorder="1" applyAlignment="1">
      <alignment horizontal="right" vertical="center"/>
    </xf>
    <xf numFmtId="0" fontId="141" fillId="51" borderId="1" xfId="2890" applyFont="1" applyFill="1" applyBorder="1" applyAlignment="1">
      <alignment horizontal="right" vertical="center" wrapText="1"/>
    </xf>
    <xf numFmtId="2" fontId="141" fillId="51" borderId="1" xfId="3712" applyNumberFormat="1" applyFont="1" applyFill="1" applyBorder="1" applyAlignment="1">
      <alignment horizontal="right" vertical="center" shrinkToFit="1"/>
    </xf>
    <xf numFmtId="0" fontId="150" fillId="51" borderId="1" xfId="0" applyFont="1" applyFill="1" applyBorder="1" applyAlignment="1">
      <alignment horizontal="right" vertical="center"/>
    </xf>
    <xf numFmtId="2" fontId="150" fillId="51" borderId="1" xfId="0" applyNumberFormat="1" applyFont="1" applyFill="1" applyBorder="1" applyAlignment="1">
      <alignment horizontal="right" vertical="center"/>
    </xf>
    <xf numFmtId="0" fontId="3" fillId="45" borderId="1" xfId="0" applyFont="1" applyFill="1" applyBorder="1" applyAlignment="1">
      <alignment horizontal="center" vertical="center" wrapText="1"/>
    </xf>
    <xf numFmtId="1" fontId="159" fillId="45" borderId="1" xfId="3712" applyNumberFormat="1" applyFont="1" applyFill="1" applyBorder="1" applyAlignment="1">
      <alignment horizontal="center" vertical="center" shrinkToFit="1"/>
    </xf>
    <xf numFmtId="0" fontId="151" fillId="51" borderId="1" xfId="0" applyFont="1" applyFill="1" applyBorder="1" applyAlignment="1">
      <alignment horizontal="right" vertical="center"/>
    </xf>
    <xf numFmtId="0" fontId="142" fillId="51" borderId="1" xfId="2890" applyFont="1" applyFill="1" applyBorder="1" applyAlignment="1">
      <alignment horizontal="right" vertical="center"/>
    </xf>
    <xf numFmtId="0" fontId="142" fillId="51" borderId="1" xfId="2890" applyFont="1" applyFill="1" applyBorder="1" applyAlignment="1">
      <alignment horizontal="right" vertical="center" wrapText="1"/>
    </xf>
    <xf numFmtId="1" fontId="9" fillId="45" borderId="1" xfId="0" applyNumberFormat="1" applyFont="1" applyFill="1" applyBorder="1" applyAlignment="1">
      <alignment horizontal="center" vertical="center" shrinkToFit="1"/>
    </xf>
    <xf numFmtId="0" fontId="105" fillId="45" borderId="1" xfId="0" applyFont="1" applyFill="1" applyBorder="1" applyAlignment="1">
      <alignment horizontal="left" vertical="center" wrapText="1" shrinkToFit="1"/>
    </xf>
    <xf numFmtId="1" fontId="103" fillId="45" borderId="1" xfId="3437" applyNumberFormat="1" applyFont="1" applyFill="1" applyBorder="1" applyAlignment="1">
      <alignment horizontal="center" vertical="center"/>
    </xf>
    <xf numFmtId="46" fontId="103" fillId="45" borderId="1" xfId="3437" applyNumberFormat="1" applyFont="1" applyFill="1" applyBorder="1" applyAlignment="1">
      <alignment horizontal="center" vertical="center"/>
    </xf>
    <xf numFmtId="46" fontId="103" fillId="45" borderId="1" xfId="0" applyNumberFormat="1" applyFont="1" applyFill="1" applyBorder="1" applyAlignment="1">
      <alignment horizontal="center" vertical="center" wrapText="1" shrinkToFit="1"/>
    </xf>
    <xf numFmtId="2" fontId="103" fillId="45" borderId="1" xfId="0" applyNumberFormat="1" applyFont="1" applyFill="1" applyBorder="1" applyAlignment="1">
      <alignment horizontal="center" vertical="center" wrapText="1"/>
    </xf>
    <xf numFmtId="46" fontId="103" fillId="45" borderId="1" xfId="0" applyNumberFormat="1" applyFont="1" applyFill="1" applyBorder="1" applyAlignment="1">
      <alignment horizontal="center" vertical="center" wrapText="1"/>
    </xf>
    <xf numFmtId="166" fontId="4" fillId="45" borderId="0" xfId="0" applyNumberFormat="1" applyFont="1" applyFill="1" applyBorder="1" applyAlignment="1">
      <alignment horizontal="center"/>
    </xf>
    <xf numFmtId="0" fontId="103" fillId="45" borderId="1" xfId="0" applyFont="1" applyFill="1" applyBorder="1" applyAlignment="1">
      <alignment horizontal="center" vertical="center" wrapText="1"/>
    </xf>
    <xf numFmtId="46" fontId="162" fillId="45" borderId="1" xfId="3437" applyNumberFormat="1" applyFont="1" applyFill="1" applyBorder="1" applyAlignment="1">
      <alignment horizontal="center" vertical="center"/>
    </xf>
    <xf numFmtId="46" fontId="162" fillId="45" borderId="1" xfId="0" applyNumberFormat="1" applyFont="1" applyFill="1" applyBorder="1" applyAlignment="1">
      <alignment horizontal="center" vertical="center" wrapText="1" shrinkToFit="1"/>
    </xf>
    <xf numFmtId="1" fontId="162" fillId="45" borderId="1" xfId="3437" applyNumberFormat="1" applyFont="1" applyFill="1" applyBorder="1" applyAlignment="1">
      <alignment horizontal="center" vertical="center"/>
    </xf>
    <xf numFmtId="0" fontId="103" fillId="45" borderId="36" xfId="0" applyFont="1" applyFill="1" applyBorder="1" applyAlignment="1">
      <alignment horizontal="center" vertical="center" wrapText="1"/>
    </xf>
    <xf numFmtId="0" fontId="4" fillId="45" borderId="0" xfId="3437" applyFont="1" applyFill="1" applyAlignment="1">
      <alignment horizontal="center" vertical="top"/>
    </xf>
    <xf numFmtId="1" fontId="103" fillId="45" borderId="37" xfId="0" applyNumberFormat="1" applyFont="1" applyFill="1" applyBorder="1" applyAlignment="1">
      <alignment horizontal="center" vertical="center" wrapText="1" shrinkToFit="1"/>
    </xf>
    <xf numFmtId="46" fontId="103" fillId="45" borderId="37" xfId="0" applyNumberFormat="1" applyFont="1" applyFill="1" applyBorder="1" applyAlignment="1">
      <alignment horizontal="center" vertical="center" wrapText="1" shrinkToFit="1"/>
    </xf>
    <xf numFmtId="2" fontId="103" fillId="45" borderId="37" xfId="0" applyNumberFormat="1" applyFont="1" applyFill="1" applyBorder="1" applyAlignment="1">
      <alignment horizontal="center" vertical="center" wrapText="1"/>
    </xf>
    <xf numFmtId="46" fontId="103" fillId="45" borderId="37" xfId="0" applyNumberFormat="1" applyFont="1" applyFill="1" applyBorder="1" applyAlignment="1">
      <alignment horizontal="center" vertical="center" wrapText="1"/>
    </xf>
    <xf numFmtId="0" fontId="112" fillId="45" borderId="1" xfId="3437" applyFont="1" applyFill="1" applyBorder="1" applyAlignment="1"/>
    <xf numFmtId="207" fontId="107" fillId="45" borderId="1" xfId="2037" applyNumberFormat="1" applyFont="1" applyFill="1" applyBorder="1" applyAlignment="1">
      <alignment vertical="center" wrapText="1"/>
    </xf>
    <xf numFmtId="207" fontId="107" fillId="45" borderId="1" xfId="2037" applyNumberFormat="1" applyFont="1" applyFill="1" applyBorder="1" applyAlignment="1">
      <alignment wrapText="1"/>
    </xf>
    <xf numFmtId="46" fontId="165" fillId="45" borderId="1" xfId="3437" applyNumberFormat="1" applyFont="1" applyFill="1" applyBorder="1" applyAlignment="1">
      <alignment horizontal="center" vertical="center"/>
    </xf>
    <xf numFmtId="46" fontId="103" fillId="45" borderId="0" xfId="0" applyNumberFormat="1" applyFont="1" applyFill="1" applyBorder="1" applyAlignment="1">
      <alignment horizontal="center" vertical="center" wrapText="1" shrinkToFit="1"/>
    </xf>
    <xf numFmtId="1" fontId="165" fillId="45" borderId="1" xfId="0" applyNumberFormat="1" applyFont="1" applyFill="1" applyBorder="1" applyAlignment="1">
      <alignment horizontal="center" vertical="center" wrapText="1" shrinkToFit="1"/>
    </xf>
    <xf numFmtId="1" fontId="162" fillId="45" borderId="1" xfId="0" applyNumberFormat="1" applyFont="1" applyFill="1" applyBorder="1" applyAlignment="1">
      <alignment horizontal="center" vertical="center" wrapText="1" shrinkToFit="1"/>
    </xf>
    <xf numFmtId="0" fontId="162" fillId="45" borderId="1" xfId="0" applyFont="1" applyFill="1" applyBorder="1" applyAlignment="1">
      <alignment horizontal="center" vertical="center" wrapText="1"/>
    </xf>
    <xf numFmtId="46" fontId="103" fillId="45" borderId="1" xfId="0" applyNumberFormat="1" applyFont="1" applyFill="1" applyBorder="1" applyAlignment="1">
      <alignment horizontal="center" vertical="center" shrinkToFit="1"/>
    </xf>
    <xf numFmtId="0" fontId="110" fillId="45" borderId="1" xfId="0" applyFont="1" applyFill="1" applyBorder="1" applyAlignment="1">
      <alignment horizontal="center"/>
    </xf>
    <xf numFmtId="0" fontId="103" fillId="45" borderId="1" xfId="0" applyFont="1" applyFill="1" applyBorder="1" applyAlignment="1">
      <alignment horizontal="center" vertical="center"/>
    </xf>
    <xf numFmtId="0" fontId="33" fillId="45" borderId="0" xfId="0" applyFont="1" applyFill="1"/>
    <xf numFmtId="0" fontId="4" fillId="45" borderId="0" xfId="3437" applyFont="1" applyFill="1" applyBorder="1" applyAlignment="1"/>
    <xf numFmtId="46" fontId="4" fillId="45" borderId="0" xfId="3437" applyNumberFormat="1" applyFont="1" applyFill="1" applyBorder="1" applyAlignment="1"/>
    <xf numFmtId="0" fontId="3" fillId="45" borderId="0" xfId="3437" applyFont="1" applyFill="1" applyBorder="1" applyAlignment="1">
      <alignment horizontal="center" vertical="center"/>
    </xf>
    <xf numFmtId="46" fontId="121" fillId="45" borderId="1" xfId="0" applyNumberFormat="1" applyFont="1" applyFill="1" applyBorder="1" applyAlignment="1">
      <alignment horizontal="center" vertical="center" wrapText="1"/>
    </xf>
    <xf numFmtId="1" fontId="106" fillId="45" borderId="1" xfId="0" applyNumberFormat="1" applyFont="1" applyFill="1" applyBorder="1" applyAlignment="1">
      <alignment horizontal="center" vertical="center" wrapText="1" shrinkToFit="1"/>
    </xf>
    <xf numFmtId="0" fontId="106" fillId="45" borderId="1" xfId="0" applyFont="1" applyFill="1" applyBorder="1" applyAlignment="1">
      <alignment horizontal="left" vertical="center" wrapText="1" shrinkToFit="1"/>
    </xf>
    <xf numFmtId="2" fontId="103" fillId="45" borderId="1" xfId="0" applyNumberFormat="1" applyFont="1" applyFill="1" applyBorder="1" applyAlignment="1">
      <alignment horizontal="center" vertical="center" shrinkToFit="1"/>
    </xf>
    <xf numFmtId="2" fontId="35" fillId="45" borderId="1" xfId="0" applyNumberFormat="1" applyFont="1" applyFill="1" applyBorder="1" applyAlignment="1">
      <alignment horizontal="center" vertical="center" wrapText="1"/>
    </xf>
    <xf numFmtId="0" fontId="35" fillId="45" borderId="0" xfId="0" applyFont="1" applyFill="1"/>
    <xf numFmtId="17" fontId="81" fillId="45" borderId="1" xfId="0" applyNumberFormat="1" applyFont="1" applyFill="1" applyBorder="1" applyAlignment="1">
      <alignment horizontal="center" vertical="center"/>
    </xf>
    <xf numFmtId="0" fontId="81" fillId="45" borderId="1" xfId="0" applyFont="1" applyFill="1" applyBorder="1" applyAlignment="1">
      <alignment horizontal="center" vertical="center"/>
    </xf>
    <xf numFmtId="46" fontId="103" fillId="45" borderId="1" xfId="3437" applyNumberFormat="1" applyFont="1" applyFill="1" applyBorder="1" applyAlignment="1">
      <alignment horizontal="center" vertical="center" wrapText="1"/>
    </xf>
    <xf numFmtId="0" fontId="170" fillId="45" borderId="0" xfId="0" applyFont="1" applyFill="1" applyAlignment="1">
      <alignment vertical="center"/>
    </xf>
    <xf numFmtId="165" fontId="107" fillId="45" borderId="1" xfId="2037" applyFont="1" applyFill="1" applyBorder="1" applyAlignment="1">
      <alignment horizontal="center" vertical="center" wrapText="1"/>
    </xf>
    <xf numFmtId="2" fontId="33" fillId="45" borderId="0" xfId="3437" applyNumberFormat="1" applyFont="1" applyFill="1" applyAlignment="1"/>
    <xf numFmtId="46" fontId="4" fillId="45" borderId="0" xfId="3437" applyNumberFormat="1" applyFont="1" applyFill="1" applyAlignment="1"/>
    <xf numFmtId="46" fontId="168" fillId="45" borderId="0" xfId="0" applyNumberFormat="1" applyFont="1" applyFill="1" applyBorder="1" applyAlignment="1">
      <alignment horizontal="center" vertical="center"/>
    </xf>
    <xf numFmtId="46" fontId="164" fillId="45" borderId="0" xfId="2929" applyNumberFormat="1" applyFont="1" applyFill="1" applyBorder="1" applyAlignment="1">
      <alignment horizontal="center" vertical="center" wrapText="1"/>
    </xf>
    <xf numFmtId="46" fontId="102" fillId="45" borderId="0" xfId="0" applyNumberFormat="1" applyFont="1" applyFill="1" applyBorder="1" applyAlignment="1">
      <alignment horizontal="center" vertical="center" wrapText="1"/>
    </xf>
    <xf numFmtId="208" fontId="169" fillId="45" borderId="0" xfId="2890" applyNumberFormat="1" applyFont="1" applyFill="1" applyBorder="1" applyAlignment="1">
      <alignment horizontal="center" vertical="center" wrapText="1"/>
    </xf>
    <xf numFmtId="0" fontId="164" fillId="45" borderId="0" xfId="2890" applyFont="1" applyFill="1" applyBorder="1" applyAlignment="1">
      <alignment horizontal="center" vertical="center" wrapText="1"/>
    </xf>
    <xf numFmtId="0" fontId="160" fillId="45" borderId="0" xfId="0" applyFont="1" applyFill="1" applyBorder="1" applyAlignment="1">
      <alignment horizontal="center" vertical="center" wrapText="1"/>
    </xf>
    <xf numFmtId="0" fontId="169" fillId="45" borderId="0" xfId="2890" applyFont="1" applyFill="1" applyBorder="1" applyAlignment="1">
      <alignment horizontal="center" vertical="center" wrapText="1"/>
    </xf>
    <xf numFmtId="0" fontId="9" fillId="45" borderId="0" xfId="0" applyFont="1" applyFill="1" applyAlignment="1">
      <alignment shrinkToFit="1"/>
    </xf>
    <xf numFmtId="0" fontId="13" fillId="45" borderId="1" xfId="0" applyFont="1" applyFill="1" applyBorder="1" applyAlignment="1">
      <alignment horizontal="center" vertical="center"/>
    </xf>
    <xf numFmtId="0" fontId="167" fillId="45" borderId="1" xfId="0" applyFont="1" applyFill="1" applyBorder="1" applyAlignment="1">
      <alignment horizontal="right" vertical="top" wrapText="1"/>
    </xf>
    <xf numFmtId="0" fontId="79" fillId="0" borderId="40" xfId="3437" applyFont="1" applyFill="1" applyBorder="1" applyAlignment="1">
      <alignment horizontal="center" vertical="center"/>
    </xf>
    <xf numFmtId="0" fontId="79" fillId="0" borderId="40" xfId="0" applyFont="1" applyFill="1" applyBorder="1" applyAlignment="1">
      <alignment horizontal="center" vertical="center"/>
    </xf>
    <xf numFmtId="0" fontId="79" fillId="0" borderId="40" xfId="0" applyFont="1" applyFill="1" applyBorder="1" applyAlignment="1">
      <alignment horizontal="center" vertical="center" shrinkToFit="1"/>
    </xf>
    <xf numFmtId="0" fontId="81" fillId="45" borderId="40" xfId="0" applyFont="1" applyFill="1" applyBorder="1" applyAlignment="1">
      <alignment horizontal="center" vertical="center"/>
    </xf>
    <xf numFmtId="0" fontId="4" fillId="45" borderId="1" xfId="3437" applyFont="1" applyFill="1" applyBorder="1" applyAlignment="1"/>
    <xf numFmtId="0" fontId="119" fillId="45" borderId="1" xfId="3437" applyFont="1" applyFill="1" applyBorder="1" applyAlignment="1"/>
    <xf numFmtId="0" fontId="112" fillId="45" borderId="40" xfId="3437" applyFont="1" applyFill="1" applyBorder="1" applyAlignment="1"/>
    <xf numFmtId="0" fontId="4" fillId="45" borderId="0" xfId="3437" applyFont="1" applyFill="1" applyBorder="1" applyAlignment="1">
      <alignment horizontal="center" vertical="top"/>
    </xf>
    <xf numFmtId="0" fontId="112" fillId="45" borderId="0" xfId="3437" applyFont="1" applyFill="1" applyBorder="1" applyAlignment="1"/>
    <xf numFmtId="0" fontId="167" fillId="45" borderId="0" xfId="0" applyFont="1" applyFill="1" applyBorder="1" applyAlignment="1">
      <alignment horizontal="right" vertical="top" wrapText="1"/>
    </xf>
    <xf numFmtId="0" fontId="167" fillId="45" borderId="0" xfId="0" applyFont="1" applyFill="1" applyBorder="1" applyAlignment="1">
      <alignment horizontal="left" vertical="center" wrapText="1"/>
    </xf>
    <xf numFmtId="1" fontId="103" fillId="45" borderId="1" xfId="0" applyNumberFormat="1" applyFont="1" applyFill="1" applyBorder="1" applyAlignment="1">
      <alignment horizontal="center" vertical="center"/>
    </xf>
    <xf numFmtId="1" fontId="163" fillId="45" borderId="1" xfId="0" applyNumberFormat="1" applyFont="1" applyFill="1" applyBorder="1" applyAlignment="1">
      <alignment horizontal="center" vertical="center" shrinkToFit="1"/>
    </xf>
    <xf numFmtId="0" fontId="171" fillId="45" borderId="1" xfId="0" applyFont="1" applyFill="1" applyBorder="1" applyAlignment="1">
      <alignment horizontal="left" vertical="center" wrapText="1" shrinkToFit="1"/>
    </xf>
    <xf numFmtId="46" fontId="162" fillId="45" borderId="1" xfId="0" applyNumberFormat="1" applyFont="1" applyFill="1" applyBorder="1" applyAlignment="1">
      <alignment horizontal="center" vertical="center" wrapText="1"/>
    </xf>
    <xf numFmtId="2" fontId="163" fillId="45" borderId="0" xfId="0" applyNumberFormat="1" applyFont="1" applyFill="1" applyAlignment="1">
      <alignment shrinkToFit="1"/>
    </xf>
    <xf numFmtId="0" fontId="163" fillId="45" borderId="0" xfId="0" applyFont="1" applyFill="1"/>
    <xf numFmtId="0" fontId="9" fillId="45" borderId="0" xfId="0" applyFont="1" applyFill="1" applyBorder="1" applyAlignment="1">
      <alignment shrinkToFit="1"/>
    </xf>
    <xf numFmtId="0" fontId="9" fillId="45" borderId="0" xfId="0" applyFont="1" applyFill="1" applyBorder="1"/>
    <xf numFmtId="0" fontId="163" fillId="45" borderId="0" xfId="0" applyFont="1" applyFill="1" applyBorder="1"/>
    <xf numFmtId="0" fontId="119" fillId="45" borderId="0" xfId="3437" applyFont="1" applyFill="1" applyBorder="1" applyAlignment="1"/>
    <xf numFmtId="46" fontId="129" fillId="45" borderId="1" xfId="0" applyNumberFormat="1" applyFont="1" applyFill="1" applyBorder="1" applyAlignment="1">
      <alignment horizontal="center" vertical="center" wrapText="1" shrinkToFit="1"/>
    </xf>
    <xf numFmtId="1" fontId="103" fillId="45" borderId="37" xfId="0" applyNumberFormat="1" applyFont="1" applyFill="1" applyBorder="1" applyAlignment="1">
      <alignment horizontal="center" vertical="center" wrapText="1"/>
    </xf>
    <xf numFmtId="166" fontId="103" fillId="45" borderId="1" xfId="0" applyNumberFormat="1" applyFont="1" applyFill="1" applyBorder="1" applyAlignment="1">
      <alignment horizontal="center" vertical="center" wrapText="1"/>
    </xf>
    <xf numFmtId="0" fontId="4" fillId="45" borderId="36" xfId="3437" applyFont="1" applyFill="1" applyBorder="1" applyAlignment="1"/>
    <xf numFmtId="2" fontId="103" fillId="45" borderId="41" xfId="0" applyNumberFormat="1" applyFont="1" applyFill="1" applyBorder="1" applyAlignment="1">
      <alignment horizontal="center" vertical="center" wrapText="1"/>
    </xf>
    <xf numFmtId="0" fontId="169" fillId="45" borderId="0" xfId="3437" applyFont="1" applyFill="1" applyAlignment="1"/>
    <xf numFmtId="0" fontId="174" fillId="45" borderId="0" xfId="3437" applyFont="1" applyFill="1" applyAlignment="1">
      <alignment vertical="center" wrapText="1"/>
    </xf>
    <xf numFmtId="46" fontId="154" fillId="45" borderId="0" xfId="3437" applyNumberFormat="1" applyFont="1" applyFill="1" applyAlignment="1"/>
    <xf numFmtId="0" fontId="154" fillId="45" borderId="0" xfId="3437" applyFont="1" applyFill="1" applyAlignment="1"/>
    <xf numFmtId="0" fontId="155" fillId="45" borderId="0" xfId="3437" applyFont="1" applyFill="1" applyAlignment="1"/>
    <xf numFmtId="0" fontId="154" fillId="45" borderId="0" xfId="3437" applyFont="1" applyFill="1" applyAlignment="1">
      <alignment horizontal="left"/>
    </xf>
    <xf numFmtId="0" fontId="173" fillId="45" borderId="0" xfId="3437" applyFont="1" applyFill="1" applyAlignment="1">
      <alignment vertical="center" wrapText="1"/>
    </xf>
    <xf numFmtId="0" fontId="155" fillId="45" borderId="0" xfId="3437" applyFont="1" applyFill="1" applyAlignment="1">
      <alignment horizontal="left"/>
    </xf>
    <xf numFmtId="0" fontId="174" fillId="45" borderId="0" xfId="3437" applyFont="1" applyFill="1" applyAlignment="1">
      <alignment horizontal="center" vertical="center" wrapText="1"/>
    </xf>
    <xf numFmtId="0" fontId="172" fillId="45" borderId="0" xfId="3437" applyFont="1" applyFill="1" applyBorder="1" applyAlignment="1">
      <alignment horizontal="center" vertical="center" wrapText="1"/>
    </xf>
    <xf numFmtId="1" fontId="162" fillId="45" borderId="37" xfId="0" applyNumberFormat="1" applyFont="1" applyFill="1" applyBorder="1" applyAlignment="1">
      <alignment horizontal="center" vertical="center" wrapText="1"/>
    </xf>
    <xf numFmtId="0" fontId="4" fillId="45" borderId="0" xfId="3437" applyNumberFormat="1" applyFont="1" applyFill="1" applyBorder="1" applyAlignment="1"/>
    <xf numFmtId="0" fontId="174" fillId="45" borderId="0" xfId="3437" applyFont="1" applyFill="1" applyBorder="1" applyAlignment="1">
      <alignment horizontal="left" vertical="top" wrapText="1"/>
    </xf>
    <xf numFmtId="165" fontId="107" fillId="0" borderId="1" xfId="2037" applyFont="1" applyFill="1" applyBorder="1" applyAlignment="1">
      <alignment horizontal="center" vertical="top" wrapText="1"/>
    </xf>
    <xf numFmtId="165" fontId="107" fillId="45" borderId="36" xfId="2037" applyFont="1" applyFill="1" applyBorder="1" applyAlignment="1">
      <alignment horizontal="center" vertical="top" wrapText="1"/>
    </xf>
    <xf numFmtId="165" fontId="107" fillId="45" borderId="1" xfId="2037" applyFont="1" applyFill="1" applyBorder="1" applyAlignment="1">
      <alignment horizontal="center" vertical="top" wrapText="1"/>
    </xf>
    <xf numFmtId="0" fontId="109" fillId="45" borderId="0" xfId="3437" applyFont="1" applyFill="1" applyBorder="1" applyAlignment="1">
      <alignment horizontal="center" vertical="center"/>
    </xf>
    <xf numFmtId="0" fontId="110" fillId="45" borderId="0" xfId="0" applyFont="1" applyFill="1" applyBorder="1" applyAlignment="1">
      <alignment horizontal="center" vertical="center"/>
    </xf>
    <xf numFmtId="2" fontId="109" fillId="45" borderId="0" xfId="3437" applyNumberFormat="1" applyFont="1" applyFill="1" applyBorder="1" applyAlignment="1">
      <alignment horizontal="center" vertical="center" wrapText="1"/>
    </xf>
    <xf numFmtId="0" fontId="4" fillId="45" borderId="0" xfId="0" applyFont="1" applyFill="1"/>
    <xf numFmtId="0" fontId="108" fillId="45" borderId="1" xfId="3437" applyFont="1" applyFill="1" applyBorder="1" applyAlignment="1">
      <alignment horizontal="center" vertical="center"/>
    </xf>
    <xf numFmtId="0" fontId="174" fillId="45" borderId="0" xfId="3437" applyFont="1" applyFill="1" applyAlignment="1">
      <alignment horizontal="left" vertical="center" wrapText="1"/>
    </xf>
    <xf numFmtId="0" fontId="176" fillId="0" borderId="0" xfId="3437" applyFont="1" applyFill="1" applyBorder="1" applyAlignment="1">
      <alignment horizontal="center" vertical="center"/>
    </xf>
    <xf numFmtId="21" fontId="4" fillId="45" borderId="0" xfId="3437" applyNumberFormat="1" applyFont="1" applyFill="1" applyBorder="1" applyAlignment="1"/>
    <xf numFmtId="0" fontId="166" fillId="45" borderId="0" xfId="0" applyFont="1" applyFill="1" applyAlignment="1">
      <alignment vertical="center"/>
    </xf>
    <xf numFmtId="1" fontId="176" fillId="0" borderId="1" xfId="3437" applyNumberFormat="1" applyFont="1" applyFill="1" applyBorder="1" applyAlignment="1">
      <alignment horizontal="center" vertical="center"/>
    </xf>
    <xf numFmtId="0" fontId="169" fillId="45" borderId="0" xfId="3437" applyFont="1" applyFill="1" applyBorder="1" applyAlignment="1"/>
    <xf numFmtId="165" fontId="107" fillId="45" borderId="1" xfId="2037" applyFont="1" applyFill="1" applyBorder="1" applyAlignment="1">
      <alignment horizontal="center" vertical="top" wrapText="1"/>
    </xf>
    <xf numFmtId="0" fontId="4" fillId="45" borderId="0" xfId="0" applyFont="1" applyFill="1"/>
    <xf numFmtId="1" fontId="110" fillId="45" borderId="0" xfId="3712" applyNumberFormat="1" applyFont="1" applyFill="1" applyBorder="1" applyAlignment="1">
      <alignment horizontal="center" vertical="center" shrinkToFit="1"/>
    </xf>
    <xf numFmtId="0" fontId="115" fillId="27" borderId="0" xfId="0" applyFont="1" applyFill="1" applyBorder="1" applyAlignment="1">
      <alignment horizontal="center" vertical="center" wrapText="1" shrinkToFit="1"/>
    </xf>
    <xf numFmtId="2" fontId="109" fillId="0" borderId="0" xfId="3437" applyNumberFormat="1" applyFont="1" applyFill="1" applyBorder="1" applyAlignment="1">
      <alignment horizontal="center" vertical="center" wrapText="1"/>
    </xf>
    <xf numFmtId="165" fontId="107" fillId="0" borderId="1" xfId="2037" applyFont="1" applyFill="1" applyBorder="1" applyAlignment="1">
      <alignment horizontal="center" vertical="top" wrapText="1"/>
    </xf>
    <xf numFmtId="0" fontId="108" fillId="0" borderId="1" xfId="3437" applyFont="1" applyFill="1" applyBorder="1" applyAlignment="1">
      <alignment horizontal="center" vertical="top" wrapText="1"/>
    </xf>
    <xf numFmtId="0" fontId="108" fillId="0" borderId="1" xfId="3437" applyFont="1" applyFill="1" applyBorder="1" applyAlignment="1">
      <alignment horizontal="center" vertical="top"/>
    </xf>
    <xf numFmtId="0" fontId="111" fillId="0" borderId="0" xfId="3437" applyFont="1" applyFill="1" applyBorder="1" applyAlignment="1">
      <alignment horizontal="center" vertical="center"/>
    </xf>
    <xf numFmtId="0" fontId="109" fillId="0" borderId="0" xfId="0" applyFont="1" applyFill="1" applyBorder="1" applyAlignment="1">
      <alignment horizontal="left" vertical="center"/>
    </xf>
    <xf numFmtId="0" fontId="110" fillId="0" borderId="0" xfId="0" applyFont="1" applyFill="1" applyBorder="1" applyAlignment="1">
      <alignment horizontal="center" vertical="center"/>
    </xf>
    <xf numFmtId="0" fontId="90" fillId="0" borderId="0" xfId="3437" applyFont="1" applyFill="1" applyBorder="1" applyAlignment="1">
      <alignment horizontal="center" vertical="center"/>
    </xf>
    <xf numFmtId="0" fontId="3" fillId="27" borderId="0" xfId="3437" applyFont="1" applyFill="1" applyBorder="1" applyAlignment="1">
      <alignment horizontal="left" vertical="center"/>
    </xf>
    <xf numFmtId="0" fontId="6" fillId="27" borderId="0" xfId="0" applyFont="1" applyFill="1" applyBorder="1" applyAlignment="1">
      <alignment horizontal="center" vertical="center"/>
    </xf>
    <xf numFmtId="0" fontId="6" fillId="27" borderId="35" xfId="3437" applyFont="1" applyFill="1" applyBorder="1" applyAlignment="1">
      <alignment horizontal="left" vertical="center"/>
    </xf>
    <xf numFmtId="165" fontId="7" fillId="27" borderId="1" xfId="2037" applyFont="1" applyFill="1" applyBorder="1" applyAlignment="1">
      <alignment horizontal="center" vertical="top" wrapText="1"/>
    </xf>
    <xf numFmtId="0" fontId="8" fillId="27" borderId="1" xfId="3437" applyFont="1" applyFill="1" applyBorder="1" applyAlignment="1">
      <alignment horizontal="center" vertical="top"/>
    </xf>
    <xf numFmtId="0" fontId="108" fillId="39" borderId="1" xfId="3437" applyFont="1" applyFill="1" applyBorder="1" applyAlignment="1">
      <alignment horizontal="center" vertical="top"/>
    </xf>
    <xf numFmtId="0" fontId="115" fillId="39" borderId="0" xfId="0" applyFont="1" applyFill="1" applyBorder="1" applyAlignment="1">
      <alignment horizontal="center" vertical="center" wrapText="1" shrinkToFit="1"/>
    </xf>
    <xf numFmtId="0" fontId="109" fillId="0" borderId="0" xfId="3437" applyFont="1" applyFill="1" applyBorder="1" applyAlignment="1">
      <alignment horizontal="left" vertical="center"/>
    </xf>
    <xf numFmtId="0" fontId="110" fillId="0" borderId="35" xfId="3437" applyFont="1" applyFill="1" applyBorder="1" applyAlignment="1">
      <alignment horizontal="center" vertical="center"/>
    </xf>
    <xf numFmtId="165" fontId="107" fillId="0" borderId="36" xfId="2037" applyFont="1" applyFill="1" applyBorder="1" applyAlignment="1">
      <alignment horizontal="center" vertical="top" wrapText="1"/>
    </xf>
    <xf numFmtId="165" fontId="107" fillId="0" borderId="37" xfId="2037" applyFont="1" applyFill="1" applyBorder="1" applyAlignment="1">
      <alignment horizontal="center" vertical="top" wrapText="1"/>
    </xf>
    <xf numFmtId="0" fontId="12" fillId="0" borderId="30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top" wrapText="1"/>
    </xf>
    <xf numFmtId="0" fontId="12" fillId="0" borderId="31" xfId="0" applyFont="1" applyFill="1" applyBorder="1" applyAlignment="1">
      <alignment horizontal="left" vertical="top" wrapText="1"/>
    </xf>
    <xf numFmtId="0" fontId="12" fillId="0" borderId="32" xfId="0" applyFont="1" applyFill="1" applyBorder="1" applyAlignment="1">
      <alignment horizontal="left" vertical="top" wrapText="1"/>
    </xf>
    <xf numFmtId="0" fontId="12" fillId="0" borderId="33" xfId="0" applyFont="1" applyFill="1" applyBorder="1" applyAlignment="1">
      <alignment horizontal="left" vertical="top" wrapText="1"/>
    </xf>
    <xf numFmtId="0" fontId="12" fillId="0" borderId="34" xfId="0" applyFont="1" applyFill="1" applyBorder="1" applyAlignment="1">
      <alignment horizontal="left" vertical="top" wrapText="1"/>
    </xf>
    <xf numFmtId="0" fontId="107" fillId="0" borderId="1" xfId="3437" applyFont="1" applyFill="1" applyBorder="1" applyAlignment="1">
      <alignment horizontal="center" vertical="top"/>
    </xf>
    <xf numFmtId="0" fontId="118" fillId="0" borderId="30" xfId="0" applyFont="1" applyFill="1" applyBorder="1" applyAlignment="1">
      <alignment horizontal="left" vertical="top" wrapText="1"/>
    </xf>
    <xf numFmtId="0" fontId="118" fillId="0" borderId="11" xfId="0" applyFont="1" applyFill="1" applyBorder="1" applyAlignment="1">
      <alignment horizontal="left" vertical="top" wrapText="1"/>
    </xf>
    <xf numFmtId="0" fontId="118" fillId="0" borderId="31" xfId="0" applyFont="1" applyFill="1" applyBorder="1" applyAlignment="1">
      <alignment horizontal="left" vertical="top" wrapText="1"/>
    </xf>
    <xf numFmtId="0" fontId="118" fillId="0" borderId="32" xfId="0" applyFont="1" applyFill="1" applyBorder="1" applyAlignment="1">
      <alignment horizontal="left" vertical="top" wrapText="1"/>
    </xf>
    <xf numFmtId="0" fontId="118" fillId="0" borderId="33" xfId="0" applyFont="1" applyFill="1" applyBorder="1" applyAlignment="1">
      <alignment horizontal="left" vertical="top" wrapText="1"/>
    </xf>
    <xf numFmtId="0" fontId="118" fillId="0" borderId="34" xfId="0" applyFont="1" applyFill="1" applyBorder="1" applyAlignment="1">
      <alignment horizontal="left" vertical="top" wrapText="1"/>
    </xf>
    <xf numFmtId="0" fontId="109" fillId="0" borderId="0" xfId="3437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32" xfId="0" applyFont="1" applyFill="1" applyBorder="1" applyAlignment="1">
      <alignment horizontal="left" vertical="center" wrapText="1"/>
    </xf>
    <xf numFmtId="0" fontId="12" fillId="0" borderId="33" xfId="0" applyFont="1" applyFill="1" applyBorder="1" applyAlignment="1">
      <alignment horizontal="left" vertical="center" wrapText="1"/>
    </xf>
    <xf numFmtId="0" fontId="12" fillId="0" borderId="34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115" fillId="0" borderId="0" xfId="0" applyFont="1" applyFill="1" applyBorder="1" applyAlignment="1">
      <alignment horizontal="center" vertical="center" wrapText="1" shrinkToFit="1"/>
    </xf>
    <xf numFmtId="0" fontId="0" fillId="0" borderId="0" xfId="0"/>
    <xf numFmtId="0" fontId="3" fillId="0" borderId="0" xfId="3437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5" xfId="3437" applyFont="1" applyFill="1" applyBorder="1" applyAlignment="1">
      <alignment horizontal="left" vertical="center"/>
    </xf>
    <xf numFmtId="165" fontId="7" fillId="0" borderId="1" xfId="2037" applyFont="1" applyFill="1" applyBorder="1" applyAlignment="1">
      <alignment horizontal="center" vertical="top" wrapText="1"/>
    </xf>
    <xf numFmtId="165" fontId="7" fillId="0" borderId="36" xfId="2037" applyFont="1" applyFill="1" applyBorder="1" applyAlignment="1">
      <alignment horizontal="center" vertical="top" wrapText="1"/>
    </xf>
    <xf numFmtId="165" fontId="7" fillId="0" borderId="37" xfId="2037" applyFont="1" applyFill="1" applyBorder="1" applyAlignment="1">
      <alignment horizontal="center" vertical="top" wrapText="1"/>
    </xf>
    <xf numFmtId="0" fontId="8" fillId="0" borderId="1" xfId="3437" applyFont="1" applyFill="1" applyBorder="1" applyAlignment="1">
      <alignment horizontal="center" vertical="top"/>
    </xf>
    <xf numFmtId="165" fontId="107" fillId="44" borderId="1" xfId="2037" applyFont="1" applyFill="1" applyBorder="1" applyAlignment="1">
      <alignment horizontal="center" vertical="top" wrapText="1"/>
    </xf>
    <xf numFmtId="165" fontId="108" fillId="0" borderId="1" xfId="2037" applyFont="1" applyFill="1" applyBorder="1" applyAlignment="1">
      <alignment horizontal="center" vertical="top" wrapText="1"/>
    </xf>
    <xf numFmtId="165" fontId="108" fillId="0" borderId="36" xfId="2037" applyFont="1" applyFill="1" applyBorder="1" applyAlignment="1">
      <alignment horizontal="left" vertical="top" wrapText="1"/>
    </xf>
    <xf numFmtId="165" fontId="108" fillId="0" borderId="37" xfId="2037" applyFont="1" applyFill="1" applyBorder="1" applyAlignment="1">
      <alignment horizontal="left" vertical="top" wrapText="1"/>
    </xf>
    <xf numFmtId="165" fontId="108" fillId="47" borderId="1" xfId="2037" applyFont="1" applyFill="1" applyBorder="1" applyAlignment="1">
      <alignment horizontal="center" vertical="top" wrapText="1"/>
    </xf>
    <xf numFmtId="0" fontId="110" fillId="0" borderId="30" xfId="0" applyFont="1" applyFill="1" applyBorder="1" applyAlignment="1">
      <alignment horizontal="left" vertical="top" wrapText="1"/>
    </xf>
    <xf numFmtId="0" fontId="110" fillId="0" borderId="11" xfId="0" applyFont="1" applyFill="1" applyBorder="1" applyAlignment="1">
      <alignment horizontal="left" vertical="top" wrapText="1"/>
    </xf>
    <xf numFmtId="0" fontId="110" fillId="0" borderId="31" xfId="0" applyFont="1" applyFill="1" applyBorder="1" applyAlignment="1">
      <alignment horizontal="left" vertical="top" wrapText="1"/>
    </xf>
    <xf numFmtId="0" fontId="110" fillId="0" borderId="32" xfId="0" applyFont="1" applyFill="1" applyBorder="1" applyAlignment="1">
      <alignment horizontal="left" vertical="top" wrapText="1"/>
    </xf>
    <xf numFmtId="0" fontId="110" fillId="0" borderId="33" xfId="0" applyFont="1" applyFill="1" applyBorder="1" applyAlignment="1">
      <alignment horizontal="left" vertical="top" wrapText="1"/>
    </xf>
    <xf numFmtId="0" fontId="110" fillId="0" borderId="34" xfId="0" applyFont="1" applyFill="1" applyBorder="1" applyAlignment="1">
      <alignment horizontal="left" vertical="top" wrapText="1"/>
    </xf>
    <xf numFmtId="0" fontId="110" fillId="0" borderId="30" xfId="0" applyFont="1" applyFill="1" applyBorder="1" applyAlignment="1">
      <alignment horizontal="left" vertical="center" wrapText="1"/>
    </xf>
    <xf numFmtId="0" fontId="110" fillId="0" borderId="11" xfId="0" applyFont="1" applyFill="1" applyBorder="1" applyAlignment="1">
      <alignment horizontal="left" vertical="center" wrapText="1"/>
    </xf>
    <xf numFmtId="0" fontId="110" fillId="0" borderId="31" xfId="0" applyFont="1" applyFill="1" applyBorder="1" applyAlignment="1">
      <alignment horizontal="left" vertical="center" wrapText="1"/>
    </xf>
    <xf numFmtId="0" fontId="110" fillId="0" borderId="9" xfId="0" applyFont="1" applyFill="1" applyBorder="1" applyAlignment="1">
      <alignment horizontal="left" vertical="center" wrapText="1"/>
    </xf>
    <xf numFmtId="0" fontId="110" fillId="0" borderId="0" xfId="0" applyFont="1" applyFill="1" applyBorder="1" applyAlignment="1">
      <alignment horizontal="left" vertical="center" wrapText="1"/>
    </xf>
    <xf numFmtId="0" fontId="110" fillId="0" borderId="13" xfId="0" applyFont="1" applyFill="1" applyBorder="1" applyAlignment="1">
      <alignment horizontal="left" vertical="center" wrapText="1"/>
    </xf>
    <xf numFmtId="0" fontId="110" fillId="0" borderId="32" xfId="0" applyFont="1" applyFill="1" applyBorder="1" applyAlignment="1">
      <alignment horizontal="left" vertical="center" wrapText="1"/>
    </xf>
    <xf numFmtId="0" fontId="110" fillId="0" borderId="33" xfId="0" applyFont="1" applyFill="1" applyBorder="1" applyAlignment="1">
      <alignment horizontal="left" vertical="center" wrapText="1"/>
    </xf>
    <xf numFmtId="0" fontId="110" fillId="0" borderId="34" xfId="0" applyFont="1" applyFill="1" applyBorder="1" applyAlignment="1">
      <alignment horizontal="left" vertical="center" wrapText="1"/>
    </xf>
    <xf numFmtId="0" fontId="111" fillId="52" borderId="0" xfId="3437" applyFont="1" applyFill="1" applyBorder="1" applyAlignment="1">
      <alignment horizontal="center" vertical="center"/>
    </xf>
    <xf numFmtId="0" fontId="110" fillId="0" borderId="35" xfId="3437" applyFont="1" applyFill="1" applyBorder="1" applyAlignment="1">
      <alignment horizontal="left" vertical="center"/>
    </xf>
    <xf numFmtId="0" fontId="12" fillId="45" borderId="30" xfId="0" applyFont="1" applyFill="1" applyBorder="1" applyAlignment="1">
      <alignment horizontal="left" vertical="top" wrapText="1"/>
    </xf>
    <xf numFmtId="0" fontId="12" fillId="45" borderId="11" xfId="0" applyFont="1" applyFill="1" applyBorder="1" applyAlignment="1">
      <alignment horizontal="left" vertical="top" wrapText="1"/>
    </xf>
    <xf numFmtId="0" fontId="12" fillId="45" borderId="31" xfId="0" applyFont="1" applyFill="1" applyBorder="1" applyAlignment="1">
      <alignment horizontal="left" vertical="top" wrapText="1"/>
    </xf>
    <xf numFmtId="0" fontId="12" fillId="45" borderId="32" xfId="0" applyFont="1" applyFill="1" applyBorder="1" applyAlignment="1">
      <alignment horizontal="left" vertical="top" wrapText="1"/>
    </xf>
    <xf numFmtId="0" fontId="12" fillId="45" borderId="33" xfId="0" applyFont="1" applyFill="1" applyBorder="1" applyAlignment="1">
      <alignment horizontal="left" vertical="top" wrapText="1"/>
    </xf>
    <xf numFmtId="0" fontId="12" fillId="45" borderId="34" xfId="0" applyFont="1" applyFill="1" applyBorder="1" applyAlignment="1">
      <alignment horizontal="left" vertical="top" wrapText="1"/>
    </xf>
    <xf numFmtId="0" fontId="109" fillId="45" borderId="0" xfId="3437" applyFont="1" applyFill="1" applyBorder="1" applyAlignment="1">
      <alignment horizontal="center" vertical="center"/>
    </xf>
    <xf numFmtId="0" fontId="109" fillId="45" borderId="0" xfId="0" applyFont="1" applyFill="1" applyBorder="1" applyAlignment="1">
      <alignment horizontal="left" vertical="center"/>
    </xf>
    <xf numFmtId="0" fontId="110" fillId="45" borderId="0" xfId="0" applyFont="1" applyFill="1" applyBorder="1" applyAlignment="1">
      <alignment horizontal="center" vertical="center"/>
    </xf>
    <xf numFmtId="165" fontId="107" fillId="45" borderId="1" xfId="2037" applyFont="1" applyFill="1" applyBorder="1" applyAlignment="1">
      <alignment horizontal="center" vertical="top" wrapText="1"/>
    </xf>
    <xf numFmtId="0" fontId="108" fillId="45" borderId="1" xfId="3437" applyFont="1" applyFill="1" applyBorder="1" applyAlignment="1">
      <alignment horizontal="center" vertical="top" wrapText="1"/>
    </xf>
    <xf numFmtId="0" fontId="108" fillId="45" borderId="1" xfId="3437" applyFont="1" applyFill="1" applyBorder="1" applyAlignment="1">
      <alignment horizontal="center" vertical="top"/>
    </xf>
    <xf numFmtId="0" fontId="12" fillId="45" borderId="30" xfId="0" applyFont="1" applyFill="1" applyBorder="1" applyAlignment="1">
      <alignment horizontal="left" vertical="center" wrapText="1"/>
    </xf>
    <xf numFmtId="0" fontId="12" fillId="45" borderId="11" xfId="0" applyFont="1" applyFill="1" applyBorder="1" applyAlignment="1">
      <alignment horizontal="left" vertical="center" wrapText="1"/>
    </xf>
    <xf numFmtId="0" fontId="12" fillId="45" borderId="31" xfId="0" applyFont="1" applyFill="1" applyBorder="1" applyAlignment="1">
      <alignment horizontal="left" vertical="center" wrapText="1"/>
    </xf>
    <xf numFmtId="0" fontId="12" fillId="45" borderId="9" xfId="0" applyFont="1" applyFill="1" applyBorder="1" applyAlignment="1">
      <alignment horizontal="left" vertical="center" wrapText="1"/>
    </xf>
    <xf numFmtId="0" fontId="12" fillId="45" borderId="0" xfId="0" applyFont="1" applyFill="1" applyBorder="1" applyAlignment="1">
      <alignment horizontal="left" vertical="center" wrapText="1"/>
    </xf>
    <xf numFmtId="0" fontId="12" fillId="45" borderId="13" xfId="0" applyFont="1" applyFill="1" applyBorder="1" applyAlignment="1">
      <alignment horizontal="left" vertical="center" wrapText="1"/>
    </xf>
    <xf numFmtId="0" fontId="12" fillId="45" borderId="32" xfId="0" applyFont="1" applyFill="1" applyBorder="1" applyAlignment="1">
      <alignment horizontal="left" vertical="center" wrapText="1"/>
    </xf>
    <xf numFmtId="0" fontId="12" fillId="45" borderId="33" xfId="0" applyFont="1" applyFill="1" applyBorder="1" applyAlignment="1">
      <alignment horizontal="left" vertical="center" wrapText="1"/>
    </xf>
    <xf numFmtId="0" fontId="12" fillId="45" borderId="34" xfId="0" applyFont="1" applyFill="1" applyBorder="1" applyAlignment="1">
      <alignment horizontal="left" vertical="center" wrapText="1"/>
    </xf>
    <xf numFmtId="2" fontId="109" fillId="45" borderId="0" xfId="3437" applyNumberFormat="1" applyFont="1" applyFill="1" applyBorder="1" applyAlignment="1">
      <alignment horizontal="center" vertical="center" wrapText="1"/>
    </xf>
    <xf numFmtId="0" fontId="3" fillId="45" borderId="29" xfId="0" applyFont="1" applyFill="1" applyBorder="1" applyAlignment="1">
      <alignment horizontal="left" vertical="center" wrapText="1"/>
    </xf>
    <xf numFmtId="0" fontId="9" fillId="45" borderId="29" xfId="0" applyFont="1" applyFill="1" applyBorder="1" applyAlignment="1">
      <alignment horizontal="left" vertical="center" wrapText="1"/>
    </xf>
    <xf numFmtId="0" fontId="109" fillId="45" borderId="0" xfId="0" applyFont="1" applyFill="1" applyBorder="1" applyAlignment="1">
      <alignment horizontal="center" vertical="center" wrapText="1" shrinkToFit="1"/>
    </xf>
    <xf numFmtId="0" fontId="8" fillId="45" borderId="0" xfId="0" applyFont="1" applyFill="1" applyAlignment="1">
      <alignment horizontal="left" vertical="center" wrapText="1"/>
    </xf>
    <xf numFmtId="0" fontId="111" fillId="45" borderId="0" xfId="3437" applyFont="1" applyFill="1" applyBorder="1" applyAlignment="1">
      <alignment horizontal="center" vertical="center"/>
    </xf>
    <xf numFmtId="0" fontId="109" fillId="45" borderId="0" xfId="3437" applyFont="1" applyFill="1" applyBorder="1" applyAlignment="1">
      <alignment horizontal="left" vertical="center"/>
    </xf>
    <xf numFmtId="0" fontId="110" fillId="45" borderId="35" xfId="3437" applyFont="1" applyFill="1" applyBorder="1" applyAlignment="1">
      <alignment horizontal="center" vertical="center"/>
    </xf>
    <xf numFmtId="165" fontId="108" fillId="45" borderId="1" xfId="2037" applyFont="1" applyFill="1" applyBorder="1" applyAlignment="1">
      <alignment horizontal="center" vertical="top" wrapText="1"/>
    </xf>
    <xf numFmtId="165" fontId="108" fillId="45" borderId="36" xfId="2037" applyFont="1" applyFill="1" applyBorder="1" applyAlignment="1">
      <alignment horizontal="left" vertical="top" wrapText="1"/>
    </xf>
    <xf numFmtId="165" fontId="108" fillId="45" borderId="37" xfId="2037" applyFont="1" applyFill="1" applyBorder="1" applyAlignment="1">
      <alignment horizontal="left" vertical="top" wrapText="1"/>
    </xf>
    <xf numFmtId="0" fontId="4" fillId="45" borderId="0" xfId="0" applyFont="1" applyFill="1"/>
    <xf numFmtId="0" fontId="118" fillId="45" borderId="30" xfId="0" applyFont="1" applyFill="1" applyBorder="1" applyAlignment="1">
      <alignment horizontal="left" vertical="top" wrapText="1"/>
    </xf>
    <xf numFmtId="0" fontId="118" fillId="45" borderId="11" xfId="0" applyFont="1" applyFill="1" applyBorder="1" applyAlignment="1">
      <alignment horizontal="left" vertical="top" wrapText="1"/>
    </xf>
    <xf numFmtId="0" fontId="118" fillId="45" borderId="31" xfId="0" applyFont="1" applyFill="1" applyBorder="1" applyAlignment="1">
      <alignment horizontal="left" vertical="top" wrapText="1"/>
    </xf>
    <xf numFmtId="0" fontId="110" fillId="45" borderId="35" xfId="3437" applyFont="1" applyFill="1" applyBorder="1" applyAlignment="1">
      <alignment horizontal="left" vertical="center"/>
    </xf>
    <xf numFmtId="165" fontId="108" fillId="45" borderId="1" xfId="2037" applyFont="1" applyFill="1" applyBorder="1" applyAlignment="1">
      <alignment horizontal="center" vertical="center" wrapText="1"/>
    </xf>
    <xf numFmtId="0" fontId="110" fillId="45" borderId="30" xfId="0" applyFont="1" applyFill="1" applyBorder="1" applyAlignment="1">
      <alignment horizontal="left" vertical="top" wrapText="1"/>
    </xf>
    <xf numFmtId="0" fontId="110" fillId="45" borderId="11" xfId="0" applyFont="1" applyFill="1" applyBorder="1" applyAlignment="1">
      <alignment horizontal="left" vertical="top" wrapText="1"/>
    </xf>
    <xf numFmtId="0" fontId="110" fillId="45" borderId="31" xfId="0" applyFont="1" applyFill="1" applyBorder="1" applyAlignment="1">
      <alignment horizontal="left" vertical="top" wrapText="1"/>
    </xf>
    <xf numFmtId="0" fontId="110" fillId="45" borderId="32" xfId="0" applyFont="1" applyFill="1" applyBorder="1" applyAlignment="1">
      <alignment horizontal="left" vertical="top" wrapText="1"/>
    </xf>
    <xf numFmtId="0" fontId="110" fillId="45" borderId="33" xfId="0" applyFont="1" applyFill="1" applyBorder="1" applyAlignment="1">
      <alignment horizontal="left" vertical="top" wrapText="1"/>
    </xf>
    <xf numFmtId="0" fontId="110" fillId="45" borderId="34" xfId="0" applyFont="1" applyFill="1" applyBorder="1" applyAlignment="1">
      <alignment horizontal="left" vertical="top" wrapText="1"/>
    </xf>
    <xf numFmtId="0" fontId="108" fillId="45" borderId="1" xfId="3437" applyFont="1" applyFill="1" applyBorder="1" applyAlignment="1">
      <alignment horizontal="center" vertical="center"/>
    </xf>
    <xf numFmtId="0" fontId="110" fillId="45" borderId="30" xfId="0" applyFont="1" applyFill="1" applyBorder="1" applyAlignment="1">
      <alignment horizontal="left" vertical="center" wrapText="1"/>
    </xf>
    <xf numFmtId="0" fontId="110" fillId="45" borderId="11" xfId="0" applyFont="1" applyFill="1" applyBorder="1" applyAlignment="1">
      <alignment horizontal="left" vertical="center" wrapText="1"/>
    </xf>
    <xf numFmtId="0" fontId="110" fillId="45" borderId="31" xfId="0" applyFont="1" applyFill="1" applyBorder="1" applyAlignment="1">
      <alignment horizontal="left" vertical="center" wrapText="1"/>
    </xf>
    <xf numFmtId="0" fontId="110" fillId="45" borderId="9" xfId="0" applyFont="1" applyFill="1" applyBorder="1" applyAlignment="1">
      <alignment horizontal="left" vertical="center" wrapText="1"/>
    </xf>
    <xf numFmtId="0" fontId="110" fillId="45" borderId="0" xfId="0" applyFont="1" applyFill="1" applyBorder="1" applyAlignment="1">
      <alignment horizontal="left" vertical="center" wrapText="1"/>
    </xf>
    <xf numFmtId="0" fontId="110" fillId="45" borderId="13" xfId="0" applyFont="1" applyFill="1" applyBorder="1" applyAlignment="1">
      <alignment horizontal="left" vertical="center" wrapText="1"/>
    </xf>
    <xf numFmtId="0" fontId="110" fillId="45" borderId="32" xfId="0" applyFont="1" applyFill="1" applyBorder="1" applyAlignment="1">
      <alignment horizontal="left" vertical="center" wrapText="1"/>
    </xf>
    <xf numFmtId="0" fontId="110" fillId="45" borderId="33" xfId="0" applyFont="1" applyFill="1" applyBorder="1" applyAlignment="1">
      <alignment horizontal="left" vertical="center" wrapText="1"/>
    </xf>
    <xf numFmtId="0" fontId="110" fillId="45" borderId="34" xfId="0" applyFont="1" applyFill="1" applyBorder="1" applyAlignment="1">
      <alignment horizontal="left" vertical="center" wrapText="1"/>
    </xf>
    <xf numFmtId="0" fontId="109" fillId="45" borderId="29" xfId="0" applyFont="1" applyFill="1" applyBorder="1" applyAlignment="1">
      <alignment horizontal="left" vertical="top" wrapText="1"/>
    </xf>
    <xf numFmtId="0" fontId="109" fillId="45" borderId="39" xfId="0" applyFont="1" applyFill="1" applyBorder="1" applyAlignment="1">
      <alignment horizontal="left" vertical="top" wrapText="1"/>
    </xf>
    <xf numFmtId="1" fontId="110" fillId="45" borderId="0" xfId="3712" applyNumberFormat="1" applyFont="1" applyFill="1" applyBorder="1" applyAlignment="1">
      <alignment horizontal="left" vertical="center" shrinkToFit="1"/>
    </xf>
    <xf numFmtId="1" fontId="159" fillId="45" borderId="0" xfId="3712" applyNumberFormat="1" applyFont="1" applyFill="1" applyBorder="1" applyAlignment="1">
      <alignment horizontal="center" vertical="center" shrinkToFit="1"/>
    </xf>
    <xf numFmtId="165" fontId="107" fillId="59" borderId="1" xfId="2037" applyFont="1" applyFill="1" applyBorder="1" applyAlignment="1">
      <alignment horizontal="center" vertical="top" wrapText="1"/>
    </xf>
    <xf numFmtId="0" fontId="158" fillId="45" borderId="0" xfId="0" applyFont="1" applyFill="1"/>
    <xf numFmtId="0" fontId="157" fillId="45" borderId="0" xfId="0" applyFont="1" applyFill="1"/>
    <xf numFmtId="165" fontId="108" fillId="44" borderId="1" xfId="2037" applyFont="1" applyFill="1" applyBorder="1" applyAlignment="1">
      <alignment horizontal="center" vertical="top" wrapText="1"/>
    </xf>
    <xf numFmtId="165" fontId="108" fillId="53" borderId="1" xfId="2037" applyFont="1" applyFill="1" applyBorder="1" applyAlignment="1">
      <alignment horizontal="center" vertical="top" wrapText="1"/>
    </xf>
    <xf numFmtId="0" fontId="153" fillId="0" borderId="0" xfId="3437" applyFont="1" applyFill="1" applyAlignment="1">
      <alignment horizontal="center" vertical="center" wrapText="1"/>
    </xf>
    <xf numFmtId="0" fontId="156" fillId="0" borderId="29" xfId="3437" applyFont="1" applyFill="1" applyBorder="1" applyAlignment="1">
      <alignment horizontal="left" vertical="center" wrapText="1"/>
    </xf>
    <xf numFmtId="165" fontId="108" fillId="44" borderId="1" xfId="2037" applyFont="1" applyFill="1" applyBorder="1" applyAlignment="1">
      <alignment horizontal="center" vertical="center" wrapText="1"/>
    </xf>
    <xf numFmtId="165" fontId="108" fillId="53" borderId="1" xfId="2037" applyFont="1" applyFill="1" applyBorder="1" applyAlignment="1">
      <alignment horizontal="center" vertical="center" wrapText="1"/>
    </xf>
    <xf numFmtId="1" fontId="161" fillId="45" borderId="0" xfId="3712" applyNumberFormat="1" applyFont="1" applyFill="1" applyBorder="1" applyAlignment="1">
      <alignment horizontal="left" vertical="center" shrinkToFit="1"/>
    </xf>
    <xf numFmtId="1" fontId="109" fillId="45" borderId="40" xfId="3712" applyNumberFormat="1" applyFont="1" applyFill="1" applyBorder="1" applyAlignment="1">
      <alignment horizontal="left" vertical="center" wrapText="1" shrinkToFit="1"/>
    </xf>
    <xf numFmtId="1" fontId="109" fillId="45" borderId="16" xfId="3712" applyNumberFormat="1" applyFont="1" applyFill="1" applyBorder="1" applyAlignment="1">
      <alignment horizontal="left" vertical="center" wrapText="1" shrinkToFit="1"/>
    </xf>
    <xf numFmtId="1" fontId="109" fillId="45" borderId="38" xfId="3712" applyNumberFormat="1" applyFont="1" applyFill="1" applyBorder="1" applyAlignment="1">
      <alignment horizontal="left" vertical="center" wrapText="1" shrinkToFit="1"/>
    </xf>
    <xf numFmtId="165" fontId="107" fillId="61" borderId="1" xfId="2037" applyFont="1" applyFill="1" applyBorder="1" applyAlignment="1">
      <alignment horizontal="center" vertical="top" wrapText="1"/>
    </xf>
    <xf numFmtId="165" fontId="108" fillId="61" borderId="1" xfId="2037" applyFont="1" applyFill="1" applyBorder="1" applyAlignment="1">
      <alignment horizontal="center" vertical="top" wrapText="1"/>
    </xf>
    <xf numFmtId="165" fontId="108" fillId="61" borderId="1" xfId="2037" applyFont="1" applyFill="1" applyBorder="1" applyAlignment="1">
      <alignment horizontal="center" vertical="center" wrapText="1"/>
    </xf>
    <xf numFmtId="0" fontId="108" fillId="45" borderId="1" xfId="3437" applyFont="1" applyFill="1" applyBorder="1" applyAlignment="1">
      <alignment horizontal="left" vertical="top" wrapText="1"/>
    </xf>
    <xf numFmtId="0" fontId="108" fillId="0" borderId="40" xfId="3437" applyFont="1" applyFill="1" applyBorder="1" applyAlignment="1">
      <alignment horizontal="center" vertical="top" wrapText="1"/>
    </xf>
    <xf numFmtId="0" fontId="108" fillId="0" borderId="16" xfId="3437" applyFont="1" applyFill="1" applyBorder="1" applyAlignment="1">
      <alignment horizontal="center" vertical="top" wrapText="1"/>
    </xf>
    <xf numFmtId="0" fontId="108" fillId="0" borderId="38" xfId="3437" applyFont="1" applyFill="1" applyBorder="1" applyAlignment="1">
      <alignment horizontal="center" vertical="top" wrapText="1"/>
    </xf>
    <xf numFmtId="0" fontId="175" fillId="45" borderId="1" xfId="3437" applyFont="1" applyFill="1" applyBorder="1" applyAlignment="1">
      <alignment horizontal="left" vertical="top" wrapText="1"/>
    </xf>
    <xf numFmtId="0" fontId="107" fillId="45" borderId="1" xfId="3437" applyFont="1" applyFill="1" applyBorder="1" applyAlignment="1">
      <alignment horizontal="center" vertical="top"/>
    </xf>
    <xf numFmtId="0" fontId="108" fillId="45" borderId="40" xfId="3437" applyFont="1" applyFill="1" applyBorder="1" applyAlignment="1">
      <alignment horizontal="center" vertical="top" wrapText="1"/>
    </xf>
    <xf numFmtId="0" fontId="108" fillId="45" borderId="16" xfId="3437" applyFont="1" applyFill="1" applyBorder="1" applyAlignment="1">
      <alignment horizontal="center" vertical="top" wrapText="1"/>
    </xf>
    <xf numFmtId="0" fontId="108" fillId="45" borderId="38" xfId="3437" applyFont="1" applyFill="1" applyBorder="1" applyAlignment="1">
      <alignment horizontal="center" vertical="top" wrapText="1"/>
    </xf>
    <xf numFmtId="165" fontId="107" fillId="45" borderId="36" xfId="2037" applyFont="1" applyFill="1" applyBorder="1" applyAlignment="1">
      <alignment horizontal="center" vertical="top" wrapText="1"/>
    </xf>
    <xf numFmtId="165" fontId="107" fillId="45" borderId="37" xfId="2037" applyFont="1" applyFill="1" applyBorder="1" applyAlignment="1">
      <alignment horizontal="center" vertical="top" wrapText="1"/>
    </xf>
    <xf numFmtId="165" fontId="107" fillId="45" borderId="40" xfId="2037" applyFont="1" applyFill="1" applyBorder="1" applyAlignment="1">
      <alignment horizontal="center" vertical="top" wrapText="1"/>
    </xf>
    <xf numFmtId="165" fontId="107" fillId="45" borderId="16" xfId="2037" applyFont="1" applyFill="1" applyBorder="1" applyAlignment="1">
      <alignment horizontal="center" vertical="top" wrapText="1"/>
    </xf>
    <xf numFmtId="165" fontId="107" fillId="45" borderId="38" xfId="2037" applyFont="1" applyFill="1" applyBorder="1" applyAlignment="1">
      <alignment horizontal="center" vertical="top" wrapText="1"/>
    </xf>
    <xf numFmtId="0" fontId="174" fillId="45" borderId="0" xfId="3437" applyFont="1" applyFill="1" applyAlignment="1">
      <alignment horizontal="left" vertical="center" wrapText="1"/>
    </xf>
    <xf numFmtId="0" fontId="154" fillId="45" borderId="40" xfId="3437" applyFont="1" applyFill="1" applyBorder="1" applyAlignment="1">
      <alignment horizontal="left" vertical="top" wrapText="1"/>
    </xf>
    <xf numFmtId="0" fontId="154" fillId="45" borderId="16" xfId="3437" applyFont="1" applyFill="1" applyBorder="1" applyAlignment="1">
      <alignment horizontal="left" vertical="top" wrapText="1"/>
    </xf>
    <xf numFmtId="0" fontId="154" fillId="45" borderId="38" xfId="3437" applyFont="1" applyFill="1" applyBorder="1" applyAlignment="1">
      <alignment horizontal="left" vertical="top" wrapText="1"/>
    </xf>
    <xf numFmtId="0" fontId="6" fillId="45" borderId="35" xfId="3437" applyFont="1" applyFill="1" applyBorder="1" applyAlignment="1">
      <alignment horizontal="left" vertical="center"/>
    </xf>
    <xf numFmtId="165" fontId="7" fillId="45" borderId="1" xfId="2037" applyFont="1" applyFill="1" applyBorder="1" applyAlignment="1">
      <alignment horizontal="center" vertical="top" wrapText="1"/>
    </xf>
  </cellXfs>
  <cellStyles count="3714">
    <cellStyle name="_2009-10 Spill over work details" xfId="1"/>
    <cellStyle name="_AT&amp;C FY 2009-10" xfId="2"/>
    <cellStyle name="_ATC Loss _ T&amp;D Loss-April-09 of Madhugiri Divivision" xfId="3"/>
    <cellStyle name="_ATC Loss _ T&amp;D Loss-April-09 of Madhugiri Divivision_C1 to C10_Format_Meeting_Dec-09" xfId="4"/>
    <cellStyle name="_ATC Loss _ T&amp;D Loss-April-09 of Madhugiri Divivision_DTC Wse Energy Audit Dec-09 Madhugiri dvn 05.01.10" xfId="5"/>
    <cellStyle name="_ATC Loss _ T&amp;D Loss-April-09 of Madhugiri Divivision_DTC Wse Energy Audit FEB-10 Madhugiri dvn" xfId="6"/>
    <cellStyle name="_ATC Loss _ T&amp;D Loss-April-09 of Madhugiri Divivision_DTC_EA_MADHUGIRI__DIVISION_new" xfId="7"/>
    <cellStyle name="_ATC Loss _ T&amp;D Loss-Aug-09 of Madhugiri Divivision" xfId="8"/>
    <cellStyle name="_ATC Loss _ T&amp;D Loss-Aug-09 of Madhugiri Divivision_C1 to C10_Format_Meeting_Dec-09" xfId="9"/>
    <cellStyle name="_ATC Loss _ T&amp;D Loss-Aug-09 of Madhugiri Divivision_DTC Wse Energy Audit Dec-09 Madhugiri dvn 05.01.10" xfId="10"/>
    <cellStyle name="_ATC Loss _ T&amp;D Loss-Aug-09 of Madhugiri Divivision_DTC Wse Energy Audit FEB-10 Madhugiri dvn" xfId="11"/>
    <cellStyle name="_ATC Loss _ T&amp;D Loss-Aug-09 of Madhugiri Divivision_DTC_EA_MADHUGIRI__DIVISION_new" xfId="12"/>
    <cellStyle name="_ATC Loss _ T&amp;D Loss-Dec-09 of Madhugiri Divivision" xfId="13"/>
    <cellStyle name="_ATC Loss _ T&amp;D Loss-Dec-09 of Madhugiri Divivision_DTC Wse Energy Audit FEB-10 Madhugiri dvn" xfId="14"/>
    <cellStyle name="_ATC Loss _ T&amp;D Loss-Dec-09 of Madhugiri Divivision_DTC_EA_MADHUGIRI__DIVISION_new" xfId="15"/>
    <cellStyle name="_ATC Loss _ T&amp;D Loss-Feb-10 of Madhugiri Divivision" xfId="16"/>
    <cellStyle name="_ATC Loss _ T&amp;D LossJan-10 of Madhugiri Divivision" xfId="17"/>
    <cellStyle name="_ATC Loss _ T&amp;D Loss-July-09 of Madhugiri Divivision" xfId="18"/>
    <cellStyle name="_ATC Loss _ T&amp;D Loss-July-09 of Madhugiri Divivision_C1 to C10_Format_Meeting_Dec-09" xfId="19"/>
    <cellStyle name="_ATC Loss _ T&amp;D Loss-July-09 of Madhugiri Divivision_DTC Wse Energy Audit Dec-09 Madhugiri dvn 05.01.10" xfId="20"/>
    <cellStyle name="_ATC Loss _ T&amp;D Loss-July-09 of Madhugiri Divivision_DTC Wse Energy Audit FEB-10 Madhugiri dvn" xfId="21"/>
    <cellStyle name="_ATC Loss _ T&amp;D Loss-July-09 of Madhugiri Divivision_DTC_EA_MADHUGIRI__DIVISION_new" xfId="22"/>
    <cellStyle name="_ATC Loss _ T&amp;D Loss-June-09 of Madhugiri Divivision" xfId="23"/>
    <cellStyle name="_ATC Loss _ T&amp;D Loss-June-09 of Madhugiri Divivision_C1 to C10_Format_Meeting_Dec-09" xfId="24"/>
    <cellStyle name="_ATC Loss _ T&amp;D Loss-June-09 of Madhugiri Divivision_DTC Wse Energy Audit Dec-09 Madhugiri dvn 05.01.10" xfId="25"/>
    <cellStyle name="_ATC Loss _ T&amp;D Loss-June-09 of Madhugiri Divivision_DTC Wse Energy Audit FEB-10 Madhugiri dvn" xfId="26"/>
    <cellStyle name="_ATC Loss _ T&amp;D Loss-June-09 of Madhugiri Divivision_DTC_EA_MADHUGIRI__DIVISION_new" xfId="27"/>
    <cellStyle name="_ATC Loss _ T&amp;D Loss-March-09 of Madhugiri Divivision" xfId="28"/>
    <cellStyle name="_ATC Loss _ T&amp;D Loss-March-09 of Madhugiri Divivision_C1 to C10_Format_Meeting_Dec-09" xfId="29"/>
    <cellStyle name="_ATC Loss _ T&amp;D Loss-March-09 of Madhugiri Divivision_DTC Wse Energy Audit Dec-09 Madhugiri dvn 05.01.10" xfId="30"/>
    <cellStyle name="_ATC Loss _ T&amp;D Loss-March-09 of Madhugiri Divivision_DTC Wse Energy Audit FEB-10 Madhugiri dvn" xfId="31"/>
    <cellStyle name="_ATC Loss _ T&amp;D Loss-March-09 of Madhugiri Divivision_DTC_EA_MADHUGIRI__DIVISION_new" xfId="32"/>
    <cellStyle name="_ATC Loss _ T&amp;D Loss-May-09 of Madhugiri Divivision" xfId="33"/>
    <cellStyle name="_ATC Loss _ T&amp;D Loss-May-09 of Madhugiri Divivision_C1 to C10_Format_Meeting_Dec-09" xfId="34"/>
    <cellStyle name="_ATC Loss _ T&amp;D Loss-May-09 of Madhugiri Divivision_DTC Wse Energy Audit Dec-09 Madhugiri dvn 05.01.10" xfId="35"/>
    <cellStyle name="_ATC Loss _ T&amp;D Loss-May-09 of Madhugiri Divivision_DTC Wse Energy Audit FEB-10 Madhugiri dvn" xfId="36"/>
    <cellStyle name="_ATC Loss _ T&amp;D Loss-May-09 of Madhugiri Divivision_DTC_EA_MADHUGIRI__DIVISION_new" xfId="37"/>
    <cellStyle name="_ATC Loss _ T&amp;D Loss-Nov-09 of Madhugiri Divivision" xfId="38"/>
    <cellStyle name="_ATC Loss _ T&amp;D Loss-Nov-09 of Madhugiri Divivision_C1 to C10_Format_Meeting_Dec-09" xfId="39"/>
    <cellStyle name="_ATC Loss _ T&amp;D Loss-Nov-09 of Madhugiri Divivision_DTC Wse Energy Audit Dec-09 Madhugiri dvn 05.01.10" xfId="40"/>
    <cellStyle name="_ATC Loss _ T&amp;D Loss-Nov-09 of Madhugiri Divivision_DTC Wse Energy Audit FEB-10 Madhugiri dvn" xfId="41"/>
    <cellStyle name="_ATC Loss _ T&amp;D Loss-Nov-09 of Madhugiri Divivision_DTC_EA_MADHUGIRI__DIVISION_new" xfId="42"/>
    <cellStyle name="_ATC Loss _ T&amp;D Loss-Oct-09 of Madhugiri Divivision" xfId="43"/>
    <cellStyle name="_ATC Loss _ T&amp;D Loss-Oct-09 of Madhugiri Divivision_C1 to C10_Format_Meeting_Dec-09" xfId="44"/>
    <cellStyle name="_ATC Loss _ T&amp;D Loss-Oct-09 of Madhugiri Divivision_DTC Wse Energy Audit Dec-09 Madhugiri dvn 05.01.10" xfId="45"/>
    <cellStyle name="_ATC Loss _ T&amp;D Loss-Oct-09 of Madhugiri Divivision_DTC Wse Energy Audit FEB-10 Madhugiri dvn" xfId="46"/>
    <cellStyle name="_ATC Loss _ T&amp;D Loss-Oct-09 of Madhugiri Divivision_DTC_EA_MADHUGIRI__DIVISION_new" xfId="47"/>
    <cellStyle name="_ATC Loss _ T&amp;D Loss-Sep-09 of Madhugiri Divivision" xfId="48"/>
    <cellStyle name="_ATC Loss _ T&amp;D Loss-Sep-09 of Madhugiri Divivision_C1 to C10_Format_Meeting_Dec-09" xfId="49"/>
    <cellStyle name="_ATC Loss _ T&amp;D Loss-Sep-09 of Madhugiri Divivision_DTC Wse Energy Audit Dec-09 Madhugiri dvn 05.01.10" xfId="50"/>
    <cellStyle name="_ATC Loss _ T&amp;D Loss-Sep-09 of Madhugiri Divivision_DTC Wse Energy Audit FEB-10 Madhugiri dvn" xfId="51"/>
    <cellStyle name="_ATC Loss _ T&amp;D Loss-Sep-09 of Madhugiri Divivision_DTC_EA_MADHUGIRI__DIVISION_new" xfId="52"/>
    <cellStyle name="_Book2" xfId="53"/>
    <cellStyle name="_Book2 2" xfId="54"/>
    <cellStyle name="_Book2_tumkur circle CT-_Formats_-May_2011(1)" xfId="55"/>
    <cellStyle name="_Book2_tumkur circle CT-_Formats_-May_2011(1) 2" xfId="56"/>
    <cellStyle name="_Book2_tumkur circle CT-_Formats_-May_2011(1) 3" xfId="57"/>
    <cellStyle name="_Book2_tumkur circle CT-_Formats_-May_2011(1) 4" xfId="58"/>
    <cellStyle name="_Book2_tumkur circle CT-_Formats_-May_2011(1) 5" xfId="59"/>
    <cellStyle name="_Book2_tumkur circle CT-_Formats_-May_2011(1) 6" xfId="60"/>
    <cellStyle name="_Budget 2008-09 San. &amp; Additional" xfId="61"/>
    <cellStyle name="_Budget 2009-10 24.2.09" xfId="62"/>
    <cellStyle name="_Budget 2009-10 24.2.09_Division_wise_capex_works_se-dvg(1)" xfId="63"/>
    <cellStyle name="_C1 to C10_Format_Meeting_-April-09" xfId="64"/>
    <cellStyle name="_C1 to C10_Format_Meeting_-April-09_ATC Loss T &amp; D Loss Feb-11 of Madhugiri Division" xfId="65"/>
    <cellStyle name="_C1 to C10_Format_Meeting_-April-09_C1 to C10_Format_Meeting_Dec-09" xfId="66"/>
    <cellStyle name="_C1 to C10_Format_Meeting_-April-09_C1 to C10_Format_Meeting_Dec-09_ATC Loss T &amp; D Loss Feb-11 of Madhugiri Division" xfId="67"/>
    <cellStyle name="_C1 to C10_Format_Meeting_-April-09_DTC Wse Energy Audit Dec-09 Madhugiri dvn 05.01.10" xfId="68"/>
    <cellStyle name="_C1 to C10_Format_Meeting_-April-09_DTC Wse Energy Audit Dec-09 Madhugiri dvn 05.01.10_ATC Loss T &amp; D Loss Feb-11 of Madhugiri Division" xfId="69"/>
    <cellStyle name="_C1 to C10_Format_Meeting_-April-09_DTC Wse Energy Audit FEB-10 Madhugiri dvn" xfId="70"/>
    <cellStyle name="_C1 to C10_Format_Meeting_-April-09_DTC Wse Energy Audit FEB-10 Madhugiri dvn_ATC Loss T &amp; D Loss Feb-11 of Madhugiri Division" xfId="71"/>
    <cellStyle name="_C1 to C10_Format_Meeting_-April-09_DTC_EA_MADHUGIRI__DIVISION_new" xfId="72"/>
    <cellStyle name="_C1 to C10_Format_Meeting_-April-09_DTC_EA_MADHUGIRI__DIVISION_new_ATC Loss T &amp; D Loss Feb-11 of Madhugiri Division" xfId="73"/>
    <cellStyle name="_C1 to C10_Format_Meeting_Aug-09" xfId="74"/>
    <cellStyle name="_C1 to C10_Format_Meeting_Aug-09_ATC Loss T &amp; D Loss Feb-11 of Madhugiri Division" xfId="75"/>
    <cellStyle name="_C1 to C10_Format_Meeting_Aug-09_C1 to C10_Format_Meeting_Dec-09" xfId="76"/>
    <cellStyle name="_C1 to C10_Format_Meeting_Aug-09_C1 to C10_Format_Meeting_Dec-09_ATC Loss T &amp; D Loss Feb-11 of Madhugiri Division" xfId="77"/>
    <cellStyle name="_C1 to C10_Format_Meeting_Aug-09_DTC Wse Energy Audit Dec-09 Madhugiri dvn 05.01.10" xfId="78"/>
    <cellStyle name="_C1 to C10_Format_Meeting_Aug-09_DTC Wse Energy Audit Dec-09 Madhugiri dvn 05.01.10_ATC Loss T &amp; D Loss Feb-11 of Madhugiri Division" xfId="79"/>
    <cellStyle name="_C1 to C10_Format_Meeting_Aug-09_DTC Wse Energy Audit FEB-10 Madhugiri dvn" xfId="80"/>
    <cellStyle name="_C1 to C10_Format_Meeting_Aug-09_DTC Wse Energy Audit FEB-10 Madhugiri dvn_ATC Loss T &amp; D Loss Feb-11 of Madhugiri Division" xfId="81"/>
    <cellStyle name="_C1 to C10_Format_Meeting_Aug-09_DTC_EA_MADHUGIRI__DIVISION_new" xfId="82"/>
    <cellStyle name="_C1 to C10_Format_Meeting_Aug-09_DTC_EA_MADHUGIRI__DIVISION_new_ATC Loss T &amp; D Loss Feb-11 of Madhugiri Division" xfId="83"/>
    <cellStyle name="_C1 to C10_Format_Meeting_March-10" xfId="84"/>
    <cellStyle name="_C1 to C10_Format_Meeting_March-10_ATC Loss T &amp; D Loss Feb-11 of Madhugiri Division" xfId="85"/>
    <cellStyle name="_C1 to C10_Format_Meeting_Sep-09" xfId="86"/>
    <cellStyle name="_C1 to C10_Format_Meeting_Sep-09_ATC Loss T &amp; D Loss Feb-11 of Madhugiri Division" xfId="87"/>
    <cellStyle name="_C1 to C10_Format_Meeting_Sep-09_C1 to C10_Format_Meeting_Dec-09" xfId="88"/>
    <cellStyle name="_C1 to C10_Format_Meeting_Sep-09_C1 to C10_Format_Meeting_Dec-09_ATC Loss T &amp; D Loss Feb-11 of Madhugiri Division" xfId="89"/>
    <cellStyle name="_C1 to C10_Format_Meeting_Sep-09_DTC Wse Energy Audit Dec-09 Madhugiri dvn 05.01.10" xfId="90"/>
    <cellStyle name="_C1 to C10_Format_Meeting_Sep-09_DTC Wse Energy Audit Dec-09 Madhugiri dvn 05.01.10_ATC Loss T &amp; D Loss Feb-11 of Madhugiri Division" xfId="91"/>
    <cellStyle name="_C1 to C10_Format_Meeting_Sep-09_DTC Wse Energy Audit FEB-10 Madhugiri dvn" xfId="92"/>
    <cellStyle name="_C1 to C10_Format_Meeting_Sep-09_DTC Wse Energy Audit FEB-10 Madhugiri dvn_ATC Loss T &amp; D Loss Feb-11 of Madhugiri Division" xfId="93"/>
    <cellStyle name="_C1 to C10_Format_Meeting_Sep-09_DTC_EA_MADHUGIRI__DIVISION_new" xfId="94"/>
    <cellStyle name="_C1 to C10_Format_Meeting_Sep-09_DTC_EA_MADHUGIRI__DIVISION_new_ATC Loss T &amp; D Loss Feb-11 of Madhugiri Division" xfId="95"/>
    <cellStyle name="_C-5 to C-10 June-09" xfId="96"/>
    <cellStyle name="_Capex 08-09 Final ABSTRACT" xfId="97"/>
    <cellStyle name="_Circle- April-RI" xfId="98"/>
    <cellStyle name="_Circle- April-RI_Circle- Feb 2011 SOW P&amp;M" xfId="99"/>
    <cellStyle name="_Circle- April-RI_Circle- Feb 2011 SOW P&amp;M 2" xfId="100"/>
    <cellStyle name="_Circle- April-RI_Circle- Feb 2011 SOW P&amp;M 3" xfId="101"/>
    <cellStyle name="_Circle- April-RI_Circle- Feb 2011 SOW P&amp;M 4" xfId="102"/>
    <cellStyle name="_Circle- April-RI_Circle- Feb 2011 SOW P&amp;M 5" xfId="103"/>
    <cellStyle name="_Circle- April-RI_Circle- Feb 2011 SOW P&amp;M 6" xfId="104"/>
    <cellStyle name="_Circle- April-RI_Circle- Feb 2011 SOW P&amp;M_Copy P&amp;F Dec-2011(F)" xfId="105"/>
    <cellStyle name="_Circle- April-RI_Circle- Jan 2011 SOW P&amp;M" xfId="106"/>
    <cellStyle name="_Circle- April-RI_Circle- Jan 2011 SOW P&amp;M 2" xfId="107"/>
    <cellStyle name="_Circle- April-RI_Circle- Jan 2011 SOW P&amp;M 3" xfId="108"/>
    <cellStyle name="_Circle- April-RI_Circle- Jan 2011 SOW P&amp;M 4" xfId="109"/>
    <cellStyle name="_Circle- April-RI_Circle- Jan 2011 SOW P&amp;M 5" xfId="110"/>
    <cellStyle name="_Circle- April-RI_Circle- Jan 2011 SOW P&amp;M 6" xfId="111"/>
    <cellStyle name="_Circle- April-RI_Circle-_August_2010_SOW_P&amp;M(1)" xfId="112"/>
    <cellStyle name="_Circle- April-RI_Circle-_August_2010_SOW_P&amp;M(1) 2" xfId="113"/>
    <cellStyle name="_Circle- April-RI_Circle-_August_2010_SOW_P&amp;M(1) 3" xfId="114"/>
    <cellStyle name="_Circle- April-RI_Circle-_August_2010_SOW_P&amp;M(1) 4" xfId="115"/>
    <cellStyle name="_Circle- April-RI_Circle-_August_2010_SOW_P&amp;M(1) 5" xfId="116"/>
    <cellStyle name="_Circle- April-RI_Circle-_August_2010_SOW_P&amp;M(1) 6" xfId="117"/>
    <cellStyle name="_Circle- April-RI_Circle-_August_2010_SOW_P&amp;M(1)_Copy P&amp;F Dec-2011(F)" xfId="118"/>
    <cellStyle name="_Circle- April-RI_Division_wise_capex_works_se-dvg(1)" xfId="119"/>
    <cellStyle name="_Circle- April-RI_Feb-11_ATC HRR" xfId="120"/>
    <cellStyle name="_Circle- April-RI_Feb-11_ATC HRR_Chief_off_format" xfId="121"/>
    <cellStyle name="_Circle- April-RI_HRR ATC Dec-10 ATC" xfId="122"/>
    <cellStyle name="_Circle- April-RI_HRR ATC Dec-10 ATC_Chief_off_format" xfId="123"/>
    <cellStyle name="_Circle- April-RI_HRR ATC Jan-11" xfId="124"/>
    <cellStyle name="_Circle- April-RI_HRR ATC Jan-11_Chief_off_format" xfId="125"/>
    <cellStyle name="_Circle- April-RI_HRR March-11_ATC" xfId="126"/>
    <cellStyle name="_Circle- April-RI_HRR March-11_ATC_Chief_off_format" xfId="127"/>
    <cellStyle name="_Circle- April-RI_HRR Nov-10_ATC" xfId="128"/>
    <cellStyle name="_Circle- April-RI_P&amp;F Zone" xfId="129"/>
    <cellStyle name="_Circle- April-RI_P&amp;F Zone 2" xfId="130"/>
    <cellStyle name="_Circle- April-RI_P&amp;F Zone 3" xfId="131"/>
    <cellStyle name="_Circle- April-RI_P&amp;F Zone 4" xfId="132"/>
    <cellStyle name="_Circle- April-RI_P&amp;F Zone 5" xfId="133"/>
    <cellStyle name="_Circle- April-RI_P&amp;F Zone 6" xfId="134"/>
    <cellStyle name="_Circle- April-RI_Revise-CTA(NF, Spill OVer Works)." xfId="135"/>
    <cellStyle name="_Circle- April-RI_Revise-CTA(NF, Spill OVer Works). 2" xfId="136"/>
    <cellStyle name="_Circle- April-RI_Revise-CTA(NF, Spill OVer Works). 3" xfId="137"/>
    <cellStyle name="_Circle- April-RI_Revise-CTA(NF, Spill OVer Works). 4" xfId="138"/>
    <cellStyle name="_Circle- April-RI_Revise-CTA(NF, Spill OVer Works). 5" xfId="139"/>
    <cellStyle name="_Circle- April-RI_Revise-CTA(NF, Spill OVer Works). 6" xfId="140"/>
    <cellStyle name="_Data- Dec 09-DGM-I" xfId="141"/>
    <cellStyle name="_Data- Dec 09-DGM-I 2" xfId="142"/>
    <cellStyle name="_Data- Dec 09-DGM-I_tumkur circle CT-_Formats_-May_2011(1)" xfId="143"/>
    <cellStyle name="_Data- Dec 09-DGM-I_tumkur circle CT-_Formats_-May_2011(1) 2" xfId="144"/>
    <cellStyle name="_Data- Dec 09-DGM-I_tumkur circle CT-_Formats_-May_2011(1) 3" xfId="145"/>
    <cellStyle name="_Data- Dec 09-DGM-I_tumkur circle CT-_Formats_-May_2011(1) 4" xfId="146"/>
    <cellStyle name="_Data- Dec 09-DGM-I_tumkur circle CT-_Formats_-May_2011(1) 5" xfId="147"/>
    <cellStyle name="_Data- Dec 09-DGM-I_tumkur circle CT-_Formats_-May_2011(1) 6" xfId="148"/>
    <cellStyle name="_Data-July-10-DGM-I" xfId="149"/>
    <cellStyle name="_Data-July-10-DGM-I 2" xfId="150"/>
    <cellStyle name="_Data-July-10-DGM-I_tumkur circle CT-_Formats_-May_2011(1)" xfId="151"/>
    <cellStyle name="_Data-July-10-DGM-I_tumkur circle CT-_Formats_-May_2011(1) 2" xfId="152"/>
    <cellStyle name="_Data-July-10-DGM-I_tumkur circle CT-_Formats_-May_2011(1) 3" xfId="153"/>
    <cellStyle name="_Data-July-10-DGM-I_tumkur circle CT-_Formats_-May_2011(1) 4" xfId="154"/>
    <cellStyle name="_Data-July-10-DGM-I_tumkur circle CT-_Formats_-May_2011(1) 5" xfId="155"/>
    <cellStyle name="_Data-July-10-DGM-I_tumkur circle CT-_Formats_-May_2011(1) 6" xfId="156"/>
    <cellStyle name="_Division wise budget allocation abstract" xfId="157"/>
    <cellStyle name="_Division wise budget allocation abstract 2" xfId="158"/>
    <cellStyle name="_Division wise budget allocation abstract 2 2" xfId="159"/>
    <cellStyle name="_Division wise budget allocation abstract 2 3" xfId="160"/>
    <cellStyle name="_Division wise budget allocation abstract 3" xfId="161"/>
    <cellStyle name="_Division wise budget allocation abstract 3 2" xfId="162"/>
    <cellStyle name="_Division wise budget allocation abstract 3 3" xfId="163"/>
    <cellStyle name="_Division wise budget allocation abstract 4" xfId="164"/>
    <cellStyle name="_Division wise budget allocation abstract 4 2" xfId="165"/>
    <cellStyle name="_Division wise budget allocation abstract 4 3" xfId="166"/>
    <cellStyle name="_Division wise budget allocation abstract 5" xfId="167"/>
    <cellStyle name="_Division wise budget allocation abstract 6" xfId="168"/>
    <cellStyle name="_Division wise budget allocation abstract_Revised New Format from GM CA -24.02.2012" xfId="169"/>
    <cellStyle name="_Division wise budget allocation abstract_Revised New Format from GM CA -24.02.2012 2" xfId="170"/>
    <cellStyle name="_Division_DTC_-04.01.2010(1)" xfId="171"/>
    <cellStyle name="_Division_DTC_-04.01.2010(1)_Feb-11_ATC HRR" xfId="172"/>
    <cellStyle name="_Division_DTC_-04.01.2010(1)_Feb-11_ATC HRR_Chief_off_format" xfId="173"/>
    <cellStyle name="_Division_DTC_-04.01.2010(1)_HRR ATC Dec-10 ATC" xfId="174"/>
    <cellStyle name="_Division_DTC_-04.01.2010(1)_HRR ATC Dec-10 ATC_Chief_off_format" xfId="175"/>
    <cellStyle name="_Division_DTC_-04.01.2010(1)_HRR ATC Jan-11" xfId="176"/>
    <cellStyle name="_Division_DTC_-04.01.2010(1)_HRR ATC Jan-11_Chief_off_format" xfId="177"/>
    <cellStyle name="_Division_DTC_-04.01.2010(1)_HRR March-11_ATC" xfId="178"/>
    <cellStyle name="_Division_DTC_-04.01.2010(1)_HRR March-11_ATC_Chief_off_format" xfId="179"/>
    <cellStyle name="_Division_DTC_-04.01.2010(1)_HRR Nov-10_ATC" xfId="180"/>
    <cellStyle name="_DVG(R)_Aug-09" xfId="181"/>
    <cellStyle name="_DVG(R)_Aug-09 2" xfId="182"/>
    <cellStyle name="_DVG(R)_Aug-09 2 2" xfId="183"/>
    <cellStyle name="_DVG(R)_Aug-09 2 3" xfId="184"/>
    <cellStyle name="_DVG(R)_Aug-09 3" xfId="185"/>
    <cellStyle name="_DVG(R)_Aug-09 3 2" xfId="186"/>
    <cellStyle name="_DVG(R)_Aug-09 3 3" xfId="187"/>
    <cellStyle name="_DVG(R)_Aug-09 4" xfId="188"/>
    <cellStyle name="_DVG(R)_Aug-09 4 2" xfId="189"/>
    <cellStyle name="_DVG(R)_Aug-09 4 3" xfId="190"/>
    <cellStyle name="_DVG(R)_Aug-09 5" xfId="191"/>
    <cellStyle name="_DVG(R)_Aug-09 6" xfId="192"/>
    <cellStyle name="_DVG(R)_Aug-09_Revised New Format from GM CA -24.02.2012" xfId="193"/>
    <cellStyle name="_DVG(R)_Aug-09_Revised New Format from GM CA -24.02.2012 2" xfId="194"/>
    <cellStyle name="_Feb-09 ATC" xfId="195"/>
    <cellStyle name="_Feb-09 ATC_Division_wise_capex_works_se-dvg(1)" xfId="196"/>
    <cellStyle name="_Feeder Wise Nov-09 dcb" xfId="197"/>
    <cellStyle name="_Feeder Wise Nov-09 dcb 2" xfId="198"/>
    <cellStyle name="_Feeder Wise Nov-09 dcb_Feb-11_ATC HRR" xfId="199"/>
    <cellStyle name="_Feeder Wise Nov-09 dcb_Feb-11_ATC HRR_Chief_off_format" xfId="200"/>
    <cellStyle name="_Feeder Wise Nov-09 dcb_HRR ATC Dec-10 ATC" xfId="201"/>
    <cellStyle name="_Feeder Wise Nov-09 dcb_HRR ATC Dec-10 ATC_Chief_off_format" xfId="202"/>
    <cellStyle name="_Feeder Wise Nov-09 dcb_HRR ATC Jan-11" xfId="203"/>
    <cellStyle name="_Feeder Wise Nov-09 dcb_HRR ATC Jan-11_Chief_off_format" xfId="204"/>
    <cellStyle name="_Feeder Wise Nov-09 dcb_HRR March-11_ATC" xfId="205"/>
    <cellStyle name="_Feeder Wise Nov-09 dcb_HRR March-11_ATC_Chief_off_format" xfId="206"/>
    <cellStyle name="_Feeder Wise Nov-09 dcb_HRR Nov-10_ATC" xfId="207"/>
    <cellStyle name="_feeder_atc_abstract" xfId="208"/>
    <cellStyle name="_feeder_atc_abstract_ATC Loss T &amp; D Loss Feb-11 of Madhugiri Division" xfId="209"/>
    <cellStyle name="_feederwise  ATC &amp; T&amp;D-June10" xfId="210"/>
    <cellStyle name="_feederwise  ATC &amp; T&amp;D-June10 2" xfId="211"/>
    <cellStyle name="_feederwise  ATC &amp; T&amp;D-June10_tumkur circle CT-_Formats_-May_2011(1)" xfId="212"/>
    <cellStyle name="_feederwise  ATC &amp; T&amp;D-June10_tumkur circle CT-_Formats_-May_2011(1) 2" xfId="213"/>
    <cellStyle name="_feederwise  ATC &amp; T&amp;D-June10_tumkur circle CT-_Formats_-May_2011(1) 3" xfId="214"/>
    <cellStyle name="_feederwise  ATC &amp; T&amp;D-June10_tumkur circle CT-_Formats_-May_2011(1) 4" xfId="215"/>
    <cellStyle name="_feederwise  ATC &amp; T&amp;D-June10_tumkur circle CT-_Formats_-May_2011(1) 5" xfId="216"/>
    <cellStyle name="_feederwise  ATC &amp; T&amp;D-June10_tumkur circle CT-_Formats_-May_2011(1) 6" xfId="217"/>
    <cellStyle name="_Format Meeting -April 2010" xfId="218"/>
    <cellStyle name="_Format Meeting -April 2010 2" xfId="219"/>
    <cellStyle name="_Format Meeting -April 2010_tumkur circle CT-_Formats_-May_2011(1)" xfId="220"/>
    <cellStyle name="_Format Meeting -April 2010_tumkur circle CT-_Formats_-May_2011(1) 2" xfId="221"/>
    <cellStyle name="_Format Meeting -April 2010_tumkur circle CT-_Formats_-May_2011(1) 3" xfId="222"/>
    <cellStyle name="_Format Meeting -April 2010_tumkur circle CT-_Formats_-May_2011(1) 4" xfId="223"/>
    <cellStyle name="_Format Meeting -April 2010_tumkur circle CT-_Formats_-May_2011(1) 5" xfId="224"/>
    <cellStyle name="_Format Meeting -April 2010_tumkur circle CT-_Formats_-May_2011(1) 6" xfId="225"/>
    <cellStyle name="_Format Meeting -August09" xfId="226"/>
    <cellStyle name="_Format Meeting -August09 2" xfId="227"/>
    <cellStyle name="_Format Meeting -August09_tumkur circle CT-_Formats_-May_2011(1)" xfId="228"/>
    <cellStyle name="_Format Meeting -August09_tumkur circle CT-_Formats_-May_2011(1) 2" xfId="229"/>
    <cellStyle name="_Format Meeting -August09_tumkur circle CT-_Formats_-May_2011(1) 3" xfId="230"/>
    <cellStyle name="_Format Meeting -August09_tumkur circle CT-_Formats_-May_2011(1) 4" xfId="231"/>
    <cellStyle name="_Format Meeting -August09_tumkur circle CT-_Formats_-May_2011(1) 5" xfId="232"/>
    <cellStyle name="_Format Meeting -August09_tumkur circle CT-_Formats_-May_2011(1) 6" xfId="233"/>
    <cellStyle name="_Format Meeting -Dec09" xfId="234"/>
    <cellStyle name="_Format Meeting -Dec09 2" xfId="235"/>
    <cellStyle name="_Format Meeting -Dec09_tumkur circle CT-_Formats_-May_2011(1)" xfId="236"/>
    <cellStyle name="_Format Meeting -Dec09_tumkur circle CT-_Formats_-May_2011(1) 2" xfId="237"/>
    <cellStyle name="_Format Meeting -Dec09_tumkur circle CT-_Formats_-May_2011(1) 3" xfId="238"/>
    <cellStyle name="_Format Meeting -Dec09_tumkur circle CT-_Formats_-May_2011(1) 4" xfId="239"/>
    <cellStyle name="_Format Meeting -Dec09_tumkur circle CT-_Formats_-May_2011(1) 5" xfId="240"/>
    <cellStyle name="_Format Meeting -Dec09_tumkur circle CT-_Formats_-May_2011(1) 6" xfId="241"/>
    <cellStyle name="_Format Meeting -Feb2010" xfId="242"/>
    <cellStyle name="_Format Meeting -Feb2010 2" xfId="243"/>
    <cellStyle name="_Format Meeting -Feb2010_tumkur circle CT-_Formats_-May_2011(1)" xfId="244"/>
    <cellStyle name="_Format Meeting -Feb2010_tumkur circle CT-_Formats_-May_2011(1) 2" xfId="245"/>
    <cellStyle name="_Format Meeting -Feb2010_tumkur circle CT-_Formats_-May_2011(1) 3" xfId="246"/>
    <cellStyle name="_Format Meeting -Feb2010_tumkur circle CT-_Formats_-May_2011(1) 4" xfId="247"/>
    <cellStyle name="_Format Meeting -Feb2010_tumkur circle CT-_Formats_-May_2011(1) 5" xfId="248"/>
    <cellStyle name="_Format Meeting -Feb2010_tumkur circle CT-_Formats_-May_2011(1) 6" xfId="249"/>
    <cellStyle name="_Format Meeting -Jan2010" xfId="250"/>
    <cellStyle name="_Format Meeting -Jan2010 2" xfId="251"/>
    <cellStyle name="_Format Meeting -Jan2010_tumkur circle CT-_Formats_-May_2011(1)" xfId="252"/>
    <cellStyle name="_Format Meeting -Jan2010_tumkur circle CT-_Formats_-May_2011(1) 2" xfId="253"/>
    <cellStyle name="_Format Meeting -Jan2010_tumkur circle CT-_Formats_-May_2011(1) 3" xfId="254"/>
    <cellStyle name="_Format Meeting -Jan2010_tumkur circle CT-_Formats_-May_2011(1) 4" xfId="255"/>
    <cellStyle name="_Format Meeting -Jan2010_tumkur circle CT-_Formats_-May_2011(1) 5" xfId="256"/>
    <cellStyle name="_Format Meeting -Jan2010_tumkur circle CT-_Formats_-May_2011(1) 6" xfId="257"/>
    <cellStyle name="_Format Meeting -June09" xfId="258"/>
    <cellStyle name="_Format Meeting -June09 2" xfId="259"/>
    <cellStyle name="_Format Meeting -June09_tumkur circle CT-_Formats_-May_2011(1)" xfId="260"/>
    <cellStyle name="_Format Meeting -June09_tumkur circle CT-_Formats_-May_2011(1) 2" xfId="261"/>
    <cellStyle name="_Format Meeting -June09_tumkur circle CT-_Formats_-May_2011(1) 3" xfId="262"/>
    <cellStyle name="_Format Meeting -June09_tumkur circle CT-_Formats_-May_2011(1) 4" xfId="263"/>
    <cellStyle name="_Format Meeting -June09_tumkur circle CT-_Formats_-May_2011(1) 5" xfId="264"/>
    <cellStyle name="_Format Meeting -June09_tumkur circle CT-_Formats_-May_2011(1) 6" xfId="265"/>
    <cellStyle name="_Format Meeting -Nov09" xfId="266"/>
    <cellStyle name="_Format Meeting -Nov09 2" xfId="267"/>
    <cellStyle name="_Format Meeting -Nov09_tumkur circle CT-_Formats_-May_2011(1)" xfId="268"/>
    <cellStyle name="_Format Meeting -Nov09_tumkur circle CT-_Formats_-May_2011(1) 2" xfId="269"/>
    <cellStyle name="_Format Meeting -Nov09_tumkur circle CT-_Formats_-May_2011(1) 3" xfId="270"/>
    <cellStyle name="_Format Meeting -Nov09_tumkur circle CT-_Formats_-May_2011(1) 4" xfId="271"/>
    <cellStyle name="_Format Meeting -Nov09_tumkur circle CT-_Formats_-May_2011(1) 5" xfId="272"/>
    <cellStyle name="_Format Meeting -Nov09_tumkur circle CT-_Formats_-May_2011(1) 6" xfId="273"/>
    <cellStyle name="_Format Meeting -Sept09" xfId="274"/>
    <cellStyle name="_Format Meeting -Sept09 2" xfId="275"/>
    <cellStyle name="_Format Meeting -Sept09_tumkur circle CT-_Formats_-May_2011(1)" xfId="276"/>
    <cellStyle name="_Format Meeting -Sept09_tumkur circle CT-_Formats_-May_2011(1) 2" xfId="277"/>
    <cellStyle name="_Format Meeting -Sept09_tumkur circle CT-_Formats_-May_2011(1) 3" xfId="278"/>
    <cellStyle name="_Format Meeting -Sept09_tumkur circle CT-_Formats_-May_2011(1) 4" xfId="279"/>
    <cellStyle name="_Format Meeting -Sept09_tumkur circle CT-_Formats_-May_2011(1) 5" xfId="280"/>
    <cellStyle name="_Format Meeting -Sept09_tumkur circle CT-_Formats_-May_2011(1) 6" xfId="281"/>
    <cellStyle name="_HRR" xfId="282"/>
    <cellStyle name="_HRR_Circle- Feb 2011 SOW P&amp;M" xfId="283"/>
    <cellStyle name="_HRR_Circle- Feb 2011 SOW P&amp;M 2" xfId="284"/>
    <cellStyle name="_HRR_Circle- Feb 2011 SOW P&amp;M 3" xfId="285"/>
    <cellStyle name="_HRR_Circle- Feb 2011 SOW P&amp;M 4" xfId="286"/>
    <cellStyle name="_HRR_Circle- Feb 2011 SOW P&amp;M 5" xfId="287"/>
    <cellStyle name="_HRR_Circle- Feb 2011 SOW P&amp;M 6" xfId="288"/>
    <cellStyle name="_HRR_Circle- Feb 2011 SOW P&amp;M_Copy P&amp;F Dec-2011(F)" xfId="289"/>
    <cellStyle name="_HRR_Circle- Jan 2011 SOW P&amp;M" xfId="290"/>
    <cellStyle name="_HRR_Circle- Jan 2011 SOW P&amp;M 2" xfId="291"/>
    <cellStyle name="_HRR_Circle- Jan 2011 SOW P&amp;M 3" xfId="292"/>
    <cellStyle name="_HRR_Circle- Jan 2011 SOW P&amp;M 4" xfId="293"/>
    <cellStyle name="_HRR_Circle- Jan 2011 SOW P&amp;M 5" xfId="294"/>
    <cellStyle name="_HRR_Circle- Jan 2011 SOW P&amp;M 6" xfId="295"/>
    <cellStyle name="_HRR_Circle-_August_2010_SOW_P&amp;M(1)" xfId="296"/>
    <cellStyle name="_HRR_Circle-_August_2010_SOW_P&amp;M(1) 2" xfId="297"/>
    <cellStyle name="_HRR_Circle-_August_2010_SOW_P&amp;M(1) 3" xfId="298"/>
    <cellStyle name="_HRR_Circle-_August_2010_SOW_P&amp;M(1) 4" xfId="299"/>
    <cellStyle name="_HRR_Circle-_August_2010_SOW_P&amp;M(1) 5" xfId="300"/>
    <cellStyle name="_HRR_Circle-_August_2010_SOW_P&amp;M(1) 6" xfId="301"/>
    <cellStyle name="_HRR_Circle-_August_2010_SOW_P&amp;M(1)_Copy P&amp;F Dec-2011(F)" xfId="302"/>
    <cellStyle name="_HRR_P&amp;F Zone" xfId="303"/>
    <cellStyle name="_HRR_P&amp;F Zone 2" xfId="304"/>
    <cellStyle name="_HRR_P&amp;F Zone 3" xfId="305"/>
    <cellStyle name="_HRR_P&amp;F Zone 4" xfId="306"/>
    <cellStyle name="_HRR_P&amp;F Zone 5" xfId="307"/>
    <cellStyle name="_HRR_P&amp;F Zone 6" xfId="308"/>
    <cellStyle name="_Index- DATA" xfId="309"/>
    <cellStyle name="_Index- DATA 2" xfId="310"/>
    <cellStyle name="_Index- DATA_tumkur circle CT-_Formats_-May_2011(1)" xfId="311"/>
    <cellStyle name="_Index- DATA_tumkur circle CT-_Formats_-May_2011(1) 2" xfId="312"/>
    <cellStyle name="_Index- DATA_tumkur circle CT-_Formats_-May_2011(1) 3" xfId="313"/>
    <cellStyle name="_Index- DATA_tumkur circle CT-_Formats_-May_2011(1) 4" xfId="314"/>
    <cellStyle name="_Index- DATA_tumkur circle CT-_Formats_-May_2011(1) 5" xfId="315"/>
    <cellStyle name="_Index- DATA_tumkur circle CT-_Formats_-May_2011(1) 6" xfId="316"/>
    <cellStyle name="_Interphase point readinng  AUG-10" xfId="317"/>
    <cellStyle name="_Interphase point readinng  AUG-10_ATC Loss T &amp; D Loss Feb-11 of Madhugiri Division" xfId="318"/>
    <cellStyle name="_Interphase point readinng  Sep-10" xfId="319"/>
    <cellStyle name="_Interphase point readinng  Sep-10_ATC Loss T &amp; D Loss Feb-11 of Madhugiri Division" xfId="320"/>
    <cellStyle name="_July-09 Meeting formats" xfId="321"/>
    <cellStyle name="_MD Meeting 19.02.09 Accounts" xfId="322"/>
    <cellStyle name="_MD Meeting 19.02.09 Accounts   3322" xfId="323"/>
    <cellStyle name="_MD Meeting 19.02.09 Accounts   3322 2" xfId="324"/>
    <cellStyle name="_MD Meeting 19.02.09 Accounts   3322_ATC MLK REVISED JUNE 10" xfId="325"/>
    <cellStyle name="_MD Meeting 19.02.09 Accounts   3322_ATC MLK REVISED JUNE 10 2" xfId="326"/>
    <cellStyle name="_MD Meeting 19.02.09 Accounts   3322_ATC MLK REVISED JUNE 10_ATC oct 10 hyr dn org 2003 format" xfId="327"/>
    <cellStyle name="_MD Meeting 19.02.09 Accounts   3322_ATC MLK REVISED JUNE 10_ATC_FEB__2011_hyr_dn" xfId="328"/>
    <cellStyle name="_MD Meeting 19.02.09 Accounts   3322_ATC MLK REVISED JUNE 10_ATC_FEB__2011_hyr_dn 2" xfId="329"/>
    <cellStyle name="_MD Meeting 19.02.09 Accounts   3322_ATC MLK REVISED JUNE 10_ATC_FEB__2011_hyr_dn 3" xfId="330"/>
    <cellStyle name="_MD Meeting 19.02.09 Accounts   3322_ATC MLK REVISED JUNE 10_ATC_FEB__2011_hyr_dn 4" xfId="331"/>
    <cellStyle name="_MD Meeting 19.02.09 Accounts   3322_ATC MLK REVISED JUNE 10_ATC_FEB__2011_hyr_dn 5" xfId="332"/>
    <cellStyle name="_MD Meeting 19.02.09 Accounts   3322_ATC MLK REVISED JUNE 10_ATC_FEB__2011_hyr_dn 6" xfId="333"/>
    <cellStyle name="_MD Meeting 19.02.09 Accounts   3322_ATC MLK REVISED JUNE 10_Feb-11_ATC HRR" xfId="334"/>
    <cellStyle name="_MD Meeting 19.02.09 Accounts   3322_ATC MLK REVISED JUNE 10_Feb-11_ATC HRR_Chief_off_format" xfId="335"/>
    <cellStyle name="_MD Meeting 19.02.09 Accounts   3322_ATC MLK REVISED JUNE 10_HRR ATC Dec-10 ATC" xfId="336"/>
    <cellStyle name="_MD Meeting 19.02.09 Accounts   3322_ATC MLK REVISED JUNE 10_HRR ATC Dec-10 ATC_Chief_off_format" xfId="337"/>
    <cellStyle name="_MD Meeting 19.02.09 Accounts   3322_ATC MLK REVISED JUNE 10_HRR ATC Jan-11" xfId="338"/>
    <cellStyle name="_MD Meeting 19.02.09 Accounts   3322_ATC MLK REVISED JUNE 10_HRR ATC Jan-11_Chief_off_format" xfId="339"/>
    <cellStyle name="_MD Meeting 19.02.09 Accounts   3322_ATC MLK REVISED JUNE 10_HRR March-11_ATC" xfId="340"/>
    <cellStyle name="_MD Meeting 19.02.09 Accounts   3322_ATC MLK REVISED JUNE 10_HRR March-11_ATC_Chief_off_format" xfId="341"/>
    <cellStyle name="_MD Meeting 19.02.09 Accounts   3322_ATC MLK REVISED JUNE 10_HRR Nov-10_ATC" xfId="342"/>
    <cellStyle name="_MD Meeting 19.02.09 Accounts   3322_ATC MLK REVISED JUNE 10_HYR_ATC_Jan_11_org" xfId="343"/>
    <cellStyle name="_MD Meeting 19.02.09 Accounts   3322_ATC MLK REVISED JUNE 10_HYR_ATC_Jan_11_org 2" xfId="344"/>
    <cellStyle name="_MD Meeting 19.02.09 Accounts   3322_ATC MLK REVISED JUNE 10_HYR_ATC_Jan_11_org 3" xfId="345"/>
    <cellStyle name="_MD Meeting 19.02.09 Accounts   3322_ATC MLK REVISED JUNE 10_HYR_ATC_Jan_11_org 4" xfId="346"/>
    <cellStyle name="_MD Meeting 19.02.09 Accounts   3322_ATC MLK REVISED JUNE 10_HYR_ATC_Jan_11_org 5" xfId="347"/>
    <cellStyle name="_MD Meeting 19.02.09 Accounts   3322_ATC MLK REVISED JUNE 10_HYR_ATC_Jan_11_org 6" xfId="348"/>
    <cellStyle name="_MD Meeting 19.02.09 Accounts   3322_ATC oct 10 hyr dn org 2003 format" xfId="349"/>
    <cellStyle name="_MD Meeting 19.02.09 Accounts   3322_ATC Revised june 10" xfId="350"/>
    <cellStyle name="_MD Meeting 19.02.09 Accounts   3322_ATC Revised june 10 2" xfId="351"/>
    <cellStyle name="_MD Meeting 19.02.09 Accounts   3322_ATC Revised june 10_ATC_FEB__2011_hyr_dn" xfId="352"/>
    <cellStyle name="_MD Meeting 19.02.09 Accounts   3322_ATC Revised june 10_ATC_FEB__2011_hyr_dn 2" xfId="353"/>
    <cellStyle name="_MD Meeting 19.02.09 Accounts   3322_ATC Revised june 10_ATC_FEB__2011_hyr_dn 3" xfId="354"/>
    <cellStyle name="_MD Meeting 19.02.09 Accounts   3322_ATC Revised june 10_ATC_FEB__2011_hyr_dn 4" xfId="355"/>
    <cellStyle name="_MD Meeting 19.02.09 Accounts   3322_ATC Revised june 10_ATC_FEB__2011_hyr_dn 5" xfId="356"/>
    <cellStyle name="_MD Meeting 19.02.09 Accounts   3322_ATC Revised june 10_ATC_FEB__2011_hyr_dn 6" xfId="357"/>
    <cellStyle name="_MD Meeting 19.02.09 Accounts   3322_ATC Revised june 10_HYR_ATC_Jan_11_org" xfId="358"/>
    <cellStyle name="_MD Meeting 19.02.09 Accounts   3322_ATC Revised june 10_HYR_ATC_Jan_11_org 2" xfId="359"/>
    <cellStyle name="_MD Meeting 19.02.09 Accounts   3322_ATC Revised june 10_HYR_ATC_Jan_11_org 3" xfId="360"/>
    <cellStyle name="_MD Meeting 19.02.09 Accounts   3322_ATC Revised june 10_HYR_ATC_Jan_11_org 4" xfId="361"/>
    <cellStyle name="_MD Meeting 19.02.09 Accounts   3322_ATC Revised june 10_HYR_ATC_Jan_11_org 5" xfId="362"/>
    <cellStyle name="_MD Meeting 19.02.09 Accounts   3322_ATC Revised june 10_HYR_ATC_Jan_11_org 6" xfId="363"/>
    <cellStyle name="_MD Meeting 19.02.09 Accounts   3322_ATC_FEB__2011_hyr_dn" xfId="364"/>
    <cellStyle name="_MD Meeting 19.02.09 Accounts   3322_ATC_FEB__2011_hyr_dn 2" xfId="365"/>
    <cellStyle name="_MD Meeting 19.02.09 Accounts   3322_ATC_FEB__2011_hyr_dn 3" xfId="366"/>
    <cellStyle name="_MD Meeting 19.02.09 Accounts   3322_ATC_FEB__2011_hyr_dn 4" xfId="367"/>
    <cellStyle name="_MD Meeting 19.02.09 Accounts   3322_ATC_FEB__2011_hyr_dn 5" xfId="368"/>
    <cellStyle name="_MD Meeting 19.02.09 Accounts   3322_ATC_FEB__2011_hyr_dn 6" xfId="369"/>
    <cellStyle name="_MD Meeting 19.02.09 Accounts   3322_Circle- Feb 2011 SOW P&amp;M" xfId="370"/>
    <cellStyle name="_MD Meeting 19.02.09 Accounts   3322_Circle- Feb 2011 SOW P&amp;M 2" xfId="371"/>
    <cellStyle name="_MD Meeting 19.02.09 Accounts   3322_Circle- Feb 2011 SOW P&amp;M 3" xfId="372"/>
    <cellStyle name="_MD Meeting 19.02.09 Accounts   3322_Circle- Feb 2011 SOW P&amp;M 4" xfId="373"/>
    <cellStyle name="_MD Meeting 19.02.09 Accounts   3322_Circle- Feb 2011 SOW P&amp;M 5" xfId="374"/>
    <cellStyle name="_MD Meeting 19.02.09 Accounts   3322_Circle- Feb 2011 SOW P&amp;M 6" xfId="375"/>
    <cellStyle name="_MD Meeting 19.02.09 Accounts   3322_Circle- Feb 2011 SOW P&amp;M_Copy P&amp;F Dec-2011(F)" xfId="376"/>
    <cellStyle name="_MD Meeting 19.02.09 Accounts   3322_Circle- Jan 2011 SOW P&amp;M" xfId="377"/>
    <cellStyle name="_MD Meeting 19.02.09 Accounts   3322_Circle- Jan 2011 SOW P&amp;M 2" xfId="378"/>
    <cellStyle name="_MD Meeting 19.02.09 Accounts   3322_Circle- Jan 2011 SOW P&amp;M 3" xfId="379"/>
    <cellStyle name="_MD Meeting 19.02.09 Accounts   3322_Circle- Jan 2011 SOW P&amp;M 4" xfId="380"/>
    <cellStyle name="_MD Meeting 19.02.09 Accounts   3322_Circle- Jan 2011 SOW P&amp;M 5" xfId="381"/>
    <cellStyle name="_MD Meeting 19.02.09 Accounts   3322_Circle- Jan 2011 SOW P&amp;M 6" xfId="382"/>
    <cellStyle name="_MD Meeting 19.02.09 Accounts   3322_Circle-_August_2010_SOW_P&amp;M(1)" xfId="383"/>
    <cellStyle name="_MD Meeting 19.02.09 Accounts   3322_Circle-_August_2010_SOW_P&amp;M(1) 2" xfId="384"/>
    <cellStyle name="_MD Meeting 19.02.09 Accounts   3322_Circle-_August_2010_SOW_P&amp;M(1) 3" xfId="385"/>
    <cellStyle name="_MD Meeting 19.02.09 Accounts   3322_Circle-_August_2010_SOW_P&amp;M(1) 4" xfId="386"/>
    <cellStyle name="_MD Meeting 19.02.09 Accounts   3322_Circle-_August_2010_SOW_P&amp;M(1) 5" xfId="387"/>
    <cellStyle name="_MD Meeting 19.02.09 Accounts   3322_Circle-_August_2010_SOW_P&amp;M(1) 6" xfId="388"/>
    <cellStyle name="_MD Meeting 19.02.09 Accounts   3322_Circle-_August_2010_SOW_P&amp;M(1)_Copy P&amp;F Dec-2011(F)" xfId="389"/>
    <cellStyle name="_MD Meeting 19.02.09 Accounts   3322_CTA" xfId="390"/>
    <cellStyle name="_MD Meeting 19.02.09 Accounts   3322_CTA(R)_Aug-09" xfId="391"/>
    <cellStyle name="_MD Meeting 19.02.09 Accounts   3322_CTA(R)_Aug-09_Circle- Feb 2011 SOW P&amp;M" xfId="392"/>
    <cellStyle name="_MD Meeting 19.02.09 Accounts   3322_CTA(R)_Aug-09_Circle- Feb 2011 SOW P&amp;M 2" xfId="393"/>
    <cellStyle name="_MD Meeting 19.02.09 Accounts   3322_CTA(R)_Aug-09_Circle- Feb 2011 SOW P&amp;M 3" xfId="394"/>
    <cellStyle name="_MD Meeting 19.02.09 Accounts   3322_CTA(R)_Aug-09_Circle- Feb 2011 SOW P&amp;M 4" xfId="395"/>
    <cellStyle name="_MD Meeting 19.02.09 Accounts   3322_CTA(R)_Aug-09_Circle- Feb 2011 SOW P&amp;M 5" xfId="396"/>
    <cellStyle name="_MD Meeting 19.02.09 Accounts   3322_CTA(R)_Aug-09_Circle- Feb 2011 SOW P&amp;M 6" xfId="397"/>
    <cellStyle name="_MD Meeting 19.02.09 Accounts   3322_CTA(R)_Aug-09_Circle- Feb 2011 SOW P&amp;M_Copy P&amp;F Dec-2011(F)" xfId="398"/>
    <cellStyle name="_MD Meeting 19.02.09 Accounts   3322_CTA(R)_Aug-09_Circle- Jan 2011 SOW P&amp;M" xfId="399"/>
    <cellStyle name="_MD Meeting 19.02.09 Accounts   3322_CTA(R)_Aug-09_Circle- Jan 2011 SOW P&amp;M 2" xfId="400"/>
    <cellStyle name="_MD Meeting 19.02.09 Accounts   3322_CTA(R)_Aug-09_Circle- Jan 2011 SOW P&amp;M 3" xfId="401"/>
    <cellStyle name="_MD Meeting 19.02.09 Accounts   3322_CTA(R)_Aug-09_Circle- Jan 2011 SOW P&amp;M 4" xfId="402"/>
    <cellStyle name="_MD Meeting 19.02.09 Accounts   3322_CTA(R)_Aug-09_Circle- Jan 2011 SOW P&amp;M 5" xfId="403"/>
    <cellStyle name="_MD Meeting 19.02.09 Accounts   3322_CTA(R)_Aug-09_Circle- Jan 2011 SOW P&amp;M 6" xfId="404"/>
    <cellStyle name="_MD Meeting 19.02.09 Accounts   3322_CTA(R)_Aug-09_Circle-_August_2010_SOW_P&amp;M(1)" xfId="405"/>
    <cellStyle name="_MD Meeting 19.02.09 Accounts   3322_CTA(R)_Aug-09_Circle-_August_2010_SOW_P&amp;M(1) 2" xfId="406"/>
    <cellStyle name="_MD Meeting 19.02.09 Accounts   3322_CTA(R)_Aug-09_Circle-_August_2010_SOW_P&amp;M(1) 3" xfId="407"/>
    <cellStyle name="_MD Meeting 19.02.09 Accounts   3322_CTA(R)_Aug-09_Circle-_August_2010_SOW_P&amp;M(1) 4" xfId="408"/>
    <cellStyle name="_MD Meeting 19.02.09 Accounts   3322_CTA(R)_Aug-09_Circle-_August_2010_SOW_P&amp;M(1) 5" xfId="409"/>
    <cellStyle name="_MD Meeting 19.02.09 Accounts   3322_CTA(R)_Aug-09_Circle-_August_2010_SOW_P&amp;M(1) 6" xfId="410"/>
    <cellStyle name="_MD Meeting 19.02.09 Accounts   3322_CTA(R)_Aug-09_Circle-_August_2010_SOW_P&amp;M(1)_Copy P&amp;F Dec-2011(F)" xfId="411"/>
    <cellStyle name="_MD Meeting 19.02.09 Accounts   3322_CTA(R)_Aug-09_P&amp;F Zone" xfId="412"/>
    <cellStyle name="_MD Meeting 19.02.09 Accounts   3322_CTA(R)_Aug-09_P&amp;F Zone 2" xfId="413"/>
    <cellStyle name="_MD Meeting 19.02.09 Accounts   3322_CTA(R)_Aug-09_P&amp;F Zone 3" xfId="414"/>
    <cellStyle name="_MD Meeting 19.02.09 Accounts   3322_CTA(R)_Aug-09_P&amp;F Zone 4" xfId="415"/>
    <cellStyle name="_MD Meeting 19.02.09 Accounts   3322_CTA(R)_Aug-09_P&amp;F Zone 5" xfId="416"/>
    <cellStyle name="_MD Meeting 19.02.09 Accounts   3322_CTA(R)_Aug-09_P&amp;F Zone 6" xfId="417"/>
    <cellStyle name="_MD Meeting 19.02.09 Accounts   3322_CTA(R)_Aug-09_Revise-CTA(NF, Spill OVer Works)." xfId="418"/>
    <cellStyle name="_MD Meeting 19.02.09 Accounts   3322_CTA(R)_Aug-09_Revise-CTA(NF, Spill OVer Works). 2" xfId="419"/>
    <cellStyle name="_MD Meeting 19.02.09 Accounts   3322_CTA(R)_Aug-09_Revise-CTA(NF, Spill OVer Works). 3" xfId="420"/>
    <cellStyle name="_MD Meeting 19.02.09 Accounts   3322_CTA(R)_Aug-09_Revise-CTA(NF, Spill OVer Works). 4" xfId="421"/>
    <cellStyle name="_MD Meeting 19.02.09 Accounts   3322_CTA(R)_Aug-09_Revise-CTA(NF, Spill OVer Works). 5" xfId="422"/>
    <cellStyle name="_MD Meeting 19.02.09 Accounts   3322_CTA(R)_Aug-09_Revise-CTA(NF, Spill OVer Works). 6" xfId="423"/>
    <cellStyle name="_MD Meeting 19.02.09 Accounts   3322_CTA_Circle- Feb 2011 SOW P&amp;M" xfId="424"/>
    <cellStyle name="_MD Meeting 19.02.09 Accounts   3322_CTA_Circle- Feb 2011 SOW P&amp;M 2" xfId="425"/>
    <cellStyle name="_MD Meeting 19.02.09 Accounts   3322_CTA_Circle- Feb 2011 SOW P&amp;M 3" xfId="426"/>
    <cellStyle name="_MD Meeting 19.02.09 Accounts   3322_CTA_Circle- Feb 2011 SOW P&amp;M 4" xfId="427"/>
    <cellStyle name="_MD Meeting 19.02.09 Accounts   3322_CTA_Circle- Feb 2011 SOW P&amp;M 5" xfId="428"/>
    <cellStyle name="_MD Meeting 19.02.09 Accounts   3322_CTA_Circle- Feb 2011 SOW P&amp;M 6" xfId="429"/>
    <cellStyle name="_MD Meeting 19.02.09 Accounts   3322_CTA_Circle- Feb 2011 SOW P&amp;M_Copy P&amp;F Dec-2011(F)" xfId="430"/>
    <cellStyle name="_MD Meeting 19.02.09 Accounts   3322_CTA_Circle- Jan 2011 SOW P&amp;M" xfId="431"/>
    <cellStyle name="_MD Meeting 19.02.09 Accounts   3322_CTA_Circle- Jan 2011 SOW P&amp;M 2" xfId="432"/>
    <cellStyle name="_MD Meeting 19.02.09 Accounts   3322_CTA_Circle- Jan 2011 SOW P&amp;M 3" xfId="433"/>
    <cellStyle name="_MD Meeting 19.02.09 Accounts   3322_CTA_Circle- Jan 2011 SOW P&amp;M 4" xfId="434"/>
    <cellStyle name="_MD Meeting 19.02.09 Accounts   3322_CTA_Circle- Jan 2011 SOW P&amp;M 5" xfId="435"/>
    <cellStyle name="_MD Meeting 19.02.09 Accounts   3322_CTA_Circle- Jan 2011 SOW P&amp;M 6" xfId="436"/>
    <cellStyle name="_MD Meeting 19.02.09 Accounts   3322_CTA_Circle-_August_2010_SOW_P&amp;M(1)" xfId="437"/>
    <cellStyle name="_MD Meeting 19.02.09 Accounts   3322_CTA_Circle-_August_2010_SOW_P&amp;M(1) 2" xfId="438"/>
    <cellStyle name="_MD Meeting 19.02.09 Accounts   3322_CTA_Circle-_August_2010_SOW_P&amp;M(1) 3" xfId="439"/>
    <cellStyle name="_MD Meeting 19.02.09 Accounts   3322_CTA_Circle-_August_2010_SOW_P&amp;M(1) 4" xfId="440"/>
    <cellStyle name="_MD Meeting 19.02.09 Accounts   3322_CTA_Circle-_August_2010_SOW_P&amp;M(1) 5" xfId="441"/>
    <cellStyle name="_MD Meeting 19.02.09 Accounts   3322_CTA_Circle-_August_2010_SOW_P&amp;M(1) 6" xfId="442"/>
    <cellStyle name="_MD Meeting 19.02.09 Accounts   3322_CTA_Circle-_August_2010_SOW_P&amp;M(1)_Copy P&amp;F Dec-2011(F)" xfId="443"/>
    <cellStyle name="_MD Meeting 19.02.09 Accounts   3322_CTA_P&amp;F Zone" xfId="444"/>
    <cellStyle name="_MD Meeting 19.02.09 Accounts   3322_CTA_P&amp;F Zone 2" xfId="445"/>
    <cellStyle name="_MD Meeting 19.02.09 Accounts   3322_CTA_P&amp;F Zone 3" xfId="446"/>
    <cellStyle name="_MD Meeting 19.02.09 Accounts   3322_CTA_P&amp;F Zone 4" xfId="447"/>
    <cellStyle name="_MD Meeting 19.02.09 Accounts   3322_CTA_P&amp;F Zone 5" xfId="448"/>
    <cellStyle name="_MD Meeting 19.02.09 Accounts   3322_CTA_P&amp;F Zone 6" xfId="449"/>
    <cellStyle name="_MD Meeting 19.02.09 Accounts   3322_CTA_Revise-CTA(NF, Spill OVer Works)." xfId="450"/>
    <cellStyle name="_MD Meeting 19.02.09 Accounts   3322_CTA_Revise-CTA(NF, Spill OVer Works). 2" xfId="451"/>
    <cellStyle name="_MD Meeting 19.02.09 Accounts   3322_CTA_Revise-CTA(NF, Spill OVer Works). 3" xfId="452"/>
    <cellStyle name="_MD Meeting 19.02.09 Accounts   3322_CTA_Revise-CTA(NF, Spill OVer Works). 4" xfId="453"/>
    <cellStyle name="_MD Meeting 19.02.09 Accounts   3322_CTA_Revise-CTA(NF, Spill OVer Works). 5" xfId="454"/>
    <cellStyle name="_MD Meeting 19.02.09 Accounts   3322_CTA_Revise-CTA(NF, Spill OVer Works). 6" xfId="455"/>
    <cellStyle name="_MD Meeting 19.02.09 Accounts   3322_Division_wise_capex_works_se-dvg(1)" xfId="456"/>
    <cellStyle name="_MD Meeting 19.02.09 Accounts   3322_Feb-11_ATC HRR" xfId="457"/>
    <cellStyle name="_MD Meeting 19.02.09 Accounts   3322_Feb-11_ATC HRR_Chief_off_format" xfId="458"/>
    <cellStyle name="_MD Meeting 19.02.09 Accounts   3322_Feederwise_ATC CLK" xfId="459"/>
    <cellStyle name="_MD Meeting 19.02.09 Accounts   3322_Feederwise_ATC CLK 2" xfId="460"/>
    <cellStyle name="_MD Meeting 19.02.09 Accounts   3322_Feederwise_ATC CLK_ATC_FEB__2011_hyr_dn" xfId="461"/>
    <cellStyle name="_MD Meeting 19.02.09 Accounts   3322_Feederwise_ATC CLK_ATC_FEB__2011_hyr_dn 2" xfId="462"/>
    <cellStyle name="_MD Meeting 19.02.09 Accounts   3322_Feederwise_ATC CLK_ATC_FEB__2011_hyr_dn 3" xfId="463"/>
    <cellStyle name="_MD Meeting 19.02.09 Accounts   3322_Feederwise_ATC CLK_ATC_FEB__2011_hyr_dn 4" xfId="464"/>
    <cellStyle name="_MD Meeting 19.02.09 Accounts   3322_Feederwise_ATC CLK_ATC_FEB__2011_hyr_dn 5" xfId="465"/>
    <cellStyle name="_MD Meeting 19.02.09 Accounts   3322_Feederwise_ATC CLK_ATC_FEB__2011_hyr_dn 6" xfId="466"/>
    <cellStyle name="_MD Meeting 19.02.09 Accounts   3322_Feederwise_ATC CLK_HYR_ATC_Jan_11_org" xfId="467"/>
    <cellStyle name="_MD Meeting 19.02.09 Accounts   3322_Feederwise_ATC CLK_HYR_ATC_Jan_11_org 2" xfId="468"/>
    <cellStyle name="_MD Meeting 19.02.09 Accounts   3322_Feederwise_ATC CLK_HYR_ATC_Jan_11_org 3" xfId="469"/>
    <cellStyle name="_MD Meeting 19.02.09 Accounts   3322_Feederwise_ATC CLK_HYR_ATC_Jan_11_org 4" xfId="470"/>
    <cellStyle name="_MD Meeting 19.02.09 Accounts   3322_Feederwise_ATC CLK_HYR_ATC_Jan_11_org 5" xfId="471"/>
    <cellStyle name="_MD Meeting 19.02.09 Accounts   3322_Feederwise_ATC CLK_HYR_ATC_Jan_11_org 6" xfId="472"/>
    <cellStyle name="_MD Meeting 19.02.09 Accounts   3322_Feederwise_ATC_AUG-10 (5)" xfId="473"/>
    <cellStyle name="_MD Meeting 19.02.09 Accounts   3322_Feederwise_ATC_AUG-10 (5) 2" xfId="474"/>
    <cellStyle name="_MD Meeting 19.02.09 Accounts   3322_Feederwise_ATC_AUG-10 (5)_ATC_FEB__2011_hyr_dn" xfId="475"/>
    <cellStyle name="_MD Meeting 19.02.09 Accounts   3322_Feederwise_ATC_AUG-10 (5)_ATC_FEB__2011_hyr_dn 2" xfId="476"/>
    <cellStyle name="_MD Meeting 19.02.09 Accounts   3322_Feederwise_ATC_AUG-10 (5)_ATC_FEB__2011_hyr_dn 3" xfId="477"/>
    <cellStyle name="_MD Meeting 19.02.09 Accounts   3322_Feederwise_ATC_AUG-10 (5)_ATC_FEB__2011_hyr_dn 4" xfId="478"/>
    <cellStyle name="_MD Meeting 19.02.09 Accounts   3322_Feederwise_ATC_AUG-10 (5)_ATC_FEB__2011_hyr_dn 5" xfId="479"/>
    <cellStyle name="_MD Meeting 19.02.09 Accounts   3322_Feederwise_ATC_AUG-10 (5)_ATC_FEB__2011_hyr_dn 6" xfId="480"/>
    <cellStyle name="_MD Meeting 19.02.09 Accounts   3322_HRR ATC Dec-10 ATC" xfId="481"/>
    <cellStyle name="_MD Meeting 19.02.09 Accounts   3322_HRR ATC Dec-10 ATC_Chief_off_format" xfId="482"/>
    <cellStyle name="_MD Meeting 19.02.09 Accounts   3322_HRR ATC Jan-11" xfId="483"/>
    <cellStyle name="_MD Meeting 19.02.09 Accounts   3322_HRR ATC Jan-11_Chief_off_format" xfId="484"/>
    <cellStyle name="_MD Meeting 19.02.09 Accounts   3322_HRR March-11_ATC" xfId="485"/>
    <cellStyle name="_MD Meeting 19.02.09 Accounts   3322_HRR March-11_ATC_Chief_off_format" xfId="486"/>
    <cellStyle name="_MD Meeting 19.02.09 Accounts   3322_HRR Nov-10_ATC" xfId="487"/>
    <cellStyle name="_MD Meeting 19.02.09 Accounts   3322_HYR_ATC_Jan_11_org" xfId="488"/>
    <cellStyle name="_MD Meeting 19.02.09 Accounts   3322_HYR_ATC_Jan_11_org 2" xfId="489"/>
    <cellStyle name="_MD Meeting 19.02.09 Accounts   3322_HYR_ATC_Jan_11_org 3" xfId="490"/>
    <cellStyle name="_MD Meeting 19.02.09 Accounts   3322_HYR_ATC_Jan_11_org 4" xfId="491"/>
    <cellStyle name="_MD Meeting 19.02.09 Accounts   3322_HYR_ATC_Jan_11_org 5" xfId="492"/>
    <cellStyle name="_MD Meeting 19.02.09 Accounts   3322_HYR_ATC_Jan_11_org 6" xfId="493"/>
    <cellStyle name="_MD Meeting 19.02.09 Accounts   3322_P&amp;F Zone" xfId="494"/>
    <cellStyle name="_MD Meeting 19.02.09 Accounts   3322_P&amp;F Zone 2" xfId="495"/>
    <cellStyle name="_MD Meeting 19.02.09 Accounts   3322_P&amp;F Zone 3" xfId="496"/>
    <cellStyle name="_MD Meeting 19.02.09 Accounts   3322_P&amp;F Zone 4" xfId="497"/>
    <cellStyle name="_MD Meeting 19.02.09 Accounts   3322_P&amp;F Zone 5" xfId="498"/>
    <cellStyle name="_MD Meeting 19.02.09 Accounts   3322_P&amp;F Zone 6" xfId="499"/>
    <cellStyle name="_MD Meeting 19.02.09 Accounts   3322_Revise-CTA(NF, Spill OVer Works)." xfId="500"/>
    <cellStyle name="_MD Meeting 19.02.09 Accounts   3322_Revise-CTA(NF, Spill OVer Works). 2" xfId="501"/>
    <cellStyle name="_MD Meeting 19.02.09 Accounts   3322_Revise-CTA(NF, Spill OVer Works). 3" xfId="502"/>
    <cellStyle name="_MD Meeting 19.02.09 Accounts   3322_Revise-CTA(NF, Spill OVer Works). 4" xfId="503"/>
    <cellStyle name="_MD Meeting 19.02.09 Accounts   3322_Revise-CTA(NF, Spill OVer Works). 5" xfId="504"/>
    <cellStyle name="_MD Meeting 19.02.09 Accounts   3322_Revise-CTA(NF, Spill OVer Works). 6" xfId="505"/>
    <cellStyle name="_MD Meeting 19.02.09 Accounts 2" xfId="506"/>
    <cellStyle name="_MD Meeting 19.02.09 Accounts_ATC MLK REVISED JUNE 10" xfId="507"/>
    <cellStyle name="_MD Meeting 19.02.09 Accounts_ATC MLK REVISED JUNE 10 2" xfId="508"/>
    <cellStyle name="_MD Meeting 19.02.09 Accounts_ATC MLK REVISED JUNE 10_ATC oct 10 hyr dn org 2003 format" xfId="509"/>
    <cellStyle name="_MD Meeting 19.02.09 Accounts_ATC MLK REVISED JUNE 10_ATC_FEB__2011_hyr_dn" xfId="510"/>
    <cellStyle name="_MD Meeting 19.02.09 Accounts_ATC MLK REVISED JUNE 10_ATC_FEB__2011_hyr_dn 2" xfId="511"/>
    <cellStyle name="_MD Meeting 19.02.09 Accounts_ATC MLK REVISED JUNE 10_ATC_FEB__2011_hyr_dn 3" xfId="512"/>
    <cellStyle name="_MD Meeting 19.02.09 Accounts_ATC MLK REVISED JUNE 10_ATC_FEB__2011_hyr_dn 4" xfId="513"/>
    <cellStyle name="_MD Meeting 19.02.09 Accounts_ATC MLK REVISED JUNE 10_ATC_FEB__2011_hyr_dn 5" xfId="514"/>
    <cellStyle name="_MD Meeting 19.02.09 Accounts_ATC MLK REVISED JUNE 10_ATC_FEB__2011_hyr_dn 6" xfId="515"/>
    <cellStyle name="_MD Meeting 19.02.09 Accounts_ATC MLK REVISED JUNE 10_Feb-11_ATC HRR" xfId="516"/>
    <cellStyle name="_MD Meeting 19.02.09 Accounts_ATC MLK REVISED JUNE 10_Feb-11_ATC HRR_Chief_off_format" xfId="517"/>
    <cellStyle name="_MD Meeting 19.02.09 Accounts_ATC MLK REVISED JUNE 10_HRR ATC Dec-10 ATC" xfId="518"/>
    <cellStyle name="_MD Meeting 19.02.09 Accounts_ATC MLK REVISED JUNE 10_HRR ATC Dec-10 ATC_Chief_off_format" xfId="519"/>
    <cellStyle name="_MD Meeting 19.02.09 Accounts_ATC MLK REVISED JUNE 10_HRR ATC Jan-11" xfId="520"/>
    <cellStyle name="_MD Meeting 19.02.09 Accounts_ATC MLK REVISED JUNE 10_HRR ATC Jan-11_Chief_off_format" xfId="521"/>
    <cellStyle name="_MD Meeting 19.02.09 Accounts_ATC MLK REVISED JUNE 10_HRR March-11_ATC" xfId="522"/>
    <cellStyle name="_MD Meeting 19.02.09 Accounts_ATC MLK REVISED JUNE 10_HRR March-11_ATC_Chief_off_format" xfId="523"/>
    <cellStyle name="_MD Meeting 19.02.09 Accounts_ATC MLK REVISED JUNE 10_HRR Nov-10_ATC" xfId="524"/>
    <cellStyle name="_MD Meeting 19.02.09 Accounts_ATC MLK REVISED JUNE 10_HYR_ATC_Jan_11_org" xfId="525"/>
    <cellStyle name="_MD Meeting 19.02.09 Accounts_ATC MLK REVISED JUNE 10_HYR_ATC_Jan_11_org 2" xfId="526"/>
    <cellStyle name="_MD Meeting 19.02.09 Accounts_ATC MLK REVISED JUNE 10_HYR_ATC_Jan_11_org 3" xfId="527"/>
    <cellStyle name="_MD Meeting 19.02.09 Accounts_ATC MLK REVISED JUNE 10_HYR_ATC_Jan_11_org 4" xfId="528"/>
    <cellStyle name="_MD Meeting 19.02.09 Accounts_ATC MLK REVISED JUNE 10_HYR_ATC_Jan_11_org 5" xfId="529"/>
    <cellStyle name="_MD Meeting 19.02.09 Accounts_ATC MLK REVISED JUNE 10_HYR_ATC_Jan_11_org 6" xfId="530"/>
    <cellStyle name="_MD Meeting 19.02.09 Accounts_ATC oct 10 hyr dn org 2003 format" xfId="531"/>
    <cellStyle name="_MD Meeting 19.02.09 Accounts_ATC Revised june 10" xfId="532"/>
    <cellStyle name="_MD Meeting 19.02.09 Accounts_ATC Revised june 10 2" xfId="533"/>
    <cellStyle name="_MD Meeting 19.02.09 Accounts_ATC Revised june 10_ATC_FEB__2011_hyr_dn" xfId="534"/>
    <cellStyle name="_MD Meeting 19.02.09 Accounts_ATC Revised june 10_ATC_FEB__2011_hyr_dn 2" xfId="535"/>
    <cellStyle name="_MD Meeting 19.02.09 Accounts_ATC Revised june 10_ATC_FEB__2011_hyr_dn 3" xfId="536"/>
    <cellStyle name="_MD Meeting 19.02.09 Accounts_ATC Revised june 10_ATC_FEB__2011_hyr_dn 4" xfId="537"/>
    <cellStyle name="_MD Meeting 19.02.09 Accounts_ATC Revised june 10_ATC_FEB__2011_hyr_dn 5" xfId="538"/>
    <cellStyle name="_MD Meeting 19.02.09 Accounts_ATC Revised june 10_ATC_FEB__2011_hyr_dn 6" xfId="539"/>
    <cellStyle name="_MD Meeting 19.02.09 Accounts_ATC Revised june 10_HYR_ATC_Jan_11_org" xfId="540"/>
    <cellStyle name="_MD Meeting 19.02.09 Accounts_ATC Revised june 10_HYR_ATC_Jan_11_org 2" xfId="541"/>
    <cellStyle name="_MD Meeting 19.02.09 Accounts_ATC Revised june 10_HYR_ATC_Jan_11_org 3" xfId="542"/>
    <cellStyle name="_MD Meeting 19.02.09 Accounts_ATC Revised june 10_HYR_ATC_Jan_11_org 4" xfId="543"/>
    <cellStyle name="_MD Meeting 19.02.09 Accounts_ATC Revised june 10_HYR_ATC_Jan_11_org 5" xfId="544"/>
    <cellStyle name="_MD Meeting 19.02.09 Accounts_ATC Revised june 10_HYR_ATC_Jan_11_org 6" xfId="545"/>
    <cellStyle name="_MD Meeting 19.02.09 Accounts_ATC_FEB__2011_hyr_dn" xfId="546"/>
    <cellStyle name="_MD Meeting 19.02.09 Accounts_ATC_FEB__2011_hyr_dn 2" xfId="547"/>
    <cellStyle name="_MD Meeting 19.02.09 Accounts_ATC_FEB__2011_hyr_dn 3" xfId="548"/>
    <cellStyle name="_MD Meeting 19.02.09 Accounts_ATC_FEB__2011_hyr_dn 4" xfId="549"/>
    <cellStyle name="_MD Meeting 19.02.09 Accounts_ATC_FEB__2011_hyr_dn 5" xfId="550"/>
    <cellStyle name="_MD Meeting 19.02.09 Accounts_ATC_FEB__2011_hyr_dn 6" xfId="551"/>
    <cellStyle name="_MD Meeting 19.02.09 Accounts_Circle- Feb 2011 SOW P&amp;M" xfId="552"/>
    <cellStyle name="_MD Meeting 19.02.09 Accounts_Circle- Feb 2011 SOW P&amp;M 2" xfId="553"/>
    <cellStyle name="_MD Meeting 19.02.09 Accounts_Circle- Feb 2011 SOW P&amp;M 3" xfId="554"/>
    <cellStyle name="_MD Meeting 19.02.09 Accounts_Circle- Feb 2011 SOW P&amp;M 4" xfId="555"/>
    <cellStyle name="_MD Meeting 19.02.09 Accounts_Circle- Feb 2011 SOW P&amp;M 5" xfId="556"/>
    <cellStyle name="_MD Meeting 19.02.09 Accounts_Circle- Feb 2011 SOW P&amp;M 6" xfId="557"/>
    <cellStyle name="_MD Meeting 19.02.09 Accounts_Circle- Feb 2011 SOW P&amp;M_Copy P&amp;F Dec-2011(F)" xfId="558"/>
    <cellStyle name="_MD Meeting 19.02.09 Accounts_Circle- Jan 2011 SOW P&amp;M" xfId="559"/>
    <cellStyle name="_MD Meeting 19.02.09 Accounts_Circle- Jan 2011 SOW P&amp;M 2" xfId="560"/>
    <cellStyle name="_MD Meeting 19.02.09 Accounts_Circle- Jan 2011 SOW P&amp;M 3" xfId="561"/>
    <cellStyle name="_MD Meeting 19.02.09 Accounts_Circle- Jan 2011 SOW P&amp;M 4" xfId="562"/>
    <cellStyle name="_MD Meeting 19.02.09 Accounts_Circle- Jan 2011 SOW P&amp;M 5" xfId="563"/>
    <cellStyle name="_MD Meeting 19.02.09 Accounts_Circle- Jan 2011 SOW P&amp;M 6" xfId="564"/>
    <cellStyle name="_MD Meeting 19.02.09 Accounts_Circle-_August_2010_SOW_P&amp;M(1)" xfId="565"/>
    <cellStyle name="_MD Meeting 19.02.09 Accounts_Circle-_August_2010_SOW_P&amp;M(1) 2" xfId="566"/>
    <cellStyle name="_MD Meeting 19.02.09 Accounts_Circle-_August_2010_SOW_P&amp;M(1) 3" xfId="567"/>
    <cellStyle name="_MD Meeting 19.02.09 Accounts_Circle-_August_2010_SOW_P&amp;M(1) 4" xfId="568"/>
    <cellStyle name="_MD Meeting 19.02.09 Accounts_Circle-_August_2010_SOW_P&amp;M(1) 5" xfId="569"/>
    <cellStyle name="_MD Meeting 19.02.09 Accounts_Circle-_August_2010_SOW_P&amp;M(1) 6" xfId="570"/>
    <cellStyle name="_MD Meeting 19.02.09 Accounts_Circle-_August_2010_SOW_P&amp;M(1)_Copy P&amp;F Dec-2011(F)" xfId="571"/>
    <cellStyle name="_MD Meeting 19.02.09 Accounts_CTA" xfId="572"/>
    <cellStyle name="_MD Meeting 19.02.09 Accounts_CTA(R)_Aug-09" xfId="573"/>
    <cellStyle name="_MD Meeting 19.02.09 Accounts_CTA(R)_Aug-09_Circle- Feb 2011 SOW P&amp;M" xfId="574"/>
    <cellStyle name="_MD Meeting 19.02.09 Accounts_CTA(R)_Aug-09_Circle- Feb 2011 SOW P&amp;M 2" xfId="575"/>
    <cellStyle name="_MD Meeting 19.02.09 Accounts_CTA(R)_Aug-09_Circle- Feb 2011 SOW P&amp;M 3" xfId="576"/>
    <cellStyle name="_MD Meeting 19.02.09 Accounts_CTA(R)_Aug-09_Circle- Feb 2011 SOW P&amp;M 4" xfId="577"/>
    <cellStyle name="_MD Meeting 19.02.09 Accounts_CTA(R)_Aug-09_Circle- Feb 2011 SOW P&amp;M 5" xfId="578"/>
    <cellStyle name="_MD Meeting 19.02.09 Accounts_CTA(R)_Aug-09_Circle- Feb 2011 SOW P&amp;M 6" xfId="579"/>
    <cellStyle name="_MD Meeting 19.02.09 Accounts_CTA(R)_Aug-09_Circle- Feb 2011 SOW P&amp;M_Copy P&amp;F Dec-2011(F)" xfId="580"/>
    <cellStyle name="_MD Meeting 19.02.09 Accounts_CTA(R)_Aug-09_Circle- Jan 2011 SOW P&amp;M" xfId="581"/>
    <cellStyle name="_MD Meeting 19.02.09 Accounts_CTA(R)_Aug-09_Circle- Jan 2011 SOW P&amp;M 2" xfId="582"/>
    <cellStyle name="_MD Meeting 19.02.09 Accounts_CTA(R)_Aug-09_Circle- Jan 2011 SOW P&amp;M 3" xfId="583"/>
    <cellStyle name="_MD Meeting 19.02.09 Accounts_CTA(R)_Aug-09_Circle- Jan 2011 SOW P&amp;M 4" xfId="584"/>
    <cellStyle name="_MD Meeting 19.02.09 Accounts_CTA(R)_Aug-09_Circle- Jan 2011 SOW P&amp;M 5" xfId="585"/>
    <cellStyle name="_MD Meeting 19.02.09 Accounts_CTA(R)_Aug-09_Circle- Jan 2011 SOW P&amp;M 6" xfId="586"/>
    <cellStyle name="_MD Meeting 19.02.09 Accounts_CTA(R)_Aug-09_Circle-_August_2010_SOW_P&amp;M(1)" xfId="587"/>
    <cellStyle name="_MD Meeting 19.02.09 Accounts_CTA(R)_Aug-09_Circle-_August_2010_SOW_P&amp;M(1) 2" xfId="588"/>
    <cellStyle name="_MD Meeting 19.02.09 Accounts_CTA(R)_Aug-09_Circle-_August_2010_SOW_P&amp;M(1) 3" xfId="589"/>
    <cellStyle name="_MD Meeting 19.02.09 Accounts_CTA(R)_Aug-09_Circle-_August_2010_SOW_P&amp;M(1) 4" xfId="590"/>
    <cellStyle name="_MD Meeting 19.02.09 Accounts_CTA(R)_Aug-09_Circle-_August_2010_SOW_P&amp;M(1) 5" xfId="591"/>
    <cellStyle name="_MD Meeting 19.02.09 Accounts_CTA(R)_Aug-09_Circle-_August_2010_SOW_P&amp;M(1) 6" xfId="592"/>
    <cellStyle name="_MD Meeting 19.02.09 Accounts_CTA(R)_Aug-09_Circle-_August_2010_SOW_P&amp;M(1)_Copy P&amp;F Dec-2011(F)" xfId="593"/>
    <cellStyle name="_MD Meeting 19.02.09 Accounts_CTA(R)_Aug-09_P&amp;F Zone" xfId="594"/>
    <cellStyle name="_MD Meeting 19.02.09 Accounts_CTA(R)_Aug-09_P&amp;F Zone 2" xfId="595"/>
    <cellStyle name="_MD Meeting 19.02.09 Accounts_CTA(R)_Aug-09_P&amp;F Zone 3" xfId="596"/>
    <cellStyle name="_MD Meeting 19.02.09 Accounts_CTA(R)_Aug-09_P&amp;F Zone 4" xfId="597"/>
    <cellStyle name="_MD Meeting 19.02.09 Accounts_CTA(R)_Aug-09_P&amp;F Zone 5" xfId="598"/>
    <cellStyle name="_MD Meeting 19.02.09 Accounts_CTA(R)_Aug-09_P&amp;F Zone 6" xfId="599"/>
    <cellStyle name="_MD Meeting 19.02.09 Accounts_CTA(R)_Aug-09_Revise-CTA(NF, Spill OVer Works)." xfId="600"/>
    <cellStyle name="_MD Meeting 19.02.09 Accounts_CTA(R)_Aug-09_Revise-CTA(NF, Spill OVer Works). 2" xfId="601"/>
    <cellStyle name="_MD Meeting 19.02.09 Accounts_CTA(R)_Aug-09_Revise-CTA(NF, Spill OVer Works). 3" xfId="602"/>
    <cellStyle name="_MD Meeting 19.02.09 Accounts_CTA(R)_Aug-09_Revise-CTA(NF, Spill OVer Works). 4" xfId="603"/>
    <cellStyle name="_MD Meeting 19.02.09 Accounts_CTA(R)_Aug-09_Revise-CTA(NF, Spill OVer Works). 5" xfId="604"/>
    <cellStyle name="_MD Meeting 19.02.09 Accounts_CTA(R)_Aug-09_Revise-CTA(NF, Spill OVer Works). 6" xfId="605"/>
    <cellStyle name="_MD Meeting 19.02.09 Accounts_CTA_Circle- Feb 2011 SOW P&amp;M" xfId="606"/>
    <cellStyle name="_MD Meeting 19.02.09 Accounts_CTA_Circle- Feb 2011 SOW P&amp;M 2" xfId="607"/>
    <cellStyle name="_MD Meeting 19.02.09 Accounts_CTA_Circle- Feb 2011 SOW P&amp;M 3" xfId="608"/>
    <cellStyle name="_MD Meeting 19.02.09 Accounts_CTA_Circle- Feb 2011 SOW P&amp;M 4" xfId="609"/>
    <cellStyle name="_MD Meeting 19.02.09 Accounts_CTA_Circle- Feb 2011 SOW P&amp;M 5" xfId="610"/>
    <cellStyle name="_MD Meeting 19.02.09 Accounts_CTA_Circle- Feb 2011 SOW P&amp;M 6" xfId="611"/>
    <cellStyle name="_MD Meeting 19.02.09 Accounts_CTA_Circle- Feb 2011 SOW P&amp;M_Copy P&amp;F Dec-2011(F)" xfId="612"/>
    <cellStyle name="_MD Meeting 19.02.09 Accounts_CTA_Circle- Jan 2011 SOW P&amp;M" xfId="613"/>
    <cellStyle name="_MD Meeting 19.02.09 Accounts_CTA_Circle- Jan 2011 SOW P&amp;M 2" xfId="614"/>
    <cellStyle name="_MD Meeting 19.02.09 Accounts_CTA_Circle- Jan 2011 SOW P&amp;M 3" xfId="615"/>
    <cellStyle name="_MD Meeting 19.02.09 Accounts_CTA_Circle- Jan 2011 SOW P&amp;M 4" xfId="616"/>
    <cellStyle name="_MD Meeting 19.02.09 Accounts_CTA_Circle- Jan 2011 SOW P&amp;M 5" xfId="617"/>
    <cellStyle name="_MD Meeting 19.02.09 Accounts_CTA_Circle- Jan 2011 SOW P&amp;M 6" xfId="618"/>
    <cellStyle name="_MD Meeting 19.02.09 Accounts_CTA_Circle-_August_2010_SOW_P&amp;M(1)" xfId="619"/>
    <cellStyle name="_MD Meeting 19.02.09 Accounts_CTA_Circle-_August_2010_SOW_P&amp;M(1) 2" xfId="620"/>
    <cellStyle name="_MD Meeting 19.02.09 Accounts_CTA_Circle-_August_2010_SOW_P&amp;M(1) 3" xfId="621"/>
    <cellStyle name="_MD Meeting 19.02.09 Accounts_CTA_Circle-_August_2010_SOW_P&amp;M(1) 4" xfId="622"/>
    <cellStyle name="_MD Meeting 19.02.09 Accounts_CTA_Circle-_August_2010_SOW_P&amp;M(1) 5" xfId="623"/>
    <cellStyle name="_MD Meeting 19.02.09 Accounts_CTA_Circle-_August_2010_SOW_P&amp;M(1) 6" xfId="624"/>
    <cellStyle name="_MD Meeting 19.02.09 Accounts_CTA_Circle-_August_2010_SOW_P&amp;M(1)_Copy P&amp;F Dec-2011(F)" xfId="625"/>
    <cellStyle name="_MD Meeting 19.02.09 Accounts_CTA_P&amp;F Zone" xfId="626"/>
    <cellStyle name="_MD Meeting 19.02.09 Accounts_CTA_P&amp;F Zone 2" xfId="627"/>
    <cellStyle name="_MD Meeting 19.02.09 Accounts_CTA_P&amp;F Zone 3" xfId="628"/>
    <cellStyle name="_MD Meeting 19.02.09 Accounts_CTA_P&amp;F Zone 4" xfId="629"/>
    <cellStyle name="_MD Meeting 19.02.09 Accounts_CTA_P&amp;F Zone 5" xfId="630"/>
    <cellStyle name="_MD Meeting 19.02.09 Accounts_CTA_P&amp;F Zone 6" xfId="631"/>
    <cellStyle name="_MD Meeting 19.02.09 Accounts_CTA_Revise-CTA(NF, Spill OVer Works)." xfId="632"/>
    <cellStyle name="_MD Meeting 19.02.09 Accounts_CTA_Revise-CTA(NF, Spill OVer Works). 2" xfId="633"/>
    <cellStyle name="_MD Meeting 19.02.09 Accounts_CTA_Revise-CTA(NF, Spill OVer Works). 3" xfId="634"/>
    <cellStyle name="_MD Meeting 19.02.09 Accounts_CTA_Revise-CTA(NF, Spill OVer Works). 4" xfId="635"/>
    <cellStyle name="_MD Meeting 19.02.09 Accounts_CTA_Revise-CTA(NF, Spill OVer Works). 5" xfId="636"/>
    <cellStyle name="_MD Meeting 19.02.09 Accounts_CTA_Revise-CTA(NF, Spill OVer Works). 6" xfId="637"/>
    <cellStyle name="_MD Meeting 19.02.09 Accounts_Division_wise_capex_works_se-dvg(1)" xfId="638"/>
    <cellStyle name="_MD Meeting 19.02.09 Accounts_Feb-11_ATC HRR" xfId="639"/>
    <cellStyle name="_MD Meeting 19.02.09 Accounts_Feb-11_ATC HRR_Chief_off_format" xfId="640"/>
    <cellStyle name="_MD Meeting 19.02.09 Accounts_Feederwise_ATC CLK" xfId="641"/>
    <cellStyle name="_MD Meeting 19.02.09 Accounts_Feederwise_ATC CLK 2" xfId="642"/>
    <cellStyle name="_MD Meeting 19.02.09 Accounts_Feederwise_ATC CLK_ATC_FEB__2011_hyr_dn" xfId="643"/>
    <cellStyle name="_MD Meeting 19.02.09 Accounts_Feederwise_ATC CLK_ATC_FEB__2011_hyr_dn 2" xfId="644"/>
    <cellStyle name="_MD Meeting 19.02.09 Accounts_Feederwise_ATC CLK_ATC_FEB__2011_hyr_dn 3" xfId="645"/>
    <cellStyle name="_MD Meeting 19.02.09 Accounts_Feederwise_ATC CLK_ATC_FEB__2011_hyr_dn 4" xfId="646"/>
    <cellStyle name="_MD Meeting 19.02.09 Accounts_Feederwise_ATC CLK_ATC_FEB__2011_hyr_dn 5" xfId="647"/>
    <cellStyle name="_MD Meeting 19.02.09 Accounts_Feederwise_ATC CLK_ATC_FEB__2011_hyr_dn 6" xfId="648"/>
    <cellStyle name="_MD Meeting 19.02.09 Accounts_Feederwise_ATC CLK_HYR_ATC_Jan_11_org" xfId="649"/>
    <cellStyle name="_MD Meeting 19.02.09 Accounts_Feederwise_ATC CLK_HYR_ATC_Jan_11_org 2" xfId="650"/>
    <cellStyle name="_MD Meeting 19.02.09 Accounts_Feederwise_ATC CLK_HYR_ATC_Jan_11_org 3" xfId="651"/>
    <cellStyle name="_MD Meeting 19.02.09 Accounts_Feederwise_ATC CLK_HYR_ATC_Jan_11_org 4" xfId="652"/>
    <cellStyle name="_MD Meeting 19.02.09 Accounts_Feederwise_ATC CLK_HYR_ATC_Jan_11_org 5" xfId="653"/>
    <cellStyle name="_MD Meeting 19.02.09 Accounts_Feederwise_ATC CLK_HYR_ATC_Jan_11_org 6" xfId="654"/>
    <cellStyle name="_MD Meeting 19.02.09 Accounts_Feederwise_ATC_AUG-10 (5)" xfId="655"/>
    <cellStyle name="_MD Meeting 19.02.09 Accounts_Feederwise_ATC_AUG-10 (5) 2" xfId="656"/>
    <cellStyle name="_MD Meeting 19.02.09 Accounts_Feederwise_ATC_AUG-10 (5)_ATC_FEB__2011_hyr_dn" xfId="657"/>
    <cellStyle name="_MD Meeting 19.02.09 Accounts_Feederwise_ATC_AUG-10 (5)_ATC_FEB__2011_hyr_dn 2" xfId="658"/>
    <cellStyle name="_MD Meeting 19.02.09 Accounts_Feederwise_ATC_AUG-10 (5)_ATC_FEB__2011_hyr_dn 3" xfId="659"/>
    <cellStyle name="_MD Meeting 19.02.09 Accounts_Feederwise_ATC_AUG-10 (5)_ATC_FEB__2011_hyr_dn 4" xfId="660"/>
    <cellStyle name="_MD Meeting 19.02.09 Accounts_Feederwise_ATC_AUG-10 (5)_ATC_FEB__2011_hyr_dn 5" xfId="661"/>
    <cellStyle name="_MD Meeting 19.02.09 Accounts_Feederwise_ATC_AUG-10 (5)_ATC_FEB__2011_hyr_dn 6" xfId="662"/>
    <cellStyle name="_MD Meeting 19.02.09 Accounts_HRR ATC Dec-10 ATC" xfId="663"/>
    <cellStyle name="_MD Meeting 19.02.09 Accounts_HRR ATC Dec-10 ATC_Chief_off_format" xfId="664"/>
    <cellStyle name="_MD Meeting 19.02.09 Accounts_HRR ATC Jan-11" xfId="665"/>
    <cellStyle name="_MD Meeting 19.02.09 Accounts_HRR ATC Jan-11_Chief_off_format" xfId="666"/>
    <cellStyle name="_MD Meeting 19.02.09 Accounts_HRR March-11_ATC" xfId="667"/>
    <cellStyle name="_MD Meeting 19.02.09 Accounts_HRR March-11_ATC_Chief_off_format" xfId="668"/>
    <cellStyle name="_MD Meeting 19.02.09 Accounts_HRR Nov-10_ATC" xfId="669"/>
    <cellStyle name="_MD Meeting 19.02.09 Accounts_HYR_ATC_Jan_11_org" xfId="670"/>
    <cellStyle name="_MD Meeting 19.02.09 Accounts_HYR_ATC_Jan_11_org 2" xfId="671"/>
    <cellStyle name="_MD Meeting 19.02.09 Accounts_HYR_ATC_Jan_11_org 3" xfId="672"/>
    <cellStyle name="_MD Meeting 19.02.09 Accounts_HYR_ATC_Jan_11_org 4" xfId="673"/>
    <cellStyle name="_MD Meeting 19.02.09 Accounts_HYR_ATC_Jan_11_org 5" xfId="674"/>
    <cellStyle name="_MD Meeting 19.02.09 Accounts_HYR_ATC_Jan_11_org 6" xfId="675"/>
    <cellStyle name="_MD Meeting 19.02.09 Accounts_P&amp;F Zone" xfId="676"/>
    <cellStyle name="_MD Meeting 19.02.09 Accounts_P&amp;F Zone 2" xfId="677"/>
    <cellStyle name="_MD Meeting 19.02.09 Accounts_P&amp;F Zone 3" xfId="678"/>
    <cellStyle name="_MD Meeting 19.02.09 Accounts_P&amp;F Zone 4" xfId="679"/>
    <cellStyle name="_MD Meeting 19.02.09 Accounts_P&amp;F Zone 5" xfId="680"/>
    <cellStyle name="_MD Meeting 19.02.09 Accounts_P&amp;F Zone 6" xfId="681"/>
    <cellStyle name="_MD Meeting 19.02.09 Accounts_Revise-CTA(NF, Spill OVer Works)." xfId="682"/>
    <cellStyle name="_MD Meeting 19.02.09 Accounts_Revise-CTA(NF, Spill OVer Works). 2" xfId="683"/>
    <cellStyle name="_MD Meeting 19.02.09 Accounts_Revise-CTA(NF, Spill OVer Works). 3" xfId="684"/>
    <cellStyle name="_MD Meeting 19.02.09 Accounts_Revise-CTA(NF, Spill OVer Works). 4" xfId="685"/>
    <cellStyle name="_MD Meeting 19.02.09 Accounts_Revise-CTA(NF, Spill OVer Works). 5" xfId="686"/>
    <cellStyle name="_MD Meeting 19.02.09 Accounts_Revise-CTA(NF, Spill OVer Works). 6" xfId="687"/>
    <cellStyle name="_MD Meeting 19.2.09" xfId="688"/>
    <cellStyle name="_MD Meeting 19.2.09 2" xfId="689"/>
    <cellStyle name="_MD Meeting 19.2.09 2 2" xfId="690"/>
    <cellStyle name="_MD Meeting 19.2.09 2 3" xfId="691"/>
    <cellStyle name="_MD Meeting 19.2.09 3" xfId="692"/>
    <cellStyle name="_MD Meeting 19.2.09 3 2" xfId="693"/>
    <cellStyle name="_MD Meeting 19.2.09 3 3" xfId="694"/>
    <cellStyle name="_MD Meeting 19.2.09 4" xfId="695"/>
    <cellStyle name="_MD Meeting 19.2.09 4 2" xfId="696"/>
    <cellStyle name="_MD Meeting 19.2.09 4 3" xfId="697"/>
    <cellStyle name="_MD Meeting 19.2.09 5" xfId="698"/>
    <cellStyle name="_MD Meeting 19.2.09 6" xfId="699"/>
    <cellStyle name="_MD Meeting 19.2.09_ATC_FEB__2011_hyr_dn" xfId="700"/>
    <cellStyle name="_MD Meeting 19.2.09_HYR_ATC_Jan_11_org" xfId="701"/>
    <cellStyle name="_MD Meeting 19.2.09_Revised New Format from GM CA -24.02.2012" xfId="702"/>
    <cellStyle name="_MD Meeting 19.2.09_Revised New Format from GM CA -24.02.2012 2" xfId="703"/>
    <cellStyle name="_MD Meeting on 17.12.08 AO" xfId="704"/>
    <cellStyle name="_MD Meeting on 17.12.08 AO 2" xfId="705"/>
    <cellStyle name="_MD Meeting on 17.12.08 AO_ATC MLK REVISED JUNE 10" xfId="706"/>
    <cellStyle name="_MD Meeting on 17.12.08 AO_ATC MLK REVISED JUNE 10 2" xfId="707"/>
    <cellStyle name="_MD Meeting on 17.12.08 AO_ATC MLK REVISED JUNE 10_ATC oct 10 hyr dn org 2003 format" xfId="708"/>
    <cellStyle name="_MD Meeting on 17.12.08 AO_ATC MLK REVISED JUNE 10_ATC_FEB__2011_hyr_dn" xfId="709"/>
    <cellStyle name="_MD Meeting on 17.12.08 AO_ATC MLK REVISED JUNE 10_ATC_FEB__2011_hyr_dn 2" xfId="710"/>
    <cellStyle name="_MD Meeting on 17.12.08 AO_ATC MLK REVISED JUNE 10_ATC_FEB__2011_hyr_dn 3" xfId="711"/>
    <cellStyle name="_MD Meeting on 17.12.08 AO_ATC MLK REVISED JUNE 10_ATC_FEB__2011_hyr_dn 4" xfId="712"/>
    <cellStyle name="_MD Meeting on 17.12.08 AO_ATC MLK REVISED JUNE 10_ATC_FEB__2011_hyr_dn 5" xfId="713"/>
    <cellStyle name="_MD Meeting on 17.12.08 AO_ATC MLK REVISED JUNE 10_ATC_FEB__2011_hyr_dn 6" xfId="714"/>
    <cellStyle name="_MD Meeting on 17.12.08 AO_ATC MLK REVISED JUNE 10_Feb-11_ATC HRR" xfId="715"/>
    <cellStyle name="_MD Meeting on 17.12.08 AO_ATC MLK REVISED JUNE 10_Feb-11_ATC HRR_Chief_off_format" xfId="716"/>
    <cellStyle name="_MD Meeting on 17.12.08 AO_ATC MLK REVISED JUNE 10_HRR ATC Dec-10 ATC" xfId="717"/>
    <cellStyle name="_MD Meeting on 17.12.08 AO_ATC MLK REVISED JUNE 10_HRR ATC Dec-10 ATC_Chief_off_format" xfId="718"/>
    <cellStyle name="_MD Meeting on 17.12.08 AO_ATC MLK REVISED JUNE 10_HRR ATC Jan-11" xfId="719"/>
    <cellStyle name="_MD Meeting on 17.12.08 AO_ATC MLK REVISED JUNE 10_HRR ATC Jan-11_Chief_off_format" xfId="720"/>
    <cellStyle name="_MD Meeting on 17.12.08 AO_ATC MLK REVISED JUNE 10_HRR March-11_ATC" xfId="721"/>
    <cellStyle name="_MD Meeting on 17.12.08 AO_ATC MLK REVISED JUNE 10_HRR March-11_ATC_Chief_off_format" xfId="722"/>
    <cellStyle name="_MD Meeting on 17.12.08 AO_ATC MLK REVISED JUNE 10_HRR Nov-10_ATC" xfId="723"/>
    <cellStyle name="_MD Meeting on 17.12.08 AO_ATC MLK REVISED JUNE 10_HYR_ATC_Jan_11_org" xfId="724"/>
    <cellStyle name="_MD Meeting on 17.12.08 AO_ATC MLK REVISED JUNE 10_HYR_ATC_Jan_11_org 2" xfId="725"/>
    <cellStyle name="_MD Meeting on 17.12.08 AO_ATC MLK REVISED JUNE 10_HYR_ATC_Jan_11_org 3" xfId="726"/>
    <cellStyle name="_MD Meeting on 17.12.08 AO_ATC MLK REVISED JUNE 10_HYR_ATC_Jan_11_org 4" xfId="727"/>
    <cellStyle name="_MD Meeting on 17.12.08 AO_ATC MLK REVISED JUNE 10_HYR_ATC_Jan_11_org 5" xfId="728"/>
    <cellStyle name="_MD Meeting on 17.12.08 AO_ATC MLK REVISED JUNE 10_HYR_ATC_Jan_11_org 6" xfId="729"/>
    <cellStyle name="_MD Meeting on 17.12.08 AO_ATC oct 10 hyr dn org 2003 format" xfId="730"/>
    <cellStyle name="_MD Meeting on 17.12.08 AO_ATC Revised june 10" xfId="731"/>
    <cellStyle name="_MD Meeting on 17.12.08 AO_ATC Revised june 10 2" xfId="732"/>
    <cellStyle name="_MD Meeting on 17.12.08 AO_ATC Revised june 10_ATC_FEB__2011_hyr_dn" xfId="733"/>
    <cellStyle name="_MD Meeting on 17.12.08 AO_ATC Revised june 10_ATC_FEB__2011_hyr_dn 2" xfId="734"/>
    <cellStyle name="_MD Meeting on 17.12.08 AO_ATC Revised june 10_ATC_FEB__2011_hyr_dn 3" xfId="735"/>
    <cellStyle name="_MD Meeting on 17.12.08 AO_ATC Revised june 10_ATC_FEB__2011_hyr_dn 4" xfId="736"/>
    <cellStyle name="_MD Meeting on 17.12.08 AO_ATC Revised june 10_ATC_FEB__2011_hyr_dn 5" xfId="737"/>
    <cellStyle name="_MD Meeting on 17.12.08 AO_ATC Revised june 10_ATC_FEB__2011_hyr_dn 6" xfId="738"/>
    <cellStyle name="_MD Meeting on 17.12.08 AO_ATC Revised june 10_HYR_ATC_Jan_11_org" xfId="739"/>
    <cellStyle name="_MD Meeting on 17.12.08 AO_ATC Revised june 10_HYR_ATC_Jan_11_org 2" xfId="740"/>
    <cellStyle name="_MD Meeting on 17.12.08 AO_ATC Revised june 10_HYR_ATC_Jan_11_org 3" xfId="741"/>
    <cellStyle name="_MD Meeting on 17.12.08 AO_ATC Revised june 10_HYR_ATC_Jan_11_org 4" xfId="742"/>
    <cellStyle name="_MD Meeting on 17.12.08 AO_ATC Revised june 10_HYR_ATC_Jan_11_org 5" xfId="743"/>
    <cellStyle name="_MD Meeting on 17.12.08 AO_ATC Revised june 10_HYR_ATC_Jan_11_org 6" xfId="744"/>
    <cellStyle name="_MD Meeting on 17.12.08 AO_ATC_FEB__2011_hyr_dn" xfId="745"/>
    <cellStyle name="_MD Meeting on 17.12.08 AO_ATC_FEB__2011_hyr_dn 2" xfId="746"/>
    <cellStyle name="_MD Meeting on 17.12.08 AO_ATC_FEB__2011_hyr_dn 3" xfId="747"/>
    <cellStyle name="_MD Meeting on 17.12.08 AO_ATC_FEB__2011_hyr_dn 4" xfId="748"/>
    <cellStyle name="_MD Meeting on 17.12.08 AO_ATC_FEB__2011_hyr_dn 5" xfId="749"/>
    <cellStyle name="_MD Meeting on 17.12.08 AO_ATC_FEB__2011_hyr_dn 6" xfId="750"/>
    <cellStyle name="_MD Meeting on 17.12.08 AO_Circle- Feb 2011 SOW P&amp;M" xfId="751"/>
    <cellStyle name="_MD Meeting on 17.12.08 AO_Circle- Feb 2011 SOW P&amp;M 2" xfId="752"/>
    <cellStyle name="_MD Meeting on 17.12.08 AO_Circle- Feb 2011 SOW P&amp;M 3" xfId="753"/>
    <cellStyle name="_MD Meeting on 17.12.08 AO_Circle- Feb 2011 SOW P&amp;M 4" xfId="754"/>
    <cellStyle name="_MD Meeting on 17.12.08 AO_Circle- Feb 2011 SOW P&amp;M 5" xfId="755"/>
    <cellStyle name="_MD Meeting on 17.12.08 AO_Circle- Feb 2011 SOW P&amp;M 6" xfId="756"/>
    <cellStyle name="_MD Meeting on 17.12.08 AO_Circle- Feb 2011 SOW P&amp;M_Copy P&amp;F Dec-2011(F)" xfId="757"/>
    <cellStyle name="_MD Meeting on 17.12.08 AO_Circle- Jan 2011 SOW P&amp;M" xfId="758"/>
    <cellStyle name="_MD Meeting on 17.12.08 AO_Circle- Jan 2011 SOW P&amp;M 2" xfId="759"/>
    <cellStyle name="_MD Meeting on 17.12.08 AO_Circle- Jan 2011 SOW P&amp;M 3" xfId="760"/>
    <cellStyle name="_MD Meeting on 17.12.08 AO_Circle- Jan 2011 SOW P&amp;M 4" xfId="761"/>
    <cellStyle name="_MD Meeting on 17.12.08 AO_Circle- Jan 2011 SOW P&amp;M 5" xfId="762"/>
    <cellStyle name="_MD Meeting on 17.12.08 AO_Circle- Jan 2011 SOW P&amp;M 6" xfId="763"/>
    <cellStyle name="_MD Meeting on 17.12.08 AO_Circle-_August_2010_SOW_P&amp;M(1)" xfId="764"/>
    <cellStyle name="_MD Meeting on 17.12.08 AO_Circle-_August_2010_SOW_P&amp;M(1) 2" xfId="765"/>
    <cellStyle name="_MD Meeting on 17.12.08 AO_Circle-_August_2010_SOW_P&amp;M(1) 3" xfId="766"/>
    <cellStyle name="_MD Meeting on 17.12.08 AO_Circle-_August_2010_SOW_P&amp;M(1) 4" xfId="767"/>
    <cellStyle name="_MD Meeting on 17.12.08 AO_Circle-_August_2010_SOW_P&amp;M(1) 5" xfId="768"/>
    <cellStyle name="_MD Meeting on 17.12.08 AO_Circle-_August_2010_SOW_P&amp;M(1) 6" xfId="769"/>
    <cellStyle name="_MD Meeting on 17.12.08 AO_Circle-_August_2010_SOW_P&amp;M(1)_Copy P&amp;F Dec-2011(F)" xfId="770"/>
    <cellStyle name="_MD Meeting on 17.12.08 AO_CTA" xfId="771"/>
    <cellStyle name="_MD Meeting on 17.12.08 AO_CTA(R)_Aug-09" xfId="772"/>
    <cellStyle name="_MD Meeting on 17.12.08 AO_CTA(R)_Aug-09_Circle- Feb 2011 SOW P&amp;M" xfId="773"/>
    <cellStyle name="_MD Meeting on 17.12.08 AO_CTA(R)_Aug-09_Circle- Feb 2011 SOW P&amp;M 2" xfId="774"/>
    <cellStyle name="_MD Meeting on 17.12.08 AO_CTA(R)_Aug-09_Circle- Feb 2011 SOW P&amp;M 3" xfId="775"/>
    <cellStyle name="_MD Meeting on 17.12.08 AO_CTA(R)_Aug-09_Circle- Feb 2011 SOW P&amp;M 4" xfId="776"/>
    <cellStyle name="_MD Meeting on 17.12.08 AO_CTA(R)_Aug-09_Circle- Feb 2011 SOW P&amp;M 5" xfId="777"/>
    <cellStyle name="_MD Meeting on 17.12.08 AO_CTA(R)_Aug-09_Circle- Feb 2011 SOW P&amp;M 6" xfId="778"/>
    <cellStyle name="_MD Meeting on 17.12.08 AO_CTA(R)_Aug-09_Circle- Feb 2011 SOW P&amp;M_Copy P&amp;F Dec-2011(F)" xfId="779"/>
    <cellStyle name="_MD Meeting on 17.12.08 AO_CTA(R)_Aug-09_Circle- Jan 2011 SOW P&amp;M" xfId="780"/>
    <cellStyle name="_MD Meeting on 17.12.08 AO_CTA(R)_Aug-09_Circle- Jan 2011 SOW P&amp;M 2" xfId="781"/>
    <cellStyle name="_MD Meeting on 17.12.08 AO_CTA(R)_Aug-09_Circle- Jan 2011 SOW P&amp;M 3" xfId="782"/>
    <cellStyle name="_MD Meeting on 17.12.08 AO_CTA(R)_Aug-09_Circle- Jan 2011 SOW P&amp;M 4" xfId="783"/>
    <cellStyle name="_MD Meeting on 17.12.08 AO_CTA(R)_Aug-09_Circle- Jan 2011 SOW P&amp;M 5" xfId="784"/>
    <cellStyle name="_MD Meeting on 17.12.08 AO_CTA(R)_Aug-09_Circle- Jan 2011 SOW P&amp;M 6" xfId="785"/>
    <cellStyle name="_MD Meeting on 17.12.08 AO_CTA(R)_Aug-09_Circle-_August_2010_SOW_P&amp;M(1)" xfId="786"/>
    <cellStyle name="_MD Meeting on 17.12.08 AO_CTA(R)_Aug-09_Circle-_August_2010_SOW_P&amp;M(1) 2" xfId="787"/>
    <cellStyle name="_MD Meeting on 17.12.08 AO_CTA(R)_Aug-09_Circle-_August_2010_SOW_P&amp;M(1) 3" xfId="788"/>
    <cellStyle name="_MD Meeting on 17.12.08 AO_CTA(R)_Aug-09_Circle-_August_2010_SOW_P&amp;M(1) 4" xfId="789"/>
    <cellStyle name="_MD Meeting on 17.12.08 AO_CTA(R)_Aug-09_Circle-_August_2010_SOW_P&amp;M(1) 5" xfId="790"/>
    <cellStyle name="_MD Meeting on 17.12.08 AO_CTA(R)_Aug-09_Circle-_August_2010_SOW_P&amp;M(1) 6" xfId="791"/>
    <cellStyle name="_MD Meeting on 17.12.08 AO_CTA(R)_Aug-09_Circle-_August_2010_SOW_P&amp;M(1)_Copy P&amp;F Dec-2011(F)" xfId="792"/>
    <cellStyle name="_MD Meeting on 17.12.08 AO_CTA(R)_Aug-09_P&amp;F Zone" xfId="793"/>
    <cellStyle name="_MD Meeting on 17.12.08 AO_CTA(R)_Aug-09_P&amp;F Zone 2" xfId="794"/>
    <cellStyle name="_MD Meeting on 17.12.08 AO_CTA(R)_Aug-09_P&amp;F Zone 3" xfId="795"/>
    <cellStyle name="_MD Meeting on 17.12.08 AO_CTA(R)_Aug-09_P&amp;F Zone 4" xfId="796"/>
    <cellStyle name="_MD Meeting on 17.12.08 AO_CTA(R)_Aug-09_P&amp;F Zone 5" xfId="797"/>
    <cellStyle name="_MD Meeting on 17.12.08 AO_CTA(R)_Aug-09_P&amp;F Zone 6" xfId="798"/>
    <cellStyle name="_MD Meeting on 17.12.08 AO_CTA(R)_Aug-09_Revise-CTA(NF, Spill OVer Works)." xfId="799"/>
    <cellStyle name="_MD Meeting on 17.12.08 AO_CTA(R)_Aug-09_Revise-CTA(NF, Spill OVer Works). 2" xfId="800"/>
    <cellStyle name="_MD Meeting on 17.12.08 AO_CTA(R)_Aug-09_Revise-CTA(NF, Spill OVer Works). 3" xfId="801"/>
    <cellStyle name="_MD Meeting on 17.12.08 AO_CTA(R)_Aug-09_Revise-CTA(NF, Spill OVer Works). 4" xfId="802"/>
    <cellStyle name="_MD Meeting on 17.12.08 AO_CTA(R)_Aug-09_Revise-CTA(NF, Spill OVer Works). 5" xfId="803"/>
    <cellStyle name="_MD Meeting on 17.12.08 AO_CTA(R)_Aug-09_Revise-CTA(NF, Spill OVer Works). 6" xfId="804"/>
    <cellStyle name="_MD Meeting on 17.12.08 AO_CTA_Circle- Feb 2011 SOW P&amp;M" xfId="805"/>
    <cellStyle name="_MD Meeting on 17.12.08 AO_CTA_Circle- Feb 2011 SOW P&amp;M 2" xfId="806"/>
    <cellStyle name="_MD Meeting on 17.12.08 AO_CTA_Circle- Feb 2011 SOW P&amp;M 3" xfId="807"/>
    <cellStyle name="_MD Meeting on 17.12.08 AO_CTA_Circle- Feb 2011 SOW P&amp;M 4" xfId="808"/>
    <cellStyle name="_MD Meeting on 17.12.08 AO_CTA_Circle- Feb 2011 SOW P&amp;M 5" xfId="809"/>
    <cellStyle name="_MD Meeting on 17.12.08 AO_CTA_Circle- Feb 2011 SOW P&amp;M 6" xfId="810"/>
    <cellStyle name="_MD Meeting on 17.12.08 AO_CTA_Circle- Feb 2011 SOW P&amp;M_Copy P&amp;F Dec-2011(F)" xfId="811"/>
    <cellStyle name="_MD Meeting on 17.12.08 AO_CTA_Circle- Jan 2011 SOW P&amp;M" xfId="812"/>
    <cellStyle name="_MD Meeting on 17.12.08 AO_CTA_Circle- Jan 2011 SOW P&amp;M 2" xfId="813"/>
    <cellStyle name="_MD Meeting on 17.12.08 AO_CTA_Circle- Jan 2011 SOW P&amp;M 3" xfId="814"/>
    <cellStyle name="_MD Meeting on 17.12.08 AO_CTA_Circle- Jan 2011 SOW P&amp;M 4" xfId="815"/>
    <cellStyle name="_MD Meeting on 17.12.08 AO_CTA_Circle- Jan 2011 SOW P&amp;M 5" xfId="816"/>
    <cellStyle name="_MD Meeting on 17.12.08 AO_CTA_Circle- Jan 2011 SOW P&amp;M 6" xfId="817"/>
    <cellStyle name="_MD Meeting on 17.12.08 AO_CTA_Circle-_August_2010_SOW_P&amp;M(1)" xfId="818"/>
    <cellStyle name="_MD Meeting on 17.12.08 AO_CTA_Circle-_August_2010_SOW_P&amp;M(1) 2" xfId="819"/>
    <cellStyle name="_MD Meeting on 17.12.08 AO_CTA_Circle-_August_2010_SOW_P&amp;M(1) 3" xfId="820"/>
    <cellStyle name="_MD Meeting on 17.12.08 AO_CTA_Circle-_August_2010_SOW_P&amp;M(1) 4" xfId="821"/>
    <cellStyle name="_MD Meeting on 17.12.08 AO_CTA_Circle-_August_2010_SOW_P&amp;M(1) 5" xfId="822"/>
    <cellStyle name="_MD Meeting on 17.12.08 AO_CTA_Circle-_August_2010_SOW_P&amp;M(1) 6" xfId="823"/>
    <cellStyle name="_MD Meeting on 17.12.08 AO_CTA_Circle-_August_2010_SOW_P&amp;M(1)_Copy P&amp;F Dec-2011(F)" xfId="824"/>
    <cellStyle name="_MD Meeting on 17.12.08 AO_CTA_P&amp;F Zone" xfId="825"/>
    <cellStyle name="_MD Meeting on 17.12.08 AO_CTA_P&amp;F Zone 2" xfId="826"/>
    <cellStyle name="_MD Meeting on 17.12.08 AO_CTA_P&amp;F Zone 3" xfId="827"/>
    <cellStyle name="_MD Meeting on 17.12.08 AO_CTA_P&amp;F Zone 4" xfId="828"/>
    <cellStyle name="_MD Meeting on 17.12.08 AO_CTA_P&amp;F Zone 5" xfId="829"/>
    <cellStyle name="_MD Meeting on 17.12.08 AO_CTA_P&amp;F Zone 6" xfId="830"/>
    <cellStyle name="_MD Meeting on 17.12.08 AO_CTA_Revise-CTA(NF, Spill OVer Works)." xfId="831"/>
    <cellStyle name="_MD Meeting on 17.12.08 AO_CTA_Revise-CTA(NF, Spill OVer Works). 2" xfId="832"/>
    <cellStyle name="_MD Meeting on 17.12.08 AO_CTA_Revise-CTA(NF, Spill OVer Works). 3" xfId="833"/>
    <cellStyle name="_MD Meeting on 17.12.08 AO_CTA_Revise-CTA(NF, Spill OVer Works). 4" xfId="834"/>
    <cellStyle name="_MD Meeting on 17.12.08 AO_CTA_Revise-CTA(NF, Spill OVer Works). 5" xfId="835"/>
    <cellStyle name="_MD Meeting on 17.12.08 AO_CTA_Revise-CTA(NF, Spill OVer Works). 6" xfId="836"/>
    <cellStyle name="_MD Meeting on 17.12.08 AO_Division_wise_capex_works_se-dvg(1)" xfId="837"/>
    <cellStyle name="_MD Meeting on 17.12.08 AO_Feb-11_ATC HRR" xfId="838"/>
    <cellStyle name="_MD Meeting on 17.12.08 AO_Feb-11_ATC HRR_Chief_off_format" xfId="839"/>
    <cellStyle name="_MD Meeting on 17.12.08 AO_Feederwise_ATC CLK" xfId="840"/>
    <cellStyle name="_MD Meeting on 17.12.08 AO_Feederwise_ATC CLK 2" xfId="841"/>
    <cellStyle name="_MD Meeting on 17.12.08 AO_Feederwise_ATC CLK_ATC_FEB__2011_hyr_dn" xfId="842"/>
    <cellStyle name="_MD Meeting on 17.12.08 AO_Feederwise_ATC CLK_ATC_FEB__2011_hyr_dn 2" xfId="843"/>
    <cellStyle name="_MD Meeting on 17.12.08 AO_Feederwise_ATC CLK_ATC_FEB__2011_hyr_dn 3" xfId="844"/>
    <cellStyle name="_MD Meeting on 17.12.08 AO_Feederwise_ATC CLK_ATC_FEB__2011_hyr_dn 4" xfId="845"/>
    <cellStyle name="_MD Meeting on 17.12.08 AO_Feederwise_ATC CLK_ATC_FEB__2011_hyr_dn 5" xfId="846"/>
    <cellStyle name="_MD Meeting on 17.12.08 AO_Feederwise_ATC CLK_ATC_FEB__2011_hyr_dn 6" xfId="847"/>
    <cellStyle name="_MD Meeting on 17.12.08 AO_Feederwise_ATC CLK_HYR_ATC_Jan_11_org" xfId="848"/>
    <cellStyle name="_MD Meeting on 17.12.08 AO_Feederwise_ATC CLK_HYR_ATC_Jan_11_org 2" xfId="849"/>
    <cellStyle name="_MD Meeting on 17.12.08 AO_Feederwise_ATC CLK_HYR_ATC_Jan_11_org 3" xfId="850"/>
    <cellStyle name="_MD Meeting on 17.12.08 AO_Feederwise_ATC CLK_HYR_ATC_Jan_11_org 4" xfId="851"/>
    <cellStyle name="_MD Meeting on 17.12.08 AO_Feederwise_ATC CLK_HYR_ATC_Jan_11_org 5" xfId="852"/>
    <cellStyle name="_MD Meeting on 17.12.08 AO_Feederwise_ATC CLK_HYR_ATC_Jan_11_org 6" xfId="853"/>
    <cellStyle name="_MD Meeting on 17.12.08 AO_Feederwise_ATC_AUG-10 (5)" xfId="854"/>
    <cellStyle name="_MD Meeting on 17.12.08 AO_Feederwise_ATC_AUG-10 (5) 2" xfId="855"/>
    <cellStyle name="_MD Meeting on 17.12.08 AO_Feederwise_ATC_AUG-10 (5)_ATC_FEB__2011_hyr_dn" xfId="856"/>
    <cellStyle name="_MD Meeting on 17.12.08 AO_Feederwise_ATC_AUG-10 (5)_ATC_FEB__2011_hyr_dn 2" xfId="857"/>
    <cellStyle name="_MD Meeting on 17.12.08 AO_Feederwise_ATC_AUG-10 (5)_ATC_FEB__2011_hyr_dn 3" xfId="858"/>
    <cellStyle name="_MD Meeting on 17.12.08 AO_Feederwise_ATC_AUG-10 (5)_ATC_FEB__2011_hyr_dn 4" xfId="859"/>
    <cellStyle name="_MD Meeting on 17.12.08 AO_Feederwise_ATC_AUG-10 (5)_ATC_FEB__2011_hyr_dn 5" xfId="860"/>
    <cellStyle name="_MD Meeting on 17.12.08 AO_Feederwise_ATC_AUG-10 (5)_ATC_FEB__2011_hyr_dn 6" xfId="861"/>
    <cellStyle name="_MD Meeting on 17.12.08 AO_HRR ATC Dec-10 ATC" xfId="862"/>
    <cellStyle name="_MD Meeting on 17.12.08 AO_HRR ATC Dec-10 ATC_Chief_off_format" xfId="863"/>
    <cellStyle name="_MD Meeting on 17.12.08 AO_HRR ATC Jan-11" xfId="864"/>
    <cellStyle name="_MD Meeting on 17.12.08 AO_HRR ATC Jan-11_Chief_off_format" xfId="865"/>
    <cellStyle name="_MD Meeting on 17.12.08 AO_HRR March-11_ATC" xfId="866"/>
    <cellStyle name="_MD Meeting on 17.12.08 AO_HRR March-11_ATC_Chief_off_format" xfId="867"/>
    <cellStyle name="_MD Meeting on 17.12.08 AO_HRR Nov-10_ATC" xfId="868"/>
    <cellStyle name="_MD Meeting on 17.12.08 AO_HYR_ATC_Jan_11_org" xfId="869"/>
    <cellStyle name="_MD Meeting on 17.12.08 AO_HYR_ATC_Jan_11_org 2" xfId="870"/>
    <cellStyle name="_MD Meeting on 17.12.08 AO_HYR_ATC_Jan_11_org 3" xfId="871"/>
    <cellStyle name="_MD Meeting on 17.12.08 AO_HYR_ATC_Jan_11_org 4" xfId="872"/>
    <cellStyle name="_MD Meeting on 17.12.08 AO_HYR_ATC_Jan_11_org 5" xfId="873"/>
    <cellStyle name="_MD Meeting on 17.12.08 AO_HYR_ATC_Jan_11_org 6" xfId="874"/>
    <cellStyle name="_MD Meeting on 17.12.08 AO_P&amp;F Zone" xfId="875"/>
    <cellStyle name="_MD Meeting on 17.12.08 AO_P&amp;F Zone 2" xfId="876"/>
    <cellStyle name="_MD Meeting on 17.12.08 AO_P&amp;F Zone 3" xfId="877"/>
    <cellStyle name="_MD Meeting on 17.12.08 AO_P&amp;F Zone 4" xfId="878"/>
    <cellStyle name="_MD Meeting on 17.12.08 AO_P&amp;F Zone 5" xfId="879"/>
    <cellStyle name="_MD Meeting on 17.12.08 AO_P&amp;F Zone 6" xfId="880"/>
    <cellStyle name="_MD Meeting on 17.12.08 AO_Revise-CTA(NF, Spill OVer Works)." xfId="881"/>
    <cellStyle name="_MD Meeting on 17.12.08 AO_Revise-CTA(NF, Spill OVer Works). 2" xfId="882"/>
    <cellStyle name="_MD Meeting on 17.12.08 AO_Revise-CTA(NF, Spill OVer Works). 3" xfId="883"/>
    <cellStyle name="_MD Meeting on 17.12.08 AO_Revise-CTA(NF, Spill OVer Works). 4" xfId="884"/>
    <cellStyle name="_MD Meeting on 17.12.08 AO_Revise-CTA(NF, Spill OVer Works). 5" xfId="885"/>
    <cellStyle name="_MD Meeting on 17.12.08 AO_Revise-CTA(NF, Spill OVer Works). 6" xfId="886"/>
    <cellStyle name="_Meeting files July-09" xfId="887"/>
    <cellStyle name="_Meting 17.1.09 Accounts" xfId="888"/>
    <cellStyle name="_Meting 17.1.09 Accounts 2" xfId="889"/>
    <cellStyle name="_Meting 17.1.09 Accounts_ATC MLK REVISED JUNE 10" xfId="890"/>
    <cellStyle name="_Meting 17.1.09 Accounts_ATC MLK REVISED JUNE 10 2" xfId="891"/>
    <cellStyle name="_Meting 17.1.09 Accounts_ATC MLK REVISED JUNE 10_ATC oct 10 hyr dn org 2003 format" xfId="892"/>
    <cellStyle name="_Meting 17.1.09 Accounts_ATC MLK REVISED JUNE 10_ATC_FEB__2011_hyr_dn" xfId="893"/>
    <cellStyle name="_Meting 17.1.09 Accounts_ATC MLK REVISED JUNE 10_ATC_FEB__2011_hyr_dn 2" xfId="894"/>
    <cellStyle name="_Meting 17.1.09 Accounts_ATC MLK REVISED JUNE 10_ATC_FEB__2011_hyr_dn 3" xfId="895"/>
    <cellStyle name="_Meting 17.1.09 Accounts_ATC MLK REVISED JUNE 10_ATC_FEB__2011_hyr_dn 4" xfId="896"/>
    <cellStyle name="_Meting 17.1.09 Accounts_ATC MLK REVISED JUNE 10_ATC_FEB__2011_hyr_dn 5" xfId="897"/>
    <cellStyle name="_Meting 17.1.09 Accounts_ATC MLK REVISED JUNE 10_ATC_FEB__2011_hyr_dn 6" xfId="898"/>
    <cellStyle name="_Meting 17.1.09 Accounts_ATC MLK REVISED JUNE 10_Feb-11_ATC HRR" xfId="899"/>
    <cellStyle name="_Meting 17.1.09 Accounts_ATC MLK REVISED JUNE 10_Feb-11_ATC HRR_Chief_off_format" xfId="900"/>
    <cellStyle name="_Meting 17.1.09 Accounts_ATC MLK REVISED JUNE 10_HRR ATC Dec-10 ATC" xfId="901"/>
    <cellStyle name="_Meting 17.1.09 Accounts_ATC MLK REVISED JUNE 10_HRR ATC Dec-10 ATC_Chief_off_format" xfId="902"/>
    <cellStyle name="_Meting 17.1.09 Accounts_ATC MLK REVISED JUNE 10_HRR ATC Jan-11" xfId="903"/>
    <cellStyle name="_Meting 17.1.09 Accounts_ATC MLK REVISED JUNE 10_HRR ATC Jan-11_Chief_off_format" xfId="904"/>
    <cellStyle name="_Meting 17.1.09 Accounts_ATC MLK REVISED JUNE 10_HRR March-11_ATC" xfId="905"/>
    <cellStyle name="_Meting 17.1.09 Accounts_ATC MLK REVISED JUNE 10_HRR March-11_ATC_Chief_off_format" xfId="906"/>
    <cellStyle name="_Meting 17.1.09 Accounts_ATC MLK REVISED JUNE 10_HRR Nov-10_ATC" xfId="907"/>
    <cellStyle name="_Meting 17.1.09 Accounts_ATC MLK REVISED JUNE 10_HYR_ATC_Jan_11_org" xfId="908"/>
    <cellStyle name="_Meting 17.1.09 Accounts_ATC MLK REVISED JUNE 10_HYR_ATC_Jan_11_org 2" xfId="909"/>
    <cellStyle name="_Meting 17.1.09 Accounts_ATC MLK REVISED JUNE 10_HYR_ATC_Jan_11_org 3" xfId="910"/>
    <cellStyle name="_Meting 17.1.09 Accounts_ATC MLK REVISED JUNE 10_HYR_ATC_Jan_11_org 4" xfId="911"/>
    <cellStyle name="_Meting 17.1.09 Accounts_ATC MLK REVISED JUNE 10_HYR_ATC_Jan_11_org 5" xfId="912"/>
    <cellStyle name="_Meting 17.1.09 Accounts_ATC MLK REVISED JUNE 10_HYR_ATC_Jan_11_org 6" xfId="913"/>
    <cellStyle name="_Meting 17.1.09 Accounts_ATC oct 10 hyr dn org 2003 format" xfId="914"/>
    <cellStyle name="_Meting 17.1.09 Accounts_ATC Revised june 10" xfId="915"/>
    <cellStyle name="_Meting 17.1.09 Accounts_ATC Revised june 10 2" xfId="916"/>
    <cellStyle name="_Meting 17.1.09 Accounts_ATC Revised june 10_ATC_FEB__2011_hyr_dn" xfId="917"/>
    <cellStyle name="_Meting 17.1.09 Accounts_ATC Revised june 10_ATC_FEB__2011_hyr_dn 2" xfId="918"/>
    <cellStyle name="_Meting 17.1.09 Accounts_ATC Revised june 10_ATC_FEB__2011_hyr_dn 3" xfId="919"/>
    <cellStyle name="_Meting 17.1.09 Accounts_ATC Revised june 10_ATC_FEB__2011_hyr_dn 4" xfId="920"/>
    <cellStyle name="_Meting 17.1.09 Accounts_ATC Revised june 10_ATC_FEB__2011_hyr_dn 5" xfId="921"/>
    <cellStyle name="_Meting 17.1.09 Accounts_ATC Revised june 10_ATC_FEB__2011_hyr_dn 6" xfId="922"/>
    <cellStyle name="_Meting 17.1.09 Accounts_ATC Revised june 10_HYR_ATC_Jan_11_org" xfId="923"/>
    <cellStyle name="_Meting 17.1.09 Accounts_ATC Revised june 10_HYR_ATC_Jan_11_org 2" xfId="924"/>
    <cellStyle name="_Meting 17.1.09 Accounts_ATC Revised june 10_HYR_ATC_Jan_11_org 3" xfId="925"/>
    <cellStyle name="_Meting 17.1.09 Accounts_ATC Revised june 10_HYR_ATC_Jan_11_org 4" xfId="926"/>
    <cellStyle name="_Meting 17.1.09 Accounts_ATC Revised june 10_HYR_ATC_Jan_11_org 5" xfId="927"/>
    <cellStyle name="_Meting 17.1.09 Accounts_ATC Revised june 10_HYR_ATC_Jan_11_org 6" xfId="928"/>
    <cellStyle name="_Meting 17.1.09 Accounts_ATC_FEB__2011_hyr_dn" xfId="929"/>
    <cellStyle name="_Meting 17.1.09 Accounts_ATC_FEB__2011_hyr_dn 2" xfId="930"/>
    <cellStyle name="_Meting 17.1.09 Accounts_ATC_FEB__2011_hyr_dn 3" xfId="931"/>
    <cellStyle name="_Meting 17.1.09 Accounts_ATC_FEB__2011_hyr_dn 4" xfId="932"/>
    <cellStyle name="_Meting 17.1.09 Accounts_ATC_FEB__2011_hyr_dn 5" xfId="933"/>
    <cellStyle name="_Meting 17.1.09 Accounts_ATC_FEB__2011_hyr_dn 6" xfId="934"/>
    <cellStyle name="_Meting 17.1.09 Accounts_Circle- Feb 2011 SOW P&amp;M" xfId="935"/>
    <cellStyle name="_Meting 17.1.09 Accounts_Circle- Feb 2011 SOW P&amp;M 2" xfId="936"/>
    <cellStyle name="_Meting 17.1.09 Accounts_Circle- Feb 2011 SOW P&amp;M 3" xfId="937"/>
    <cellStyle name="_Meting 17.1.09 Accounts_Circle- Feb 2011 SOW P&amp;M 4" xfId="938"/>
    <cellStyle name="_Meting 17.1.09 Accounts_Circle- Feb 2011 SOW P&amp;M 5" xfId="939"/>
    <cellStyle name="_Meting 17.1.09 Accounts_Circle- Feb 2011 SOW P&amp;M 6" xfId="940"/>
    <cellStyle name="_Meting 17.1.09 Accounts_Circle- Feb 2011 SOW P&amp;M_Copy P&amp;F Dec-2011(F)" xfId="941"/>
    <cellStyle name="_Meting 17.1.09 Accounts_Circle- Jan 2011 SOW P&amp;M" xfId="942"/>
    <cellStyle name="_Meting 17.1.09 Accounts_Circle- Jan 2011 SOW P&amp;M 2" xfId="943"/>
    <cellStyle name="_Meting 17.1.09 Accounts_Circle- Jan 2011 SOW P&amp;M 3" xfId="944"/>
    <cellStyle name="_Meting 17.1.09 Accounts_Circle- Jan 2011 SOW P&amp;M 4" xfId="945"/>
    <cellStyle name="_Meting 17.1.09 Accounts_Circle- Jan 2011 SOW P&amp;M 5" xfId="946"/>
    <cellStyle name="_Meting 17.1.09 Accounts_Circle- Jan 2011 SOW P&amp;M 6" xfId="947"/>
    <cellStyle name="_Meting 17.1.09 Accounts_Circle-_August_2010_SOW_P&amp;M(1)" xfId="948"/>
    <cellStyle name="_Meting 17.1.09 Accounts_Circle-_August_2010_SOW_P&amp;M(1) 2" xfId="949"/>
    <cellStyle name="_Meting 17.1.09 Accounts_Circle-_August_2010_SOW_P&amp;M(1) 3" xfId="950"/>
    <cellStyle name="_Meting 17.1.09 Accounts_Circle-_August_2010_SOW_P&amp;M(1) 4" xfId="951"/>
    <cellStyle name="_Meting 17.1.09 Accounts_Circle-_August_2010_SOW_P&amp;M(1) 5" xfId="952"/>
    <cellStyle name="_Meting 17.1.09 Accounts_Circle-_August_2010_SOW_P&amp;M(1) 6" xfId="953"/>
    <cellStyle name="_Meting 17.1.09 Accounts_Circle-_August_2010_SOW_P&amp;M(1)_Copy P&amp;F Dec-2011(F)" xfId="954"/>
    <cellStyle name="_Meting 17.1.09 Accounts_CTA" xfId="955"/>
    <cellStyle name="_Meting 17.1.09 Accounts_CTA(R)_Aug-09" xfId="956"/>
    <cellStyle name="_Meting 17.1.09 Accounts_CTA(R)_Aug-09_Circle- Feb 2011 SOW P&amp;M" xfId="957"/>
    <cellStyle name="_Meting 17.1.09 Accounts_CTA(R)_Aug-09_Circle- Feb 2011 SOW P&amp;M 2" xfId="958"/>
    <cellStyle name="_Meting 17.1.09 Accounts_CTA(R)_Aug-09_Circle- Feb 2011 SOW P&amp;M 3" xfId="959"/>
    <cellStyle name="_Meting 17.1.09 Accounts_CTA(R)_Aug-09_Circle- Feb 2011 SOW P&amp;M 4" xfId="960"/>
    <cellStyle name="_Meting 17.1.09 Accounts_CTA(R)_Aug-09_Circle- Feb 2011 SOW P&amp;M 5" xfId="961"/>
    <cellStyle name="_Meting 17.1.09 Accounts_CTA(R)_Aug-09_Circle- Feb 2011 SOW P&amp;M 6" xfId="962"/>
    <cellStyle name="_Meting 17.1.09 Accounts_CTA(R)_Aug-09_Circle- Feb 2011 SOW P&amp;M_Copy P&amp;F Dec-2011(F)" xfId="963"/>
    <cellStyle name="_Meting 17.1.09 Accounts_CTA(R)_Aug-09_Circle- Jan 2011 SOW P&amp;M" xfId="964"/>
    <cellStyle name="_Meting 17.1.09 Accounts_CTA(R)_Aug-09_Circle- Jan 2011 SOW P&amp;M 2" xfId="965"/>
    <cellStyle name="_Meting 17.1.09 Accounts_CTA(R)_Aug-09_Circle- Jan 2011 SOW P&amp;M 3" xfId="966"/>
    <cellStyle name="_Meting 17.1.09 Accounts_CTA(R)_Aug-09_Circle- Jan 2011 SOW P&amp;M 4" xfId="967"/>
    <cellStyle name="_Meting 17.1.09 Accounts_CTA(R)_Aug-09_Circle- Jan 2011 SOW P&amp;M 5" xfId="968"/>
    <cellStyle name="_Meting 17.1.09 Accounts_CTA(R)_Aug-09_Circle- Jan 2011 SOW P&amp;M 6" xfId="969"/>
    <cellStyle name="_Meting 17.1.09 Accounts_CTA(R)_Aug-09_Circle-_August_2010_SOW_P&amp;M(1)" xfId="970"/>
    <cellStyle name="_Meting 17.1.09 Accounts_CTA(R)_Aug-09_Circle-_August_2010_SOW_P&amp;M(1) 2" xfId="971"/>
    <cellStyle name="_Meting 17.1.09 Accounts_CTA(R)_Aug-09_Circle-_August_2010_SOW_P&amp;M(1) 3" xfId="972"/>
    <cellStyle name="_Meting 17.1.09 Accounts_CTA(R)_Aug-09_Circle-_August_2010_SOW_P&amp;M(1) 4" xfId="973"/>
    <cellStyle name="_Meting 17.1.09 Accounts_CTA(R)_Aug-09_Circle-_August_2010_SOW_P&amp;M(1) 5" xfId="974"/>
    <cellStyle name="_Meting 17.1.09 Accounts_CTA(R)_Aug-09_Circle-_August_2010_SOW_P&amp;M(1) 6" xfId="975"/>
    <cellStyle name="_Meting 17.1.09 Accounts_CTA(R)_Aug-09_Circle-_August_2010_SOW_P&amp;M(1)_Copy P&amp;F Dec-2011(F)" xfId="976"/>
    <cellStyle name="_Meting 17.1.09 Accounts_CTA(R)_Aug-09_P&amp;F Zone" xfId="977"/>
    <cellStyle name="_Meting 17.1.09 Accounts_CTA(R)_Aug-09_P&amp;F Zone 2" xfId="978"/>
    <cellStyle name="_Meting 17.1.09 Accounts_CTA(R)_Aug-09_P&amp;F Zone 3" xfId="979"/>
    <cellStyle name="_Meting 17.1.09 Accounts_CTA(R)_Aug-09_P&amp;F Zone 4" xfId="980"/>
    <cellStyle name="_Meting 17.1.09 Accounts_CTA(R)_Aug-09_P&amp;F Zone 5" xfId="981"/>
    <cellStyle name="_Meting 17.1.09 Accounts_CTA(R)_Aug-09_P&amp;F Zone 6" xfId="982"/>
    <cellStyle name="_Meting 17.1.09 Accounts_CTA(R)_Aug-09_Revise-CTA(NF, Spill OVer Works)." xfId="983"/>
    <cellStyle name="_Meting 17.1.09 Accounts_CTA(R)_Aug-09_Revise-CTA(NF, Spill OVer Works). 2" xfId="984"/>
    <cellStyle name="_Meting 17.1.09 Accounts_CTA(R)_Aug-09_Revise-CTA(NF, Spill OVer Works). 3" xfId="985"/>
    <cellStyle name="_Meting 17.1.09 Accounts_CTA(R)_Aug-09_Revise-CTA(NF, Spill OVer Works). 4" xfId="986"/>
    <cellStyle name="_Meting 17.1.09 Accounts_CTA(R)_Aug-09_Revise-CTA(NF, Spill OVer Works). 5" xfId="987"/>
    <cellStyle name="_Meting 17.1.09 Accounts_CTA(R)_Aug-09_Revise-CTA(NF, Spill OVer Works). 6" xfId="988"/>
    <cellStyle name="_Meting 17.1.09 Accounts_CTA_Circle- Feb 2011 SOW P&amp;M" xfId="989"/>
    <cellStyle name="_Meting 17.1.09 Accounts_CTA_Circle- Feb 2011 SOW P&amp;M 2" xfId="990"/>
    <cellStyle name="_Meting 17.1.09 Accounts_CTA_Circle- Feb 2011 SOW P&amp;M 3" xfId="991"/>
    <cellStyle name="_Meting 17.1.09 Accounts_CTA_Circle- Feb 2011 SOW P&amp;M 4" xfId="992"/>
    <cellStyle name="_Meting 17.1.09 Accounts_CTA_Circle- Feb 2011 SOW P&amp;M 5" xfId="993"/>
    <cellStyle name="_Meting 17.1.09 Accounts_CTA_Circle- Feb 2011 SOW P&amp;M 6" xfId="994"/>
    <cellStyle name="_Meting 17.1.09 Accounts_CTA_Circle- Feb 2011 SOW P&amp;M_Copy P&amp;F Dec-2011(F)" xfId="995"/>
    <cellStyle name="_Meting 17.1.09 Accounts_CTA_Circle- Jan 2011 SOW P&amp;M" xfId="996"/>
    <cellStyle name="_Meting 17.1.09 Accounts_CTA_Circle- Jan 2011 SOW P&amp;M 2" xfId="997"/>
    <cellStyle name="_Meting 17.1.09 Accounts_CTA_Circle- Jan 2011 SOW P&amp;M 3" xfId="998"/>
    <cellStyle name="_Meting 17.1.09 Accounts_CTA_Circle- Jan 2011 SOW P&amp;M 4" xfId="999"/>
    <cellStyle name="_Meting 17.1.09 Accounts_CTA_Circle- Jan 2011 SOW P&amp;M 5" xfId="1000"/>
    <cellStyle name="_Meting 17.1.09 Accounts_CTA_Circle- Jan 2011 SOW P&amp;M 6" xfId="1001"/>
    <cellStyle name="_Meting 17.1.09 Accounts_CTA_Circle-_August_2010_SOW_P&amp;M(1)" xfId="1002"/>
    <cellStyle name="_Meting 17.1.09 Accounts_CTA_Circle-_August_2010_SOW_P&amp;M(1) 2" xfId="1003"/>
    <cellStyle name="_Meting 17.1.09 Accounts_CTA_Circle-_August_2010_SOW_P&amp;M(1) 3" xfId="1004"/>
    <cellStyle name="_Meting 17.1.09 Accounts_CTA_Circle-_August_2010_SOW_P&amp;M(1) 4" xfId="1005"/>
    <cellStyle name="_Meting 17.1.09 Accounts_CTA_Circle-_August_2010_SOW_P&amp;M(1) 5" xfId="1006"/>
    <cellStyle name="_Meting 17.1.09 Accounts_CTA_Circle-_August_2010_SOW_P&amp;M(1) 6" xfId="1007"/>
    <cellStyle name="_Meting 17.1.09 Accounts_CTA_Circle-_August_2010_SOW_P&amp;M(1)_Copy P&amp;F Dec-2011(F)" xfId="1008"/>
    <cellStyle name="_Meting 17.1.09 Accounts_CTA_P&amp;F Zone" xfId="1009"/>
    <cellStyle name="_Meting 17.1.09 Accounts_CTA_P&amp;F Zone 2" xfId="1010"/>
    <cellStyle name="_Meting 17.1.09 Accounts_CTA_P&amp;F Zone 3" xfId="1011"/>
    <cellStyle name="_Meting 17.1.09 Accounts_CTA_P&amp;F Zone 4" xfId="1012"/>
    <cellStyle name="_Meting 17.1.09 Accounts_CTA_P&amp;F Zone 5" xfId="1013"/>
    <cellStyle name="_Meting 17.1.09 Accounts_CTA_P&amp;F Zone 6" xfId="1014"/>
    <cellStyle name="_Meting 17.1.09 Accounts_CTA_Revise-CTA(NF, Spill OVer Works)." xfId="1015"/>
    <cellStyle name="_Meting 17.1.09 Accounts_CTA_Revise-CTA(NF, Spill OVer Works). 2" xfId="1016"/>
    <cellStyle name="_Meting 17.1.09 Accounts_CTA_Revise-CTA(NF, Spill OVer Works). 3" xfId="1017"/>
    <cellStyle name="_Meting 17.1.09 Accounts_CTA_Revise-CTA(NF, Spill OVer Works). 4" xfId="1018"/>
    <cellStyle name="_Meting 17.1.09 Accounts_CTA_Revise-CTA(NF, Spill OVer Works). 5" xfId="1019"/>
    <cellStyle name="_Meting 17.1.09 Accounts_CTA_Revise-CTA(NF, Spill OVer Works). 6" xfId="1020"/>
    <cellStyle name="_Meting 17.1.09 Accounts_Division_wise_capex_works_se-dvg(1)" xfId="1021"/>
    <cellStyle name="_Meting 17.1.09 Accounts_Feb-11_ATC HRR" xfId="1022"/>
    <cellStyle name="_Meting 17.1.09 Accounts_Feb-11_ATC HRR_Chief_off_format" xfId="1023"/>
    <cellStyle name="_Meting 17.1.09 Accounts_Feederwise_ATC CLK" xfId="1024"/>
    <cellStyle name="_Meting 17.1.09 Accounts_Feederwise_ATC CLK 2" xfId="1025"/>
    <cellStyle name="_Meting 17.1.09 Accounts_Feederwise_ATC CLK_ATC_FEB__2011_hyr_dn" xfId="1026"/>
    <cellStyle name="_Meting 17.1.09 Accounts_Feederwise_ATC CLK_ATC_FEB__2011_hyr_dn 2" xfId="1027"/>
    <cellStyle name="_Meting 17.1.09 Accounts_Feederwise_ATC CLK_ATC_FEB__2011_hyr_dn 3" xfId="1028"/>
    <cellStyle name="_Meting 17.1.09 Accounts_Feederwise_ATC CLK_ATC_FEB__2011_hyr_dn 4" xfId="1029"/>
    <cellStyle name="_Meting 17.1.09 Accounts_Feederwise_ATC CLK_ATC_FEB__2011_hyr_dn 5" xfId="1030"/>
    <cellStyle name="_Meting 17.1.09 Accounts_Feederwise_ATC CLK_ATC_FEB__2011_hyr_dn 6" xfId="1031"/>
    <cellStyle name="_Meting 17.1.09 Accounts_Feederwise_ATC CLK_HYR_ATC_Jan_11_org" xfId="1032"/>
    <cellStyle name="_Meting 17.1.09 Accounts_Feederwise_ATC CLK_HYR_ATC_Jan_11_org 2" xfId="1033"/>
    <cellStyle name="_Meting 17.1.09 Accounts_Feederwise_ATC CLK_HYR_ATC_Jan_11_org 3" xfId="1034"/>
    <cellStyle name="_Meting 17.1.09 Accounts_Feederwise_ATC CLK_HYR_ATC_Jan_11_org 4" xfId="1035"/>
    <cellStyle name="_Meting 17.1.09 Accounts_Feederwise_ATC CLK_HYR_ATC_Jan_11_org 5" xfId="1036"/>
    <cellStyle name="_Meting 17.1.09 Accounts_Feederwise_ATC CLK_HYR_ATC_Jan_11_org 6" xfId="1037"/>
    <cellStyle name="_Meting 17.1.09 Accounts_Feederwise_ATC_AUG-10 (5)" xfId="1038"/>
    <cellStyle name="_Meting 17.1.09 Accounts_Feederwise_ATC_AUG-10 (5) 2" xfId="1039"/>
    <cellStyle name="_Meting 17.1.09 Accounts_Feederwise_ATC_AUG-10 (5)_ATC_FEB__2011_hyr_dn" xfId="1040"/>
    <cellStyle name="_Meting 17.1.09 Accounts_Feederwise_ATC_AUG-10 (5)_ATC_FEB__2011_hyr_dn 2" xfId="1041"/>
    <cellStyle name="_Meting 17.1.09 Accounts_Feederwise_ATC_AUG-10 (5)_ATC_FEB__2011_hyr_dn 3" xfId="1042"/>
    <cellStyle name="_Meting 17.1.09 Accounts_Feederwise_ATC_AUG-10 (5)_ATC_FEB__2011_hyr_dn 4" xfId="1043"/>
    <cellStyle name="_Meting 17.1.09 Accounts_Feederwise_ATC_AUG-10 (5)_ATC_FEB__2011_hyr_dn 5" xfId="1044"/>
    <cellStyle name="_Meting 17.1.09 Accounts_Feederwise_ATC_AUG-10 (5)_ATC_FEB__2011_hyr_dn 6" xfId="1045"/>
    <cellStyle name="_Meting 17.1.09 Accounts_HRR ATC Dec-10 ATC" xfId="1046"/>
    <cellStyle name="_Meting 17.1.09 Accounts_HRR ATC Dec-10 ATC_Chief_off_format" xfId="1047"/>
    <cellStyle name="_Meting 17.1.09 Accounts_HRR ATC Jan-11" xfId="1048"/>
    <cellStyle name="_Meting 17.1.09 Accounts_HRR ATC Jan-11_Chief_off_format" xfId="1049"/>
    <cellStyle name="_Meting 17.1.09 Accounts_HRR March-11_ATC" xfId="1050"/>
    <cellStyle name="_Meting 17.1.09 Accounts_HRR March-11_ATC_Chief_off_format" xfId="1051"/>
    <cellStyle name="_Meting 17.1.09 Accounts_HRR Nov-10_ATC" xfId="1052"/>
    <cellStyle name="_Meting 17.1.09 Accounts_HYR_ATC_Jan_11_org" xfId="1053"/>
    <cellStyle name="_Meting 17.1.09 Accounts_HYR_ATC_Jan_11_org 2" xfId="1054"/>
    <cellStyle name="_Meting 17.1.09 Accounts_HYR_ATC_Jan_11_org 3" xfId="1055"/>
    <cellStyle name="_Meting 17.1.09 Accounts_HYR_ATC_Jan_11_org 4" xfId="1056"/>
    <cellStyle name="_Meting 17.1.09 Accounts_HYR_ATC_Jan_11_org 5" xfId="1057"/>
    <cellStyle name="_Meting 17.1.09 Accounts_HYR_ATC_Jan_11_org 6" xfId="1058"/>
    <cellStyle name="_Meting 17.1.09 Accounts_P&amp;F Zone" xfId="1059"/>
    <cellStyle name="_Meting 17.1.09 Accounts_P&amp;F Zone 2" xfId="1060"/>
    <cellStyle name="_Meting 17.1.09 Accounts_P&amp;F Zone 3" xfId="1061"/>
    <cellStyle name="_Meting 17.1.09 Accounts_P&amp;F Zone 4" xfId="1062"/>
    <cellStyle name="_Meting 17.1.09 Accounts_P&amp;F Zone 5" xfId="1063"/>
    <cellStyle name="_Meting 17.1.09 Accounts_P&amp;F Zone 6" xfId="1064"/>
    <cellStyle name="_Meting 17.1.09 Accounts_Revise-CTA(NF, Spill OVer Works)." xfId="1065"/>
    <cellStyle name="_Meting 17.1.09 Accounts_Revise-CTA(NF, Spill OVer Works). 2" xfId="1066"/>
    <cellStyle name="_Meting 17.1.09 Accounts_Revise-CTA(NF, Spill OVer Works). 3" xfId="1067"/>
    <cellStyle name="_Meting 17.1.09 Accounts_Revise-CTA(NF, Spill OVer Works). 4" xfId="1068"/>
    <cellStyle name="_Meting 17.1.09 Accounts_Revise-CTA(NF, Spill OVer Works). 5" xfId="1069"/>
    <cellStyle name="_Meting 17.1.09 Accounts_Revise-CTA(NF, Spill OVer Works). 6" xfId="1070"/>
    <cellStyle name="_MNR - April  to Sept 09" xfId="1071"/>
    <cellStyle name="_MNR - April  to Sept 09 2" xfId="1072"/>
    <cellStyle name="_MNR - April  to Sept 09_tumkur circle CT-_Formats_-May_2011(1)" xfId="1073"/>
    <cellStyle name="_MNR - April  to Sept 09_tumkur circle CT-_Formats_-May_2011(1) 2" xfId="1074"/>
    <cellStyle name="_MNR - April  to Sept 09_tumkur circle CT-_Formats_-May_2011(1) 3" xfId="1075"/>
    <cellStyle name="_MNR - April  to Sept 09_tumkur circle CT-_Formats_-May_2011(1) 4" xfId="1076"/>
    <cellStyle name="_MNR - April  to Sept 09_tumkur circle CT-_Formats_-May_2011(1) 5" xfId="1077"/>
    <cellStyle name="_MNR - April  to Sept 09_tumkur circle CT-_Formats_-May_2011(1) 6" xfId="1078"/>
    <cellStyle name="_New Formate ATC Loss _ T&amp;D Loss-Feb-09 of Madhugiri Divivision" xfId="1079"/>
    <cellStyle name="_New Formate ATC Loss _ T&amp;D Loss-Feb-09 of Madhugiri Divivision_C1 to C10_Format_Meeting_Dec-09" xfId="1080"/>
    <cellStyle name="_New Formate ATC Loss _ T&amp;D Loss-Feb-09 of Madhugiri Divivision_DTC Wse Energy Audit Dec-09 Madhugiri dvn 05.01.10" xfId="1081"/>
    <cellStyle name="_New Formate ATC Loss _ T&amp;D Loss-Feb-09 of Madhugiri Divivision_DTC Wse Energy Audit FEB-10 Madhugiri dvn" xfId="1082"/>
    <cellStyle name="_New Formate ATC Loss _ T&amp;D Loss-Feb-09 of Madhugiri Divivision_DTC_EA_MADHUGIRI__DIVISION_new" xfId="1083"/>
    <cellStyle name="_New Formate ATC Loss _ T&amp;D Loss-Jan-09 of Madhugiri Divivision" xfId="1084"/>
    <cellStyle name="_New Formate ATC Loss _ T&amp;D Loss-Jan-09 of Madhugiri Divivision_C1 to C10_Format_Meeting_Dec-09" xfId="1085"/>
    <cellStyle name="_New Formate ATC Loss _ T&amp;D Loss-Jan-09 of Madhugiri Divivision_DTC Wse Energy Audit Dec-09 Madhugiri dvn 05.01.10" xfId="1086"/>
    <cellStyle name="_New Formate ATC Loss _ T&amp;D Loss-Jan-09 of Madhugiri Divivision_DTC Wse Energy Audit FEB-10 Madhugiri dvn" xfId="1087"/>
    <cellStyle name="_New Formate ATC Loss _ T&amp;D Loss-Jan-09 of Madhugiri Divivision_DTC_EA_MADHUGIRI__DIVISION_new" xfId="1088"/>
    <cellStyle name="_Parameters April-10" xfId="1089"/>
    <cellStyle name="_Parameters April-10 2" xfId="1090"/>
    <cellStyle name="_Parameters April-10 2 2" xfId="1091"/>
    <cellStyle name="_Parameters April-10 2 3" xfId="1092"/>
    <cellStyle name="_Parameters April-10 3" xfId="1093"/>
    <cellStyle name="_Parameters April-10 3 2" xfId="1094"/>
    <cellStyle name="_Parameters April-10 3 3" xfId="1095"/>
    <cellStyle name="_Parameters April-10 4" xfId="1096"/>
    <cellStyle name="_Parameters April-10 4 2" xfId="1097"/>
    <cellStyle name="_Parameters April-10 4 3" xfId="1098"/>
    <cellStyle name="_Parameters April-10 5" xfId="1099"/>
    <cellStyle name="_Parameters April-10 6" xfId="1100"/>
    <cellStyle name="_Parameters May-10" xfId="1101"/>
    <cellStyle name="_Parameters May-10 2" xfId="1102"/>
    <cellStyle name="_Parameters May-10 2 2" xfId="1103"/>
    <cellStyle name="_Parameters May-10 2 3" xfId="1104"/>
    <cellStyle name="_Parameters May-10 3" xfId="1105"/>
    <cellStyle name="_Parameters May-10 3 2" xfId="1106"/>
    <cellStyle name="_Parameters May-10 3 3" xfId="1107"/>
    <cellStyle name="_Parameters May-10 4" xfId="1108"/>
    <cellStyle name="_Parameters May-10 4 2" xfId="1109"/>
    <cellStyle name="_Parameters May-10 4 3" xfId="1110"/>
    <cellStyle name="_Parameters May-10 5" xfId="1111"/>
    <cellStyle name="_Parameters May-10 6" xfId="1112"/>
    <cellStyle name="_Pavagada_Solar_Rebit_Details_Jan-09" xfId="1113"/>
    <cellStyle name="_Pavagada_Solar_Rebit_Details_Jan-09 2" xfId="1114"/>
    <cellStyle name="_Pavagada_Solar_Rebit_Details_Jan-09_C1 to C10_Format_Meeting_Dec-09" xfId="1115"/>
    <cellStyle name="_Pavagada_Solar_Rebit_Details_Jan-09_C1 to C10_Format_Meeting_Dec-09 2" xfId="1116"/>
    <cellStyle name="_Pavagada_Solar_Rebit_Details_Jan-09_DTC EA 18.01.10 Division Format" xfId="1117"/>
    <cellStyle name="_Pavagada_Solar_Rebit_Details_Jan-09_DTC EA 18.01.10 Division Format 2" xfId="1118"/>
    <cellStyle name="_Pavagada_Solar_Rebit_Details_Jan-09_DTC EA ABSTRCT FEB -10" xfId="1119"/>
    <cellStyle name="_Pavagada_Solar_Rebit_Details_Jan-09_DTC EA ABSTRCT FEB -10 2" xfId="1120"/>
    <cellStyle name="_Pavagada_Solar_Rebit_Details_Jan-09_DTC EA JAN-09     AJAY" xfId="1121"/>
    <cellStyle name="_Pavagada_Solar_Rebit_Details_Jan-09_DTC EA JAN-09     AJAY 2" xfId="1122"/>
    <cellStyle name="_Pavagada_Solar_Rebit_Details_Jan-09_DTC Wse Energy Audit Dec-09 Madhugiri dvn 05.01.10" xfId="1123"/>
    <cellStyle name="_Pavagada_Solar_Rebit_Details_Jan-09_DTC Wse Energy Audit Dec-09 Madhugiri dvn 05.01.10 2" xfId="1124"/>
    <cellStyle name="_Pavagada_Solar_Rebit_Details_Jan-09_DTC Wse Energy Audit Jan-10 Madhugiri dvn" xfId="1125"/>
    <cellStyle name="_Pavagada_Solar_Rebit_Details_Jan-09_DTC Wse Energy Audit Jan-10 Madhugiri dvn 2" xfId="1126"/>
    <cellStyle name="_Pavagada_Solar_Rebit_Details_Jan-09_DTC Wse Energy Audit Jan-10 Madhugiri dvn Final" xfId="1127"/>
    <cellStyle name="_Pavagada_Solar_Rebit_Details_Jan-09_DTC Wse Energy Audit Jan-10 Madhugiri dvn Final 2" xfId="1128"/>
    <cellStyle name="_Performance BESCOM June-10" xfId="1129"/>
    <cellStyle name="_Performance BESCOM June-10 2" xfId="1130"/>
    <cellStyle name="_Performance BESCOM June-10_tumkur circle CT-_Formats_-May_2011(1)" xfId="1131"/>
    <cellStyle name="_Performance BESCOM June-10_tumkur circle CT-_Formats_-May_2011(1) 2" xfId="1132"/>
    <cellStyle name="_Performance BESCOM June-10_tumkur circle CT-_Formats_-May_2011(1) 3" xfId="1133"/>
    <cellStyle name="_Performance BESCOM June-10_tumkur circle CT-_Formats_-May_2011(1) 4" xfId="1134"/>
    <cellStyle name="_Performance BESCOM June-10_tumkur circle CT-_Formats_-May_2011(1) 5" xfId="1135"/>
    <cellStyle name="_Performance BESCOM June-10_tumkur circle CT-_Formats_-May_2011(1) 6" xfId="1136"/>
    <cellStyle name="_PF_Modelling_KPMG v3.0" xfId="1137"/>
    <cellStyle name="_PF_Modelling_KPMG v3.0 2" xfId="1138"/>
    <cellStyle name="_PF_Modelling_KPMG v3.0 2 2" xfId="1139"/>
    <cellStyle name="_PF_Modelling_KPMG v3.0 2 3" xfId="1140"/>
    <cellStyle name="_PF_Modelling_KPMG v3.0 3" xfId="1141"/>
    <cellStyle name="_PF_Modelling_KPMG v3.0 3 2" xfId="1142"/>
    <cellStyle name="_PF_Modelling_KPMG v3.0 3 3" xfId="1143"/>
    <cellStyle name="_PF_Modelling_KPMG v3.0 4" xfId="1144"/>
    <cellStyle name="_PF_Modelling_KPMG v3.0 4 2" xfId="1145"/>
    <cellStyle name="_PF_Modelling_KPMG v3.0 4 3" xfId="1146"/>
    <cellStyle name="_PF_Modelling_KPMG v3.0 5" xfId="1147"/>
    <cellStyle name="_PF_Modelling_KPMG v3.0 6" xfId="1148"/>
    <cellStyle name="_Rev-DVG" xfId="1149"/>
    <cellStyle name="_Rev-DVG 2" xfId="1150"/>
    <cellStyle name="_Rev-DVG 2 2" xfId="1151"/>
    <cellStyle name="_Rev-DVG 2 3" xfId="1152"/>
    <cellStyle name="_Rev-DVG 3" xfId="1153"/>
    <cellStyle name="_Rev-DVG 3 2" xfId="1154"/>
    <cellStyle name="_Rev-DVG 3 3" xfId="1155"/>
    <cellStyle name="_Rev-DVG 4" xfId="1156"/>
    <cellStyle name="_Rev-DVG 4 2" xfId="1157"/>
    <cellStyle name="_Rev-DVG 4 3" xfId="1158"/>
    <cellStyle name="_Rev-DVG 5" xfId="1159"/>
    <cellStyle name="_Rev-DVG 6" xfId="1160"/>
    <cellStyle name="_Rev-DVG_Revised New Format from GM CA -24.02.2012" xfId="1161"/>
    <cellStyle name="_Rev-DVG_Revised New Format from GM CA -24.02.2012 2" xfId="1162"/>
    <cellStyle name="_Sira town ATC KERC June-10" xfId="1163"/>
    <cellStyle name="_Sira town ATC KERC June-10 2" xfId="1164"/>
    <cellStyle name="_Sira Town ATC May-10" xfId="1165"/>
    <cellStyle name="_Sira Town ATC May-10 2" xfId="1166"/>
    <cellStyle name="_Sira_Town_ATC" xfId="1167"/>
    <cellStyle name="_Sira_Town_ATC 2" xfId="1168"/>
    <cellStyle name="_Sira_Town_Energy__Audit July-10" xfId="1169"/>
    <cellStyle name="_Sira_Town_Energy__Audit July-10 2" xfId="1170"/>
    <cellStyle name="_Sira_Town_Energy__Audit(Zonal)_Aug-10" xfId="1171"/>
    <cellStyle name="_Sira_Town_Energy__Audit(Zonal)_Aug-10 2" xfId="1172"/>
    <cellStyle name="_Solar Rebate-Jan09" xfId="1173"/>
    <cellStyle name="_Solar Rebate-Jan09_ATC Loss T &amp; D Loss Feb-11 of Madhugiri Division" xfId="1174"/>
    <cellStyle name="_Solar Rebate-Jan09_C1 to C10_Format_Meeting_Dec-09" xfId="1175"/>
    <cellStyle name="_Solar Rebate-Jan09_C1 to C10_Format_Meeting_Dec-09_ATC Loss T &amp; D Loss Feb-11 of Madhugiri Division" xfId="1176"/>
    <cellStyle name="_Solar Rebate-Jan09_DTC Wse Energy Audit Dec-09 Madhugiri dvn 05.01.10" xfId="1177"/>
    <cellStyle name="_Solar Rebate-Jan09_DTC Wse Energy Audit Dec-09 Madhugiri dvn 05.01.10_ATC Loss T &amp; D Loss Feb-11 of Madhugiri Division" xfId="1178"/>
    <cellStyle name="_Solar Rebate-Jan09_DTC Wse Energy Audit FEB-10 Madhugiri dvn" xfId="1179"/>
    <cellStyle name="_Solar Rebate-Jan09_DTC Wse Energy Audit FEB-10 Madhugiri dvn_ATC Loss T &amp; D Loss Feb-11 of Madhugiri Division" xfId="1180"/>
    <cellStyle name="_Solar Rebate-Jan09_DTC_EA_MADHUGIRI__DIVISION_new" xfId="1181"/>
    <cellStyle name="_Solar Rebate-Jan09_DTC_EA_MADHUGIRI__DIVISION_new_ATC Loss T &amp; D Loss Feb-11 of Madhugiri Division" xfId="1182"/>
    <cellStyle name="_SOW Circle" xfId="1183"/>
    <cellStyle name="_SOW Circle_Circle- Feb 2011 SOW P&amp;M" xfId="1184"/>
    <cellStyle name="_SOW Circle_Circle- Feb 2011 SOW P&amp;M 2" xfId="1185"/>
    <cellStyle name="_SOW Circle_Circle- Feb 2011 SOW P&amp;M 3" xfId="1186"/>
    <cellStyle name="_SOW Circle_Circle- Feb 2011 SOW P&amp;M 4" xfId="1187"/>
    <cellStyle name="_SOW Circle_Circle- Feb 2011 SOW P&amp;M 5" xfId="1188"/>
    <cellStyle name="_SOW Circle_Circle- Feb 2011 SOW P&amp;M 6" xfId="1189"/>
    <cellStyle name="_SOW Circle_Circle- Feb 2011 SOW P&amp;M_Copy P&amp;F Dec-2011(F)" xfId="1190"/>
    <cellStyle name="_SOW Circle_Circle- Jan 2011 SOW P&amp;M" xfId="1191"/>
    <cellStyle name="_SOW Circle_Circle- Jan 2011 SOW P&amp;M 2" xfId="1192"/>
    <cellStyle name="_SOW Circle_Circle- Jan 2011 SOW P&amp;M 3" xfId="1193"/>
    <cellStyle name="_SOW Circle_Circle- Jan 2011 SOW P&amp;M 4" xfId="1194"/>
    <cellStyle name="_SOW Circle_Circle- Jan 2011 SOW P&amp;M 5" xfId="1195"/>
    <cellStyle name="_SOW Circle_Circle- Jan 2011 SOW P&amp;M 6" xfId="1196"/>
    <cellStyle name="_SOW Circle_Circle-_August_2010_SOW_P&amp;M(1)" xfId="1197"/>
    <cellStyle name="_SOW Circle_Circle-_August_2010_SOW_P&amp;M(1) 2" xfId="1198"/>
    <cellStyle name="_SOW Circle_Circle-_August_2010_SOW_P&amp;M(1) 3" xfId="1199"/>
    <cellStyle name="_SOW Circle_Circle-_August_2010_SOW_P&amp;M(1) 4" xfId="1200"/>
    <cellStyle name="_SOW Circle_Circle-_August_2010_SOW_P&amp;M(1) 5" xfId="1201"/>
    <cellStyle name="_SOW Circle_Circle-_August_2010_SOW_P&amp;M(1) 6" xfId="1202"/>
    <cellStyle name="_SOW Circle_Circle-_August_2010_SOW_P&amp;M(1)_Copy P&amp;F Dec-2011(F)" xfId="1203"/>
    <cellStyle name="_SOW Circle_P&amp;F Zone" xfId="1204"/>
    <cellStyle name="_SOW Circle_P&amp;F Zone 2" xfId="1205"/>
    <cellStyle name="_SOW Circle_P&amp;F Zone 3" xfId="1206"/>
    <cellStyle name="_SOW Circle_P&amp;F Zone 4" xfId="1207"/>
    <cellStyle name="_SOW Circle_P&amp;F Zone 5" xfId="1208"/>
    <cellStyle name="_SOW Circle_P&amp;F Zone 6" xfId="1209"/>
    <cellStyle name="_Spill OVer works" xfId="1210"/>
    <cellStyle name="_Spill OVer works_Circle- Feb 2011 SOW P&amp;M" xfId="1211"/>
    <cellStyle name="_Spill OVer works_Circle- Feb 2011 SOW P&amp;M 2" xfId="1212"/>
    <cellStyle name="_Spill OVer works_Circle- Feb 2011 SOW P&amp;M 3" xfId="1213"/>
    <cellStyle name="_Spill OVer works_Circle- Feb 2011 SOW P&amp;M 4" xfId="1214"/>
    <cellStyle name="_Spill OVer works_Circle- Feb 2011 SOW P&amp;M 5" xfId="1215"/>
    <cellStyle name="_Spill OVer works_Circle- Feb 2011 SOW P&amp;M 6" xfId="1216"/>
    <cellStyle name="_Spill OVer works_Circle- Feb 2011 SOW P&amp;M_Copy P&amp;F Dec-2011(F)" xfId="1217"/>
    <cellStyle name="_Spill OVer works_Circle- Jan 2011 SOW P&amp;M" xfId="1218"/>
    <cellStyle name="_Spill OVer works_Circle- Jan 2011 SOW P&amp;M 2" xfId="1219"/>
    <cellStyle name="_Spill OVer works_Circle- Jan 2011 SOW P&amp;M 3" xfId="1220"/>
    <cellStyle name="_Spill OVer works_Circle- Jan 2011 SOW P&amp;M 4" xfId="1221"/>
    <cellStyle name="_Spill OVer works_Circle- Jan 2011 SOW P&amp;M 5" xfId="1222"/>
    <cellStyle name="_Spill OVer works_Circle- Jan 2011 SOW P&amp;M 6" xfId="1223"/>
    <cellStyle name="_Spill OVer works_Circle-_August_2010_SOW_P&amp;M(1)" xfId="1224"/>
    <cellStyle name="_Spill OVer works_Circle-_August_2010_SOW_P&amp;M(1) 2" xfId="1225"/>
    <cellStyle name="_Spill OVer works_Circle-_August_2010_SOW_P&amp;M(1) 3" xfId="1226"/>
    <cellStyle name="_Spill OVer works_Circle-_August_2010_SOW_P&amp;M(1) 4" xfId="1227"/>
    <cellStyle name="_Spill OVer works_Circle-_August_2010_SOW_P&amp;M(1) 5" xfId="1228"/>
    <cellStyle name="_Spill OVer works_Circle-_August_2010_SOW_P&amp;M(1) 6" xfId="1229"/>
    <cellStyle name="_Spill OVer works_Circle-_August_2010_SOW_P&amp;M(1)_Copy P&amp;F Dec-2011(F)" xfId="1230"/>
    <cellStyle name="_Spill OVer works_P&amp;F Zone" xfId="1231"/>
    <cellStyle name="_Spill OVer works_P&amp;F Zone 2" xfId="1232"/>
    <cellStyle name="_Spill OVer works_P&amp;F Zone 3" xfId="1233"/>
    <cellStyle name="_Spill OVer works_P&amp;F Zone 4" xfId="1234"/>
    <cellStyle name="_Spill OVer works_P&amp;F Zone 5" xfId="1235"/>
    <cellStyle name="_Spill OVer works_P&amp;F Zone 6" xfId="1236"/>
    <cellStyle name="_Sub DCB Feb-09" xfId="1237"/>
    <cellStyle name="_Sub DCB Feb-09_Division_wise_capex_works_se-dvg(1)" xfId="1238"/>
    <cellStyle name="_TEA Sira April-10" xfId="1239"/>
    <cellStyle name="_TEA Sira April-10 2" xfId="1240"/>
    <cellStyle name="_To Division Office" xfId="1241"/>
    <cellStyle name="_To Division Office 2" xfId="1242"/>
    <cellStyle name="_To Division Office 2 2" xfId="1243"/>
    <cellStyle name="_To Division Office 2 3" xfId="1244"/>
    <cellStyle name="_To Division Office 3" xfId="1245"/>
    <cellStyle name="_To Division Office 3 2" xfId="1246"/>
    <cellStyle name="_To Division Office 3 3" xfId="1247"/>
    <cellStyle name="_To Division Office 4" xfId="1248"/>
    <cellStyle name="_To Division Office 4 2" xfId="1249"/>
    <cellStyle name="_To Division Office 4 3" xfId="1250"/>
    <cellStyle name="_To Division Office 5" xfId="1251"/>
    <cellStyle name="_To Division Office 6" xfId="1252"/>
    <cellStyle name="_To Division Office_Revised New Format from GM CA -24.02.2012" xfId="1253"/>
    <cellStyle name="_To Division Office_Revised New Format from GM CA -24.02.2012 2" xfId="1254"/>
    <cellStyle name="=C:\WINNT35\SYSTEM32\COMMAND.COM" xfId="1255"/>
    <cellStyle name="=C:\WINNT35\SYSTEM32\COMMAND.COM 2" xfId="1256"/>
    <cellStyle name="=C:\WINNT35\SYSTEM32\COMMAND.COM 2 2" xfId="1257"/>
    <cellStyle name="=C:\WINNT35\SYSTEM32\COMMAND.COM 2 3" xfId="1258"/>
    <cellStyle name="=C:\WINNT35\SYSTEM32\COMMAND.COM 3" xfId="1259"/>
    <cellStyle name="=C:\WINNT35\SYSTEM32\COMMAND.COM 3 2" xfId="1260"/>
    <cellStyle name="=C:\WINNT35\SYSTEM32\COMMAND.COM 3 3" xfId="1261"/>
    <cellStyle name="=C:\WINNT35\SYSTEM32\COMMAND.COM 4" xfId="1262"/>
    <cellStyle name="=C:\WINNT35\SYSTEM32\COMMAND.COM 4 2" xfId="1263"/>
    <cellStyle name="=C:\WINNT35\SYSTEM32\COMMAND.COM 4 3" xfId="1264"/>
    <cellStyle name="=C:\WINNT35\SYSTEM32\COMMAND.COM 5" xfId="1265"/>
    <cellStyle name="=C:\WINNT35\SYSTEM32\COMMAND.COM 6" xfId="1266"/>
    <cellStyle name="11" xfId="1267"/>
    <cellStyle name="18" xfId="1268"/>
    <cellStyle name="20" xfId="1269"/>
    <cellStyle name="20% - Accent1 10" xfId="1270"/>
    <cellStyle name="20% - Accent1 11" xfId="1271"/>
    <cellStyle name="20% - Accent1 2" xfId="1272"/>
    <cellStyle name="20% - Accent1 2 2" xfId="1273"/>
    <cellStyle name="20% - Accent1 2 3" xfId="1274"/>
    <cellStyle name="20% - Accent1 2 4" xfId="1275"/>
    <cellStyle name="20% - Accent1 2 5" xfId="1276"/>
    <cellStyle name="20% - Accent1 2 6" xfId="1277"/>
    <cellStyle name="20% - Accent1 2 7" xfId="1278"/>
    <cellStyle name="20% - Accent1 2 8" xfId="1279"/>
    <cellStyle name="20% - Accent1 2_hyr" xfId="1280"/>
    <cellStyle name="20% - Accent1 3" xfId="1281"/>
    <cellStyle name="20% - Accent1 3 2" xfId="1282"/>
    <cellStyle name="20% - Accent1 3 3" xfId="1283"/>
    <cellStyle name="20% - Accent1 3 4" xfId="1284"/>
    <cellStyle name="20% - Accent1 3 5" xfId="1285"/>
    <cellStyle name="20% - Accent1 3_hyr" xfId="1286"/>
    <cellStyle name="20% - Accent1 4" xfId="1287"/>
    <cellStyle name="20% - Accent1 4 2" xfId="1288"/>
    <cellStyle name="20% - Accent1 4 3" xfId="1289"/>
    <cellStyle name="20% - Accent1 4 4" xfId="1290"/>
    <cellStyle name="20% - Accent1 4 5" xfId="1291"/>
    <cellStyle name="20% - Accent1 4_hyr" xfId="1292"/>
    <cellStyle name="20% - Accent1 5" xfId="1293"/>
    <cellStyle name="20% - Accent1 6" xfId="1294"/>
    <cellStyle name="20% - Accent1 7" xfId="1295"/>
    <cellStyle name="20% - Accent1 8" xfId="1296"/>
    <cellStyle name="20% - Accent1 9" xfId="1297"/>
    <cellStyle name="20% - Accent2 10" xfId="1298"/>
    <cellStyle name="20% - Accent2 11" xfId="1299"/>
    <cellStyle name="20% - Accent2 2" xfId="1300"/>
    <cellStyle name="20% - Accent2 2 2" xfId="1301"/>
    <cellStyle name="20% - Accent2 2 3" xfId="1302"/>
    <cellStyle name="20% - Accent2 2 4" xfId="1303"/>
    <cellStyle name="20% - Accent2 2 5" xfId="1304"/>
    <cellStyle name="20% - Accent2 2 6" xfId="1305"/>
    <cellStyle name="20% - Accent2 2 7" xfId="1306"/>
    <cellStyle name="20% - Accent2 2 8" xfId="1307"/>
    <cellStyle name="20% - Accent2 2_hyr" xfId="1308"/>
    <cellStyle name="20% - Accent2 3" xfId="1309"/>
    <cellStyle name="20% - Accent2 3 2" xfId="1310"/>
    <cellStyle name="20% - Accent2 3 3" xfId="1311"/>
    <cellStyle name="20% - Accent2 3 4" xfId="1312"/>
    <cellStyle name="20% - Accent2 3 5" xfId="1313"/>
    <cellStyle name="20% - Accent2 3_hyr" xfId="1314"/>
    <cellStyle name="20% - Accent2 4" xfId="1315"/>
    <cellStyle name="20% - Accent2 4 2" xfId="1316"/>
    <cellStyle name="20% - Accent2 4 3" xfId="1317"/>
    <cellStyle name="20% - Accent2 4 4" xfId="1318"/>
    <cellStyle name="20% - Accent2 4 5" xfId="1319"/>
    <cellStyle name="20% - Accent2 4_hyr" xfId="1320"/>
    <cellStyle name="20% - Accent2 5" xfId="1321"/>
    <cellStyle name="20% - Accent2 6" xfId="1322"/>
    <cellStyle name="20% - Accent2 7" xfId="1323"/>
    <cellStyle name="20% - Accent2 8" xfId="1324"/>
    <cellStyle name="20% - Accent2 9" xfId="1325"/>
    <cellStyle name="20% - Accent3 10" xfId="1326"/>
    <cellStyle name="20% - Accent3 11" xfId="1327"/>
    <cellStyle name="20% - Accent3 2" xfId="1328"/>
    <cellStyle name="20% - Accent3 2 2" xfId="1329"/>
    <cellStyle name="20% - Accent3 2 3" xfId="1330"/>
    <cellStyle name="20% - Accent3 2 4" xfId="1331"/>
    <cellStyle name="20% - Accent3 2 5" xfId="1332"/>
    <cellStyle name="20% - Accent3 2 6" xfId="1333"/>
    <cellStyle name="20% - Accent3 2 7" xfId="1334"/>
    <cellStyle name="20% - Accent3 2 8" xfId="1335"/>
    <cellStyle name="20% - Accent3 2_hyr" xfId="1336"/>
    <cellStyle name="20% - Accent3 3" xfId="1337"/>
    <cellStyle name="20% - Accent3 3 2" xfId="1338"/>
    <cellStyle name="20% - Accent3 3 3" xfId="1339"/>
    <cellStyle name="20% - Accent3 3 4" xfId="1340"/>
    <cellStyle name="20% - Accent3 3 5" xfId="1341"/>
    <cellStyle name="20% - Accent3 3_hyr" xfId="1342"/>
    <cellStyle name="20% - Accent3 4" xfId="1343"/>
    <cellStyle name="20% - Accent3 4 2" xfId="1344"/>
    <cellStyle name="20% - Accent3 4 3" xfId="1345"/>
    <cellStyle name="20% - Accent3 4 4" xfId="1346"/>
    <cellStyle name="20% - Accent3 4 5" xfId="1347"/>
    <cellStyle name="20% - Accent3 4_hyr" xfId="1348"/>
    <cellStyle name="20% - Accent3 5" xfId="1349"/>
    <cellStyle name="20% - Accent3 6" xfId="1350"/>
    <cellStyle name="20% - Accent3 7" xfId="1351"/>
    <cellStyle name="20% - Accent3 8" xfId="1352"/>
    <cellStyle name="20% - Accent3 9" xfId="1353"/>
    <cellStyle name="20% - Accent4 10" xfId="1354"/>
    <cellStyle name="20% - Accent4 11" xfId="1355"/>
    <cellStyle name="20% - Accent4 2" xfId="1356"/>
    <cellStyle name="20% - Accent4 2 2" xfId="1357"/>
    <cellStyle name="20% - Accent4 2 3" xfId="1358"/>
    <cellStyle name="20% - Accent4 2 4" xfId="1359"/>
    <cellStyle name="20% - Accent4 2 5" xfId="1360"/>
    <cellStyle name="20% - Accent4 2 6" xfId="1361"/>
    <cellStyle name="20% - Accent4 2 7" xfId="1362"/>
    <cellStyle name="20% - Accent4 2 8" xfId="1363"/>
    <cellStyle name="20% - Accent4 2_hyr" xfId="1364"/>
    <cellStyle name="20% - Accent4 3" xfId="1365"/>
    <cellStyle name="20% - Accent4 3 2" xfId="1366"/>
    <cellStyle name="20% - Accent4 3 3" xfId="1367"/>
    <cellStyle name="20% - Accent4 3 4" xfId="1368"/>
    <cellStyle name="20% - Accent4 3 5" xfId="1369"/>
    <cellStyle name="20% - Accent4 3_hyr" xfId="1370"/>
    <cellStyle name="20% - Accent4 4" xfId="1371"/>
    <cellStyle name="20% - Accent4 4 2" xfId="1372"/>
    <cellStyle name="20% - Accent4 4 3" xfId="1373"/>
    <cellStyle name="20% - Accent4 4 4" xfId="1374"/>
    <cellStyle name="20% - Accent4 4 5" xfId="1375"/>
    <cellStyle name="20% - Accent4 4_hyr" xfId="1376"/>
    <cellStyle name="20% - Accent4 5" xfId="1377"/>
    <cellStyle name="20% - Accent4 6" xfId="1378"/>
    <cellStyle name="20% - Accent4 7" xfId="1379"/>
    <cellStyle name="20% - Accent4 8" xfId="1380"/>
    <cellStyle name="20% - Accent4 9" xfId="1381"/>
    <cellStyle name="20% - Accent5 10" xfId="1382"/>
    <cellStyle name="20% - Accent5 11" xfId="1383"/>
    <cellStyle name="20% - Accent5 2" xfId="1384"/>
    <cellStyle name="20% - Accent5 2 2" xfId="1385"/>
    <cellStyle name="20% - Accent5 2 3" xfId="1386"/>
    <cellStyle name="20% - Accent5 2 4" xfId="1387"/>
    <cellStyle name="20% - Accent5 2 5" xfId="1388"/>
    <cellStyle name="20% - Accent5 2 6" xfId="1389"/>
    <cellStyle name="20% - Accent5 2 7" xfId="1390"/>
    <cellStyle name="20% - Accent5 2 8" xfId="1391"/>
    <cellStyle name="20% - Accent5 2_hyr" xfId="1392"/>
    <cellStyle name="20% - Accent5 3" xfId="1393"/>
    <cellStyle name="20% - Accent5 3 2" xfId="1394"/>
    <cellStyle name="20% - Accent5 3 3" xfId="1395"/>
    <cellStyle name="20% - Accent5 3 4" xfId="1396"/>
    <cellStyle name="20% - Accent5 3 5" xfId="1397"/>
    <cellStyle name="20% - Accent5 3_hyr" xfId="1398"/>
    <cellStyle name="20% - Accent5 4" xfId="1399"/>
    <cellStyle name="20% - Accent5 4 2" xfId="1400"/>
    <cellStyle name="20% - Accent5 4 3" xfId="1401"/>
    <cellStyle name="20% - Accent5 4 4" xfId="1402"/>
    <cellStyle name="20% - Accent5 4 5" xfId="1403"/>
    <cellStyle name="20% - Accent5 4_hyr" xfId="1404"/>
    <cellStyle name="20% - Accent5 5" xfId="1405"/>
    <cellStyle name="20% - Accent5 6" xfId="1406"/>
    <cellStyle name="20% - Accent5 7" xfId="1407"/>
    <cellStyle name="20% - Accent5 8" xfId="1408"/>
    <cellStyle name="20% - Accent5 9" xfId="1409"/>
    <cellStyle name="20% - Accent6 10" xfId="1410"/>
    <cellStyle name="20% - Accent6 11" xfId="1411"/>
    <cellStyle name="20% - Accent6 2" xfId="1412"/>
    <cellStyle name="20% - Accent6 2 2" xfId="1413"/>
    <cellStyle name="20% - Accent6 2 3" xfId="1414"/>
    <cellStyle name="20% - Accent6 2 4" xfId="1415"/>
    <cellStyle name="20% - Accent6 2 5" xfId="1416"/>
    <cellStyle name="20% - Accent6 2 6" xfId="1417"/>
    <cellStyle name="20% - Accent6 2 7" xfId="1418"/>
    <cellStyle name="20% - Accent6 2 8" xfId="1419"/>
    <cellStyle name="20% - Accent6 2_hyr" xfId="1420"/>
    <cellStyle name="20% - Accent6 3" xfId="1421"/>
    <cellStyle name="20% - Accent6 3 2" xfId="1422"/>
    <cellStyle name="20% - Accent6 3 3" xfId="1423"/>
    <cellStyle name="20% - Accent6 3 4" xfId="1424"/>
    <cellStyle name="20% - Accent6 3 5" xfId="1425"/>
    <cellStyle name="20% - Accent6 3_hyr" xfId="1426"/>
    <cellStyle name="20% - Accent6 4" xfId="1427"/>
    <cellStyle name="20% - Accent6 4 2" xfId="1428"/>
    <cellStyle name="20% - Accent6 4 3" xfId="1429"/>
    <cellStyle name="20% - Accent6 4 4" xfId="1430"/>
    <cellStyle name="20% - Accent6 4 5" xfId="1431"/>
    <cellStyle name="20% - Accent6 4_hyr" xfId="1432"/>
    <cellStyle name="20% - Accent6 5" xfId="1433"/>
    <cellStyle name="20% - Accent6 6" xfId="1434"/>
    <cellStyle name="20% - Accent6 7" xfId="1435"/>
    <cellStyle name="20% - Accent6 8" xfId="1436"/>
    <cellStyle name="20% - Accent6 9" xfId="1437"/>
    <cellStyle name="20% - एक्सेंट1" xfId="1438"/>
    <cellStyle name="20% - एक्सेंट2" xfId="1439"/>
    <cellStyle name="20% - एक्सेंट3" xfId="1440"/>
    <cellStyle name="20% - एक्सेंट4" xfId="1441"/>
    <cellStyle name="20% - एक्सेंट5" xfId="1442"/>
    <cellStyle name="20% - एक्सेंट6" xfId="1443"/>
    <cellStyle name="20+b" xfId="1444"/>
    <cellStyle name="24" xfId="1445"/>
    <cellStyle name="24+b" xfId="1446"/>
    <cellStyle name="40% - Accent1 10" xfId="1447"/>
    <cellStyle name="40% - Accent1 11" xfId="1448"/>
    <cellStyle name="40% - Accent1 2" xfId="1449"/>
    <cellStyle name="40% - Accent1 2 2" xfId="1450"/>
    <cellStyle name="40% - Accent1 2 3" xfId="1451"/>
    <cellStyle name="40% - Accent1 2 4" xfId="1452"/>
    <cellStyle name="40% - Accent1 2 5" xfId="1453"/>
    <cellStyle name="40% - Accent1 2 6" xfId="1454"/>
    <cellStyle name="40% - Accent1 2 7" xfId="1455"/>
    <cellStyle name="40% - Accent1 2 8" xfId="1456"/>
    <cellStyle name="40% - Accent1 2_hyr" xfId="1457"/>
    <cellStyle name="40% - Accent1 3" xfId="1458"/>
    <cellStyle name="40% - Accent1 3 2" xfId="1459"/>
    <cellStyle name="40% - Accent1 3 3" xfId="1460"/>
    <cellStyle name="40% - Accent1 3 4" xfId="1461"/>
    <cellStyle name="40% - Accent1 3 5" xfId="1462"/>
    <cellStyle name="40% - Accent1 3_hyr" xfId="1463"/>
    <cellStyle name="40% - Accent1 4" xfId="1464"/>
    <cellStyle name="40% - Accent1 4 2" xfId="1465"/>
    <cellStyle name="40% - Accent1 4 3" xfId="1466"/>
    <cellStyle name="40% - Accent1 4 4" xfId="1467"/>
    <cellStyle name="40% - Accent1 4 5" xfId="1468"/>
    <cellStyle name="40% - Accent1 4_hyr" xfId="1469"/>
    <cellStyle name="40% - Accent1 5" xfId="1470"/>
    <cellStyle name="40% - Accent1 6" xfId="1471"/>
    <cellStyle name="40% - Accent1 7" xfId="1472"/>
    <cellStyle name="40% - Accent1 8" xfId="1473"/>
    <cellStyle name="40% - Accent1 9" xfId="1474"/>
    <cellStyle name="40% - Accent2 10" xfId="1475"/>
    <cellStyle name="40% - Accent2 11" xfId="1476"/>
    <cellStyle name="40% - Accent2 2" xfId="1477"/>
    <cellStyle name="40% - Accent2 2 2" xfId="1478"/>
    <cellStyle name="40% - Accent2 2 3" xfId="1479"/>
    <cellStyle name="40% - Accent2 2 4" xfId="1480"/>
    <cellStyle name="40% - Accent2 2 5" xfId="1481"/>
    <cellStyle name="40% - Accent2 2 6" xfId="1482"/>
    <cellStyle name="40% - Accent2 2 7" xfId="1483"/>
    <cellStyle name="40% - Accent2 2 8" xfId="1484"/>
    <cellStyle name="40% - Accent2 2_hyr" xfId="1485"/>
    <cellStyle name="40% - Accent2 3" xfId="1486"/>
    <cellStyle name="40% - Accent2 3 2" xfId="1487"/>
    <cellStyle name="40% - Accent2 3 3" xfId="1488"/>
    <cellStyle name="40% - Accent2 3 4" xfId="1489"/>
    <cellStyle name="40% - Accent2 3 5" xfId="1490"/>
    <cellStyle name="40% - Accent2 3_hyr" xfId="1491"/>
    <cellStyle name="40% - Accent2 4" xfId="1492"/>
    <cellStyle name="40% - Accent2 4 2" xfId="1493"/>
    <cellStyle name="40% - Accent2 4 3" xfId="1494"/>
    <cellStyle name="40% - Accent2 4 4" xfId="1495"/>
    <cellStyle name="40% - Accent2 4 5" xfId="1496"/>
    <cellStyle name="40% - Accent2 4_hyr" xfId="1497"/>
    <cellStyle name="40% - Accent2 5" xfId="1498"/>
    <cellStyle name="40% - Accent2 6" xfId="1499"/>
    <cellStyle name="40% - Accent2 7" xfId="1500"/>
    <cellStyle name="40% - Accent2 8" xfId="1501"/>
    <cellStyle name="40% - Accent2 9" xfId="1502"/>
    <cellStyle name="40% - Accent3 10" xfId="1503"/>
    <cellStyle name="40% - Accent3 11" xfId="1504"/>
    <cellStyle name="40% - Accent3 2" xfId="1505"/>
    <cellStyle name="40% - Accent3 2 2" xfId="1506"/>
    <cellStyle name="40% - Accent3 2 3" xfId="1507"/>
    <cellStyle name="40% - Accent3 2 4" xfId="1508"/>
    <cellStyle name="40% - Accent3 2 5" xfId="1509"/>
    <cellStyle name="40% - Accent3 2 6" xfId="1510"/>
    <cellStyle name="40% - Accent3 2 7" xfId="1511"/>
    <cellStyle name="40% - Accent3 2 8" xfId="1512"/>
    <cellStyle name="40% - Accent3 2_hyr" xfId="1513"/>
    <cellStyle name="40% - Accent3 3" xfId="1514"/>
    <cellStyle name="40% - Accent3 3 2" xfId="1515"/>
    <cellStyle name="40% - Accent3 3 3" xfId="1516"/>
    <cellStyle name="40% - Accent3 3 4" xfId="1517"/>
    <cellStyle name="40% - Accent3 3 5" xfId="1518"/>
    <cellStyle name="40% - Accent3 3_hyr" xfId="1519"/>
    <cellStyle name="40% - Accent3 4" xfId="1520"/>
    <cellStyle name="40% - Accent3 4 2" xfId="1521"/>
    <cellStyle name="40% - Accent3 4 3" xfId="1522"/>
    <cellStyle name="40% - Accent3 4 4" xfId="1523"/>
    <cellStyle name="40% - Accent3 4 5" xfId="1524"/>
    <cellStyle name="40% - Accent3 4_hyr" xfId="1525"/>
    <cellStyle name="40% - Accent3 5" xfId="1526"/>
    <cellStyle name="40% - Accent3 6" xfId="1527"/>
    <cellStyle name="40% - Accent3 7" xfId="1528"/>
    <cellStyle name="40% - Accent3 8" xfId="1529"/>
    <cellStyle name="40% - Accent3 9" xfId="1530"/>
    <cellStyle name="40% - Accent4 10" xfId="1531"/>
    <cellStyle name="40% - Accent4 11" xfId="1532"/>
    <cellStyle name="40% - Accent4 2" xfId="1533"/>
    <cellStyle name="40% - Accent4 2 2" xfId="1534"/>
    <cellStyle name="40% - Accent4 2 3" xfId="1535"/>
    <cellStyle name="40% - Accent4 2 4" xfId="1536"/>
    <cellStyle name="40% - Accent4 2 5" xfId="1537"/>
    <cellStyle name="40% - Accent4 2 6" xfId="1538"/>
    <cellStyle name="40% - Accent4 2 7" xfId="1539"/>
    <cellStyle name="40% - Accent4 2 8" xfId="1540"/>
    <cellStyle name="40% - Accent4 2_hyr" xfId="1541"/>
    <cellStyle name="40% - Accent4 3" xfId="1542"/>
    <cellStyle name="40% - Accent4 3 2" xfId="1543"/>
    <cellStyle name="40% - Accent4 3 3" xfId="1544"/>
    <cellStyle name="40% - Accent4 3 4" xfId="1545"/>
    <cellStyle name="40% - Accent4 3 5" xfId="1546"/>
    <cellStyle name="40% - Accent4 3_hyr" xfId="1547"/>
    <cellStyle name="40% - Accent4 4" xfId="1548"/>
    <cellStyle name="40% - Accent4 4 2" xfId="1549"/>
    <cellStyle name="40% - Accent4 4 3" xfId="1550"/>
    <cellStyle name="40% - Accent4 4 4" xfId="1551"/>
    <cellStyle name="40% - Accent4 4 5" xfId="1552"/>
    <cellStyle name="40% - Accent4 4_hyr" xfId="1553"/>
    <cellStyle name="40% - Accent4 5" xfId="1554"/>
    <cellStyle name="40% - Accent4 6" xfId="1555"/>
    <cellStyle name="40% - Accent4 7" xfId="1556"/>
    <cellStyle name="40% - Accent4 8" xfId="1557"/>
    <cellStyle name="40% - Accent4 9" xfId="1558"/>
    <cellStyle name="40% - Accent5 10" xfId="1559"/>
    <cellStyle name="40% - Accent5 11" xfId="1560"/>
    <cellStyle name="40% - Accent5 2" xfId="1561"/>
    <cellStyle name="40% - Accent5 2 2" xfId="1562"/>
    <cellStyle name="40% - Accent5 2 3" xfId="1563"/>
    <cellStyle name="40% - Accent5 2 4" xfId="1564"/>
    <cellStyle name="40% - Accent5 2 5" xfId="1565"/>
    <cellStyle name="40% - Accent5 2 6" xfId="1566"/>
    <cellStyle name="40% - Accent5 2 7" xfId="1567"/>
    <cellStyle name="40% - Accent5 2 8" xfId="1568"/>
    <cellStyle name="40% - Accent5 2_hyr" xfId="1569"/>
    <cellStyle name="40% - Accent5 3" xfId="1570"/>
    <cellStyle name="40% - Accent5 3 2" xfId="1571"/>
    <cellStyle name="40% - Accent5 3 3" xfId="1572"/>
    <cellStyle name="40% - Accent5 3 4" xfId="1573"/>
    <cellStyle name="40% - Accent5 3 5" xfId="1574"/>
    <cellStyle name="40% - Accent5 3_hyr" xfId="1575"/>
    <cellStyle name="40% - Accent5 4" xfId="1576"/>
    <cellStyle name="40% - Accent5 4 2" xfId="1577"/>
    <cellStyle name="40% - Accent5 4 3" xfId="1578"/>
    <cellStyle name="40% - Accent5 4 4" xfId="1579"/>
    <cellStyle name="40% - Accent5 4 5" xfId="1580"/>
    <cellStyle name="40% - Accent5 4_hyr" xfId="1581"/>
    <cellStyle name="40% - Accent5 5" xfId="1582"/>
    <cellStyle name="40% - Accent5 6" xfId="1583"/>
    <cellStyle name="40% - Accent5 7" xfId="1584"/>
    <cellStyle name="40% - Accent5 8" xfId="1585"/>
    <cellStyle name="40% - Accent5 9" xfId="1586"/>
    <cellStyle name="40% - Accent6 10" xfId="1587"/>
    <cellStyle name="40% - Accent6 11" xfId="1588"/>
    <cellStyle name="40% - Accent6 2" xfId="1589"/>
    <cellStyle name="40% - Accent6 2 2" xfId="1590"/>
    <cellStyle name="40% - Accent6 2 3" xfId="1591"/>
    <cellStyle name="40% - Accent6 2 4" xfId="1592"/>
    <cellStyle name="40% - Accent6 2 5" xfId="1593"/>
    <cellStyle name="40% - Accent6 2 6" xfId="1594"/>
    <cellStyle name="40% - Accent6 2 7" xfId="1595"/>
    <cellStyle name="40% - Accent6 2 8" xfId="1596"/>
    <cellStyle name="40% - Accent6 2_hyr" xfId="1597"/>
    <cellStyle name="40% - Accent6 3" xfId="1598"/>
    <cellStyle name="40% - Accent6 3 2" xfId="1599"/>
    <cellStyle name="40% - Accent6 3 3" xfId="1600"/>
    <cellStyle name="40% - Accent6 3 4" xfId="1601"/>
    <cellStyle name="40% - Accent6 3 5" xfId="1602"/>
    <cellStyle name="40% - Accent6 3_hyr" xfId="1603"/>
    <cellStyle name="40% - Accent6 4" xfId="1604"/>
    <cellStyle name="40% - Accent6 4 2" xfId="1605"/>
    <cellStyle name="40% - Accent6 4 3" xfId="1606"/>
    <cellStyle name="40% - Accent6 4 4" xfId="1607"/>
    <cellStyle name="40% - Accent6 4 5" xfId="1608"/>
    <cellStyle name="40% - Accent6 4_hyr" xfId="1609"/>
    <cellStyle name="40% - Accent6 5" xfId="1610"/>
    <cellStyle name="40% - Accent6 6" xfId="1611"/>
    <cellStyle name="40% - Accent6 7" xfId="1612"/>
    <cellStyle name="40% - Accent6 8" xfId="1613"/>
    <cellStyle name="40% - Accent6 9" xfId="1614"/>
    <cellStyle name="40% - एक्सेंट1" xfId="1615"/>
    <cellStyle name="40% - एक्सेंट2" xfId="1616"/>
    <cellStyle name="40% - एक्सेंट3" xfId="1617"/>
    <cellStyle name="40% - एक्सेंट4" xfId="1618"/>
    <cellStyle name="40% - एक्सेंट5" xfId="1619"/>
    <cellStyle name="40% - एक्सेंट6" xfId="1620"/>
    <cellStyle name="60% - Accent1 10" xfId="1621"/>
    <cellStyle name="60% - Accent1 11" xfId="1622"/>
    <cellStyle name="60% - Accent1 2" xfId="1623"/>
    <cellStyle name="60% - Accent1 2 2" xfId="1624"/>
    <cellStyle name="60% - Accent1 2 3" xfId="1625"/>
    <cellStyle name="60% - Accent1 2 4" xfId="1626"/>
    <cellStyle name="60% - Accent1 2 5" xfId="1627"/>
    <cellStyle name="60% - Accent1 2 6" xfId="1628"/>
    <cellStyle name="60% - Accent1 2 7" xfId="1629"/>
    <cellStyle name="60% - Accent1 2 8" xfId="1630"/>
    <cellStyle name="60% - Accent1 3" xfId="1631"/>
    <cellStyle name="60% - Accent1 3 2" xfId="1632"/>
    <cellStyle name="60% - Accent1 3 3" xfId="1633"/>
    <cellStyle name="60% - Accent1 3 4" xfId="1634"/>
    <cellStyle name="60% - Accent1 3 5" xfId="1635"/>
    <cellStyle name="60% - Accent1 4" xfId="1636"/>
    <cellStyle name="60% - Accent1 4 2" xfId="1637"/>
    <cellStyle name="60% - Accent1 4 3" xfId="1638"/>
    <cellStyle name="60% - Accent1 4 4" xfId="1639"/>
    <cellStyle name="60% - Accent1 4 5" xfId="1640"/>
    <cellStyle name="60% - Accent1 5" xfId="1641"/>
    <cellStyle name="60% - Accent1 6" xfId="1642"/>
    <cellStyle name="60% - Accent1 7" xfId="1643"/>
    <cellStyle name="60% - Accent1 8" xfId="1644"/>
    <cellStyle name="60% - Accent1 9" xfId="1645"/>
    <cellStyle name="60% - Accent2 10" xfId="1646"/>
    <cellStyle name="60% - Accent2 11" xfId="1647"/>
    <cellStyle name="60% - Accent2 2" xfId="1648"/>
    <cellStyle name="60% - Accent2 2 2" xfId="1649"/>
    <cellStyle name="60% - Accent2 2 3" xfId="1650"/>
    <cellStyle name="60% - Accent2 2 4" xfId="1651"/>
    <cellStyle name="60% - Accent2 2 5" xfId="1652"/>
    <cellStyle name="60% - Accent2 2 6" xfId="1653"/>
    <cellStyle name="60% - Accent2 2 7" xfId="1654"/>
    <cellStyle name="60% - Accent2 2 8" xfId="1655"/>
    <cellStyle name="60% - Accent2 3" xfId="1656"/>
    <cellStyle name="60% - Accent2 3 2" xfId="1657"/>
    <cellStyle name="60% - Accent2 3 3" xfId="1658"/>
    <cellStyle name="60% - Accent2 3 4" xfId="1659"/>
    <cellStyle name="60% - Accent2 3 5" xfId="1660"/>
    <cellStyle name="60% - Accent2 4" xfId="1661"/>
    <cellStyle name="60% - Accent2 4 2" xfId="1662"/>
    <cellStyle name="60% - Accent2 4 3" xfId="1663"/>
    <cellStyle name="60% - Accent2 4 4" xfId="1664"/>
    <cellStyle name="60% - Accent2 4 5" xfId="1665"/>
    <cellStyle name="60% - Accent2 5" xfId="1666"/>
    <cellStyle name="60% - Accent2 6" xfId="1667"/>
    <cellStyle name="60% - Accent2 7" xfId="1668"/>
    <cellStyle name="60% - Accent2 8" xfId="1669"/>
    <cellStyle name="60% - Accent2 9" xfId="1670"/>
    <cellStyle name="60% - Accent3 10" xfId="1671"/>
    <cellStyle name="60% - Accent3 11" xfId="1672"/>
    <cellStyle name="60% - Accent3 2" xfId="1673"/>
    <cellStyle name="60% - Accent3 2 2" xfId="1674"/>
    <cellStyle name="60% - Accent3 2 3" xfId="1675"/>
    <cellStyle name="60% - Accent3 2 4" xfId="1676"/>
    <cellStyle name="60% - Accent3 2 5" xfId="1677"/>
    <cellStyle name="60% - Accent3 2 6" xfId="1678"/>
    <cellStyle name="60% - Accent3 2 7" xfId="1679"/>
    <cellStyle name="60% - Accent3 2 8" xfId="1680"/>
    <cellStyle name="60% - Accent3 3" xfId="1681"/>
    <cellStyle name="60% - Accent3 3 2" xfId="1682"/>
    <cellStyle name="60% - Accent3 3 3" xfId="1683"/>
    <cellStyle name="60% - Accent3 3 4" xfId="1684"/>
    <cellStyle name="60% - Accent3 3 5" xfId="1685"/>
    <cellStyle name="60% - Accent3 4" xfId="1686"/>
    <cellStyle name="60% - Accent3 4 2" xfId="1687"/>
    <cellStyle name="60% - Accent3 4 3" xfId="1688"/>
    <cellStyle name="60% - Accent3 4 4" xfId="1689"/>
    <cellStyle name="60% - Accent3 4 5" xfId="1690"/>
    <cellStyle name="60% - Accent3 5" xfId="1691"/>
    <cellStyle name="60% - Accent3 6" xfId="1692"/>
    <cellStyle name="60% - Accent3 7" xfId="1693"/>
    <cellStyle name="60% - Accent3 8" xfId="1694"/>
    <cellStyle name="60% - Accent3 9" xfId="1695"/>
    <cellStyle name="60% - Accent4 10" xfId="1696"/>
    <cellStyle name="60% - Accent4 11" xfId="1697"/>
    <cellStyle name="60% - Accent4 2" xfId="1698"/>
    <cellStyle name="60% - Accent4 2 2" xfId="1699"/>
    <cellStyle name="60% - Accent4 2 3" xfId="1700"/>
    <cellStyle name="60% - Accent4 2 4" xfId="1701"/>
    <cellStyle name="60% - Accent4 2 5" xfId="1702"/>
    <cellStyle name="60% - Accent4 2 6" xfId="1703"/>
    <cellStyle name="60% - Accent4 2 7" xfId="1704"/>
    <cellStyle name="60% - Accent4 2 8" xfId="1705"/>
    <cellStyle name="60% - Accent4 3" xfId="1706"/>
    <cellStyle name="60% - Accent4 3 2" xfId="1707"/>
    <cellStyle name="60% - Accent4 3 3" xfId="1708"/>
    <cellStyle name="60% - Accent4 3 4" xfId="1709"/>
    <cellStyle name="60% - Accent4 3 5" xfId="1710"/>
    <cellStyle name="60% - Accent4 4" xfId="1711"/>
    <cellStyle name="60% - Accent4 4 2" xfId="1712"/>
    <cellStyle name="60% - Accent4 4 3" xfId="1713"/>
    <cellStyle name="60% - Accent4 4 4" xfId="1714"/>
    <cellStyle name="60% - Accent4 4 5" xfId="1715"/>
    <cellStyle name="60% - Accent4 5" xfId="1716"/>
    <cellStyle name="60% - Accent4 6" xfId="1717"/>
    <cellStyle name="60% - Accent4 7" xfId="1718"/>
    <cellStyle name="60% - Accent4 8" xfId="1719"/>
    <cellStyle name="60% - Accent4 9" xfId="1720"/>
    <cellStyle name="60% - Accent5 10" xfId="1721"/>
    <cellStyle name="60% - Accent5 11" xfId="1722"/>
    <cellStyle name="60% - Accent5 2" xfId="1723"/>
    <cellStyle name="60% - Accent5 2 2" xfId="1724"/>
    <cellStyle name="60% - Accent5 2 3" xfId="1725"/>
    <cellStyle name="60% - Accent5 2 4" xfId="1726"/>
    <cellStyle name="60% - Accent5 2 5" xfId="1727"/>
    <cellStyle name="60% - Accent5 2 6" xfId="1728"/>
    <cellStyle name="60% - Accent5 2 7" xfId="1729"/>
    <cellStyle name="60% - Accent5 2 8" xfId="1730"/>
    <cellStyle name="60% - Accent5 3" xfId="1731"/>
    <cellStyle name="60% - Accent5 3 2" xfId="1732"/>
    <cellStyle name="60% - Accent5 3 3" xfId="1733"/>
    <cellStyle name="60% - Accent5 3 4" xfId="1734"/>
    <cellStyle name="60% - Accent5 3 5" xfId="1735"/>
    <cellStyle name="60% - Accent5 4" xfId="1736"/>
    <cellStyle name="60% - Accent5 4 2" xfId="1737"/>
    <cellStyle name="60% - Accent5 4 3" xfId="1738"/>
    <cellStyle name="60% - Accent5 4 4" xfId="1739"/>
    <cellStyle name="60% - Accent5 4 5" xfId="1740"/>
    <cellStyle name="60% - Accent5 5" xfId="1741"/>
    <cellStyle name="60% - Accent5 6" xfId="1742"/>
    <cellStyle name="60% - Accent5 7" xfId="1743"/>
    <cellStyle name="60% - Accent5 8" xfId="1744"/>
    <cellStyle name="60% - Accent5 9" xfId="1745"/>
    <cellStyle name="60% - Accent6 10" xfId="1746"/>
    <cellStyle name="60% - Accent6 11" xfId="1747"/>
    <cellStyle name="60% - Accent6 2" xfId="1748"/>
    <cellStyle name="60% - Accent6 2 2" xfId="1749"/>
    <cellStyle name="60% - Accent6 2 3" xfId="1750"/>
    <cellStyle name="60% - Accent6 2 4" xfId="1751"/>
    <cellStyle name="60% - Accent6 2 5" xfId="1752"/>
    <cellStyle name="60% - Accent6 2 6" xfId="1753"/>
    <cellStyle name="60% - Accent6 2 7" xfId="1754"/>
    <cellStyle name="60% - Accent6 2 8" xfId="1755"/>
    <cellStyle name="60% - Accent6 3" xfId="1756"/>
    <cellStyle name="60% - Accent6 3 2" xfId="1757"/>
    <cellStyle name="60% - Accent6 3 3" xfId="1758"/>
    <cellStyle name="60% - Accent6 3 4" xfId="1759"/>
    <cellStyle name="60% - Accent6 3 5" xfId="1760"/>
    <cellStyle name="60% - Accent6 4" xfId="1761"/>
    <cellStyle name="60% - Accent6 4 2" xfId="1762"/>
    <cellStyle name="60% - Accent6 4 3" xfId="1763"/>
    <cellStyle name="60% - Accent6 4 4" xfId="1764"/>
    <cellStyle name="60% - Accent6 4 5" xfId="1765"/>
    <cellStyle name="60% - Accent6 5" xfId="1766"/>
    <cellStyle name="60% - Accent6 6" xfId="1767"/>
    <cellStyle name="60% - Accent6 7" xfId="1768"/>
    <cellStyle name="60% - Accent6 8" xfId="1769"/>
    <cellStyle name="60% - Accent6 9" xfId="1770"/>
    <cellStyle name="60% - एक्सेंट1" xfId="1771"/>
    <cellStyle name="60% - एक्सेंट2" xfId="1772"/>
    <cellStyle name="60% - एक्सेंट3" xfId="1773"/>
    <cellStyle name="60% - एक्सेंट4" xfId="1774"/>
    <cellStyle name="60% - एक्सेंट5" xfId="1775"/>
    <cellStyle name="60% - एक्सेंट6" xfId="1776"/>
    <cellStyle name="75" xfId="1777"/>
    <cellStyle name="75 2" xfId="1778"/>
    <cellStyle name="Accent1 10" xfId="1779"/>
    <cellStyle name="Accent1 11" xfId="1780"/>
    <cellStyle name="Accent1 2" xfId="1781"/>
    <cellStyle name="Accent1 2 2" xfId="1782"/>
    <cellStyle name="Accent1 2 3" xfId="1783"/>
    <cellStyle name="Accent1 2 4" xfId="1784"/>
    <cellStyle name="Accent1 2 5" xfId="1785"/>
    <cellStyle name="Accent1 2 6" xfId="1786"/>
    <cellStyle name="Accent1 2 7" xfId="1787"/>
    <cellStyle name="Accent1 2 8" xfId="1788"/>
    <cellStyle name="Accent1 3" xfId="1789"/>
    <cellStyle name="Accent1 3 2" xfId="1790"/>
    <cellStyle name="Accent1 3 3" xfId="1791"/>
    <cellStyle name="Accent1 3 4" xfId="1792"/>
    <cellStyle name="Accent1 3 5" xfId="1793"/>
    <cellStyle name="Accent1 4" xfId="1794"/>
    <cellStyle name="Accent1 4 2" xfId="1795"/>
    <cellStyle name="Accent1 4 3" xfId="1796"/>
    <cellStyle name="Accent1 4 4" xfId="1797"/>
    <cellStyle name="Accent1 4 5" xfId="1798"/>
    <cellStyle name="Accent1 5" xfId="1799"/>
    <cellStyle name="Accent1 6" xfId="1800"/>
    <cellStyle name="Accent1 7" xfId="1801"/>
    <cellStyle name="Accent1 8" xfId="1802"/>
    <cellStyle name="Accent1 9" xfId="1803"/>
    <cellStyle name="Accent2 10" xfId="1804"/>
    <cellStyle name="Accent2 11" xfId="1805"/>
    <cellStyle name="Accent2 2" xfId="1806"/>
    <cellStyle name="Accent2 2 2" xfId="1807"/>
    <cellStyle name="Accent2 2 3" xfId="1808"/>
    <cellStyle name="Accent2 2 4" xfId="1809"/>
    <cellStyle name="Accent2 2 5" xfId="1810"/>
    <cellStyle name="Accent2 2 6" xfId="1811"/>
    <cellStyle name="Accent2 2 7" xfId="1812"/>
    <cellStyle name="Accent2 2 8" xfId="1813"/>
    <cellStyle name="Accent2 3" xfId="1814"/>
    <cellStyle name="Accent2 3 2" xfId="1815"/>
    <cellStyle name="Accent2 3 3" xfId="1816"/>
    <cellStyle name="Accent2 3 4" xfId="1817"/>
    <cellStyle name="Accent2 3 5" xfId="1818"/>
    <cellStyle name="Accent2 4" xfId="1819"/>
    <cellStyle name="Accent2 4 2" xfId="1820"/>
    <cellStyle name="Accent2 4 3" xfId="1821"/>
    <cellStyle name="Accent2 4 4" xfId="1822"/>
    <cellStyle name="Accent2 4 5" xfId="1823"/>
    <cellStyle name="Accent2 5" xfId="1824"/>
    <cellStyle name="Accent2 6" xfId="1825"/>
    <cellStyle name="Accent2 7" xfId="1826"/>
    <cellStyle name="Accent2 8" xfId="1827"/>
    <cellStyle name="Accent2 9" xfId="1828"/>
    <cellStyle name="Accent3 10" xfId="1829"/>
    <cellStyle name="Accent3 11" xfId="1830"/>
    <cellStyle name="Accent3 2" xfId="1831"/>
    <cellStyle name="Accent3 2 2" xfId="1832"/>
    <cellStyle name="Accent3 2 3" xfId="1833"/>
    <cellStyle name="Accent3 2 4" xfId="1834"/>
    <cellStyle name="Accent3 2 5" xfId="1835"/>
    <cellStyle name="Accent3 2 6" xfId="1836"/>
    <cellStyle name="Accent3 2 7" xfId="1837"/>
    <cellStyle name="Accent3 2 8" xfId="1838"/>
    <cellStyle name="Accent3 3" xfId="1839"/>
    <cellStyle name="Accent3 3 2" xfId="1840"/>
    <cellStyle name="Accent3 3 3" xfId="1841"/>
    <cellStyle name="Accent3 3 4" xfId="1842"/>
    <cellStyle name="Accent3 3 5" xfId="1843"/>
    <cellStyle name="Accent3 4" xfId="1844"/>
    <cellStyle name="Accent3 4 2" xfId="1845"/>
    <cellStyle name="Accent3 4 3" xfId="1846"/>
    <cellStyle name="Accent3 4 4" xfId="1847"/>
    <cellStyle name="Accent3 4 5" xfId="1848"/>
    <cellStyle name="Accent3 5" xfId="1849"/>
    <cellStyle name="Accent3 6" xfId="1850"/>
    <cellStyle name="Accent3 7" xfId="1851"/>
    <cellStyle name="Accent3 8" xfId="1852"/>
    <cellStyle name="Accent3 9" xfId="1853"/>
    <cellStyle name="Accent4 10" xfId="1854"/>
    <cellStyle name="Accent4 11" xfId="1855"/>
    <cellStyle name="Accent4 2" xfId="1856"/>
    <cellStyle name="Accent4 2 2" xfId="1857"/>
    <cellStyle name="Accent4 2 3" xfId="1858"/>
    <cellStyle name="Accent4 2 4" xfId="1859"/>
    <cellStyle name="Accent4 2 5" xfId="1860"/>
    <cellStyle name="Accent4 2 6" xfId="1861"/>
    <cellStyle name="Accent4 2 7" xfId="1862"/>
    <cellStyle name="Accent4 2 8" xfId="1863"/>
    <cellStyle name="Accent4 3" xfId="1864"/>
    <cellStyle name="Accent4 3 2" xfId="1865"/>
    <cellStyle name="Accent4 3 3" xfId="1866"/>
    <cellStyle name="Accent4 3 4" xfId="1867"/>
    <cellStyle name="Accent4 3 5" xfId="1868"/>
    <cellStyle name="Accent4 4" xfId="1869"/>
    <cellStyle name="Accent4 4 2" xfId="1870"/>
    <cellStyle name="Accent4 4 3" xfId="1871"/>
    <cellStyle name="Accent4 4 4" xfId="1872"/>
    <cellStyle name="Accent4 4 5" xfId="1873"/>
    <cellStyle name="Accent4 5" xfId="1874"/>
    <cellStyle name="Accent4 6" xfId="1875"/>
    <cellStyle name="Accent4 7" xfId="1876"/>
    <cellStyle name="Accent4 8" xfId="1877"/>
    <cellStyle name="Accent4 9" xfId="1878"/>
    <cellStyle name="Accent5 10" xfId="1879"/>
    <cellStyle name="Accent5 11" xfId="1880"/>
    <cellStyle name="Accent5 2" xfId="1881"/>
    <cellStyle name="Accent5 2 2" xfId="1882"/>
    <cellStyle name="Accent5 2 3" xfId="1883"/>
    <cellStyle name="Accent5 2 4" xfId="1884"/>
    <cellStyle name="Accent5 2 5" xfId="1885"/>
    <cellStyle name="Accent5 2 6" xfId="1886"/>
    <cellStyle name="Accent5 2 7" xfId="1887"/>
    <cellStyle name="Accent5 2 8" xfId="1888"/>
    <cellStyle name="Accent5 3" xfId="1889"/>
    <cellStyle name="Accent5 3 2" xfId="1890"/>
    <cellStyle name="Accent5 3 3" xfId="1891"/>
    <cellStyle name="Accent5 3 4" xfId="1892"/>
    <cellStyle name="Accent5 3 5" xfId="1893"/>
    <cellStyle name="Accent5 4" xfId="1894"/>
    <cellStyle name="Accent5 4 2" xfId="1895"/>
    <cellStyle name="Accent5 4 3" xfId="1896"/>
    <cellStyle name="Accent5 4 4" xfId="1897"/>
    <cellStyle name="Accent5 4 5" xfId="1898"/>
    <cellStyle name="Accent5 5" xfId="1899"/>
    <cellStyle name="Accent5 6" xfId="1900"/>
    <cellStyle name="Accent5 7" xfId="1901"/>
    <cellStyle name="Accent5 8" xfId="1902"/>
    <cellStyle name="Accent5 9" xfId="1903"/>
    <cellStyle name="Accent6 10" xfId="1904"/>
    <cellStyle name="Accent6 11" xfId="1905"/>
    <cellStyle name="Accent6 2" xfId="1906"/>
    <cellStyle name="Accent6 2 2" xfId="1907"/>
    <cellStyle name="Accent6 2 3" xfId="1908"/>
    <cellStyle name="Accent6 2 4" xfId="1909"/>
    <cellStyle name="Accent6 2 5" xfId="1910"/>
    <cellStyle name="Accent6 2 6" xfId="1911"/>
    <cellStyle name="Accent6 2 7" xfId="1912"/>
    <cellStyle name="Accent6 2 8" xfId="1913"/>
    <cellStyle name="Accent6 3" xfId="1914"/>
    <cellStyle name="Accent6 3 2" xfId="1915"/>
    <cellStyle name="Accent6 3 3" xfId="1916"/>
    <cellStyle name="Accent6 3 4" xfId="1917"/>
    <cellStyle name="Accent6 3 5" xfId="1918"/>
    <cellStyle name="Accent6 4" xfId="1919"/>
    <cellStyle name="Accent6 4 2" xfId="1920"/>
    <cellStyle name="Accent6 4 3" xfId="1921"/>
    <cellStyle name="Accent6 4 4" xfId="1922"/>
    <cellStyle name="Accent6 4 5" xfId="1923"/>
    <cellStyle name="Accent6 5" xfId="1924"/>
    <cellStyle name="Accent6 6" xfId="1925"/>
    <cellStyle name="Accent6 7" xfId="1926"/>
    <cellStyle name="Accent6 8" xfId="1927"/>
    <cellStyle name="Accent6 9" xfId="1928"/>
    <cellStyle name="ÅëÈ­ [0]_±âÅ¸" xfId="1929"/>
    <cellStyle name="ÅëÈ­_±âÅ¸" xfId="1930"/>
    <cellStyle name="args.style" xfId="1931"/>
    <cellStyle name="Arial1 - Style1" xfId="1932"/>
    <cellStyle name="Arial1 - Style2" xfId="1933"/>
    <cellStyle name="Arial10" xfId="1934"/>
    <cellStyle name="Assumption" xfId="1935"/>
    <cellStyle name="ÄÞ¸¶ [0]_±âÅ¸" xfId="1936"/>
    <cellStyle name="ÄÞ¸¶_±âÅ¸" xfId="1937"/>
    <cellStyle name="b1x" xfId="1938"/>
    <cellStyle name="Bad 10" xfId="1939"/>
    <cellStyle name="Bad 11" xfId="1940"/>
    <cellStyle name="Bad 2" xfId="1941"/>
    <cellStyle name="Bad 2 2" xfId="1942"/>
    <cellStyle name="Bad 2 3" xfId="1943"/>
    <cellStyle name="Bad 2 4" xfId="1944"/>
    <cellStyle name="Bad 2 5" xfId="1945"/>
    <cellStyle name="Bad 2 6" xfId="1946"/>
    <cellStyle name="Bad 2 7" xfId="1947"/>
    <cellStyle name="Bad 2 8" xfId="1948"/>
    <cellStyle name="Bad 3" xfId="1949"/>
    <cellStyle name="Bad 3 2" xfId="1950"/>
    <cellStyle name="Bad 3 3" xfId="1951"/>
    <cellStyle name="Bad 3 4" xfId="1952"/>
    <cellStyle name="Bad 3 5" xfId="1953"/>
    <cellStyle name="Bad 4" xfId="1954"/>
    <cellStyle name="Bad 4 2" xfId="1955"/>
    <cellStyle name="Bad 4 3" xfId="1956"/>
    <cellStyle name="Bad 4 4" xfId="1957"/>
    <cellStyle name="Bad 4 5" xfId="1958"/>
    <cellStyle name="Bad 5" xfId="1959"/>
    <cellStyle name="Bad 6" xfId="1960"/>
    <cellStyle name="Bad 7" xfId="1961"/>
    <cellStyle name="Bad 8" xfId="1962"/>
    <cellStyle name="Bad 9" xfId="1963"/>
    <cellStyle name="Body" xfId="1964"/>
    <cellStyle name="Ç¥ÁØ_¿¬°£´©°è¿¹»ó" xfId="1965"/>
    <cellStyle name="Calc Currency (0)" xfId="1966"/>
    <cellStyle name="Calc Currency (0) 2" xfId="1967"/>
    <cellStyle name="Calc Currency (0) 2 2" xfId="1968"/>
    <cellStyle name="Calc Currency (0) 2 3" xfId="1969"/>
    <cellStyle name="Calc Currency (0) 3" xfId="1970"/>
    <cellStyle name="Calc Currency (0) 3 2" xfId="1971"/>
    <cellStyle name="Calc Currency (0) 3 3" xfId="1972"/>
    <cellStyle name="Calc Currency (0) 4" xfId="1973"/>
    <cellStyle name="Calc Currency (0) 4 2" xfId="1974"/>
    <cellStyle name="Calc Currency (0) 4 3" xfId="1975"/>
    <cellStyle name="Calc Currency (0) 5" xfId="1976"/>
    <cellStyle name="Calc Currency (0) 6" xfId="1977"/>
    <cellStyle name="Calculation 10" xfId="1978"/>
    <cellStyle name="Calculation 11" xfId="1979"/>
    <cellStyle name="Calculation 2" xfId="1980"/>
    <cellStyle name="Calculation 2 2" xfId="1981"/>
    <cellStyle name="Calculation 2 3" xfId="1982"/>
    <cellStyle name="Calculation 2 4" xfId="1983"/>
    <cellStyle name="Calculation 2 5" xfId="1984"/>
    <cellStyle name="Calculation 2 6" xfId="1985"/>
    <cellStyle name="Calculation 2 7" xfId="1986"/>
    <cellStyle name="Calculation 2 8" xfId="1987"/>
    <cellStyle name="Calculation 2_lt" xfId="1988"/>
    <cellStyle name="Calculation 3" xfId="1989"/>
    <cellStyle name="Calculation 3 2" xfId="1990"/>
    <cellStyle name="Calculation 3 3" xfId="1991"/>
    <cellStyle name="Calculation 3 4" xfId="1992"/>
    <cellStyle name="Calculation 3 5" xfId="1993"/>
    <cellStyle name="Calculation 3_lt" xfId="1994"/>
    <cellStyle name="Calculation 4" xfId="1995"/>
    <cellStyle name="Calculation 4 2" xfId="1996"/>
    <cellStyle name="Calculation 4 3" xfId="1997"/>
    <cellStyle name="Calculation 4 4" xfId="1998"/>
    <cellStyle name="Calculation 4 5" xfId="1999"/>
    <cellStyle name="Calculation 4_lt" xfId="2000"/>
    <cellStyle name="Calculation 5" xfId="2001"/>
    <cellStyle name="Calculation 6" xfId="2002"/>
    <cellStyle name="Calculation 7" xfId="2003"/>
    <cellStyle name="Calculation 8" xfId="2004"/>
    <cellStyle name="Calculation 9" xfId="2005"/>
    <cellStyle name="Case_Selector" xfId="2006"/>
    <cellStyle name="Check" xfId="2007"/>
    <cellStyle name="Check Cell 10" xfId="2008"/>
    <cellStyle name="Check Cell 11" xfId="2009"/>
    <cellStyle name="Check Cell 2" xfId="2010"/>
    <cellStyle name="Check Cell 2 2" xfId="2011"/>
    <cellStyle name="Check Cell 2 3" xfId="2012"/>
    <cellStyle name="Check Cell 2 4" xfId="2013"/>
    <cellStyle name="Check Cell 2 5" xfId="2014"/>
    <cellStyle name="Check Cell 2 6" xfId="2015"/>
    <cellStyle name="Check Cell 2 7" xfId="2016"/>
    <cellStyle name="Check Cell 2 8" xfId="2017"/>
    <cellStyle name="Check Cell 2_lt" xfId="2018"/>
    <cellStyle name="Check Cell 3" xfId="2019"/>
    <cellStyle name="Check Cell 3 2" xfId="2020"/>
    <cellStyle name="Check Cell 3 3" xfId="2021"/>
    <cellStyle name="Check Cell 3 4" xfId="2022"/>
    <cellStyle name="Check Cell 3 5" xfId="2023"/>
    <cellStyle name="Check Cell 3_lt" xfId="2024"/>
    <cellStyle name="Check Cell 4" xfId="2025"/>
    <cellStyle name="Check Cell 4 2" xfId="2026"/>
    <cellStyle name="Check Cell 4 3" xfId="2027"/>
    <cellStyle name="Check Cell 4 4" xfId="2028"/>
    <cellStyle name="Check Cell 4 5" xfId="2029"/>
    <cellStyle name="Check Cell 4_lt" xfId="2030"/>
    <cellStyle name="Check Cell 5" xfId="2031"/>
    <cellStyle name="Check Cell 6" xfId="2032"/>
    <cellStyle name="Check Cell 7" xfId="2033"/>
    <cellStyle name="Check Cell 8" xfId="2034"/>
    <cellStyle name="Check Cell 9" xfId="2035"/>
    <cellStyle name="column heading" xfId="2036"/>
    <cellStyle name="Comma" xfId="2037" builtinId="3"/>
    <cellStyle name="Comma  - Style1" xfId="2038"/>
    <cellStyle name="Comma  - Style2" xfId="2039"/>
    <cellStyle name="Comma  - Style3" xfId="2040"/>
    <cellStyle name="Comma  - Style4" xfId="2041"/>
    <cellStyle name="Comma  - Style5" xfId="2042"/>
    <cellStyle name="Comma  - Style6" xfId="2043"/>
    <cellStyle name="Comma  - Style7" xfId="2044"/>
    <cellStyle name="Comma  - Style8" xfId="2045"/>
    <cellStyle name="Comma 10" xfId="2046"/>
    <cellStyle name="Comma 10 10" xfId="2047"/>
    <cellStyle name="Comma 10 10 2" xfId="2048"/>
    <cellStyle name="Comma 10 11" xfId="2049"/>
    <cellStyle name="Comma 10 12" xfId="2050"/>
    <cellStyle name="Comma 10 12 2" xfId="2051"/>
    <cellStyle name="Comma 10 13" xfId="2052"/>
    <cellStyle name="Comma 10 14" xfId="2053"/>
    <cellStyle name="Comma 10 14 2" xfId="2054"/>
    <cellStyle name="Comma 10 15" xfId="2055"/>
    <cellStyle name="Comma 10 15 2" xfId="2056"/>
    <cellStyle name="Comma 10 16" xfId="2057"/>
    <cellStyle name="Comma 10 17" xfId="2058"/>
    <cellStyle name="Comma 10 2" xfId="2059"/>
    <cellStyle name="Comma 10 3" xfId="2060"/>
    <cellStyle name="Comma 10 3 2" xfId="2061"/>
    <cellStyle name="Comma 10 4" xfId="2062"/>
    <cellStyle name="Comma 10 5" xfId="2063"/>
    <cellStyle name="Comma 10 5 2" xfId="2064"/>
    <cellStyle name="Comma 10 6" xfId="2065"/>
    <cellStyle name="Comma 10 7" xfId="2066"/>
    <cellStyle name="Comma 10 7 2" xfId="2067"/>
    <cellStyle name="Comma 10 8" xfId="2068"/>
    <cellStyle name="Comma 10 8 2" xfId="2069"/>
    <cellStyle name="Comma 10 9" xfId="2070"/>
    <cellStyle name="Comma 11" xfId="2071"/>
    <cellStyle name="Comma 11 2" xfId="2072"/>
    <cellStyle name="Comma 12" xfId="2073"/>
    <cellStyle name="Comma 12 2" xfId="2074"/>
    <cellStyle name="Comma 13" xfId="2075"/>
    <cellStyle name="Comma 13 2" xfId="2076"/>
    <cellStyle name="Comma 14" xfId="2077"/>
    <cellStyle name="Comma 14 2" xfId="2078"/>
    <cellStyle name="Comma 15" xfId="2079"/>
    <cellStyle name="Comma 15 2" xfId="2080"/>
    <cellStyle name="Comma 16" xfId="2081"/>
    <cellStyle name="Comma 16 2" xfId="2082"/>
    <cellStyle name="Comma 17" xfId="2083"/>
    <cellStyle name="Comma 17 2" xfId="2084"/>
    <cellStyle name="Comma 18" xfId="2085"/>
    <cellStyle name="Comma 18 2" xfId="2086"/>
    <cellStyle name="Comma 19" xfId="2087"/>
    <cellStyle name="Comma 2" xfId="2088"/>
    <cellStyle name="Comma 2 10" xfId="2089"/>
    <cellStyle name="Comma 2 11" xfId="2090"/>
    <cellStyle name="Comma 2 11 2" xfId="2091"/>
    <cellStyle name="Comma 2 12" xfId="2092"/>
    <cellStyle name="Comma 2 13" xfId="2093"/>
    <cellStyle name="Comma 2 2" xfId="2094"/>
    <cellStyle name="Comma 2 2 2" xfId="2095"/>
    <cellStyle name="Comma 2 2 3" xfId="2096"/>
    <cellStyle name="Comma 2 2 4" xfId="2097"/>
    <cellStyle name="Comma 2 2 5" xfId="2098"/>
    <cellStyle name="Comma 2 2 6" xfId="2099"/>
    <cellStyle name="Comma 2 3" xfId="2100"/>
    <cellStyle name="Comma 2 3 2" xfId="2101"/>
    <cellStyle name="Comma 2 3 3" xfId="2102"/>
    <cellStyle name="Comma 2 4" xfId="2103"/>
    <cellStyle name="Comma 2 4 2" xfId="2104"/>
    <cellStyle name="Comma 2 4 3" xfId="2105"/>
    <cellStyle name="Comma 2 5" xfId="2106"/>
    <cellStyle name="Comma 2 6" xfId="2107"/>
    <cellStyle name="Comma 2 7" xfId="2108"/>
    <cellStyle name="Comma 2 8" xfId="2109"/>
    <cellStyle name="Comma 2 9" xfId="2110"/>
    <cellStyle name="Comma 20" xfId="2111"/>
    <cellStyle name="Comma 21" xfId="2112"/>
    <cellStyle name="Comma 22" xfId="2113"/>
    <cellStyle name="Comma 23" xfId="2114"/>
    <cellStyle name="Comma 24" xfId="2115"/>
    <cellStyle name="Comma 25" xfId="2116"/>
    <cellStyle name="Comma 26" xfId="2117"/>
    <cellStyle name="Comma 27" xfId="2118"/>
    <cellStyle name="Comma 28" xfId="2119"/>
    <cellStyle name="Comma 29" xfId="2120"/>
    <cellStyle name="Comma 3" xfId="2121"/>
    <cellStyle name="Comma 3 2" xfId="2122"/>
    <cellStyle name="Comma 3 2 2" xfId="2123"/>
    <cellStyle name="Comma 3 3" xfId="2124"/>
    <cellStyle name="Comma 30" xfId="2125"/>
    <cellStyle name="Comma 31" xfId="2126"/>
    <cellStyle name="Comma 32" xfId="2127"/>
    <cellStyle name="Comma 33" xfId="2128"/>
    <cellStyle name="Comma 34" xfId="2129"/>
    <cellStyle name="Comma 35" xfId="2130"/>
    <cellStyle name="Comma 36" xfId="2131"/>
    <cellStyle name="Comma 37" xfId="2132"/>
    <cellStyle name="Comma 38" xfId="2133"/>
    <cellStyle name="Comma 39" xfId="2134"/>
    <cellStyle name="Comma 4" xfId="2135"/>
    <cellStyle name="Comma 4 10" xfId="2136"/>
    <cellStyle name="Comma 4 11" xfId="2137"/>
    <cellStyle name="Comma 4 12" xfId="2138"/>
    <cellStyle name="Comma 4 13" xfId="2139"/>
    <cellStyle name="Comma 4 2" xfId="2140"/>
    <cellStyle name="Comma 4 2 2" xfId="2141"/>
    <cellStyle name="Comma 4 2 3" xfId="2142"/>
    <cellStyle name="Comma 4 2 4" xfId="2143"/>
    <cellStyle name="Comma 4 2 5" xfId="2144"/>
    <cellStyle name="Comma 4 3" xfId="2145"/>
    <cellStyle name="Comma 4 4" xfId="2146"/>
    <cellStyle name="Comma 4 5" xfId="2147"/>
    <cellStyle name="Comma 4 6" xfId="2148"/>
    <cellStyle name="Comma 4 7" xfId="2149"/>
    <cellStyle name="Comma 4 8" xfId="2150"/>
    <cellStyle name="Comma 4 9" xfId="2151"/>
    <cellStyle name="Comma 40" xfId="2152"/>
    <cellStyle name="Comma 41" xfId="2153"/>
    <cellStyle name="Comma 42" xfId="2154"/>
    <cellStyle name="Comma 43" xfId="2155"/>
    <cellStyle name="Comma 44" xfId="2156"/>
    <cellStyle name="Comma 45" xfId="2157"/>
    <cellStyle name="Comma 46" xfId="2158"/>
    <cellStyle name="Comma 47" xfId="2159"/>
    <cellStyle name="Comma 48" xfId="2160"/>
    <cellStyle name="Comma 49" xfId="2161"/>
    <cellStyle name="Comma 5" xfId="2162"/>
    <cellStyle name="Comma 5 10" xfId="2163"/>
    <cellStyle name="Comma 5 11" xfId="2164"/>
    <cellStyle name="Comma 5 12" xfId="2165"/>
    <cellStyle name="Comma 5 13" xfId="2166"/>
    <cellStyle name="Comma 5 14" xfId="2167"/>
    <cellStyle name="Comma 5 15" xfId="2168"/>
    <cellStyle name="Comma 5 16" xfId="2169"/>
    <cellStyle name="Comma 5 17" xfId="2170"/>
    <cellStyle name="Comma 5 18" xfId="2171"/>
    <cellStyle name="Comma 5 19" xfId="2172"/>
    <cellStyle name="Comma 5 2" xfId="2173"/>
    <cellStyle name="Comma 5 2 2" xfId="2174"/>
    <cellStyle name="Comma 5 2 3" xfId="2175"/>
    <cellStyle name="Comma 5 2 4" xfId="2176"/>
    <cellStyle name="Comma 5 2 5" xfId="2177"/>
    <cellStyle name="Comma 5 2 6" xfId="2178"/>
    <cellStyle name="Comma 5 2 7" xfId="2179"/>
    <cellStyle name="Comma 5 2 8" xfId="2180"/>
    <cellStyle name="Comma 5 20" xfId="2181"/>
    <cellStyle name="Comma 5 21" xfId="2182"/>
    <cellStyle name="Comma 5 22" xfId="2183"/>
    <cellStyle name="Comma 5 3" xfId="2184"/>
    <cellStyle name="Comma 5 4" xfId="2185"/>
    <cellStyle name="Comma 5 5" xfId="2186"/>
    <cellStyle name="Comma 5 6" xfId="2187"/>
    <cellStyle name="Comma 5 7" xfId="2188"/>
    <cellStyle name="Comma 5 8" xfId="2189"/>
    <cellStyle name="Comma 5 9" xfId="2190"/>
    <cellStyle name="Comma 50" xfId="2191"/>
    <cellStyle name="Comma 51" xfId="2192"/>
    <cellStyle name="Comma 52" xfId="2193"/>
    <cellStyle name="Comma 6" xfId="2194"/>
    <cellStyle name="Comma 6 10" xfId="2195"/>
    <cellStyle name="Comma 6 11" xfId="2196"/>
    <cellStyle name="Comma 6 12" xfId="2197"/>
    <cellStyle name="Comma 6 13" xfId="2198"/>
    <cellStyle name="Comma 6 14" xfId="2199"/>
    <cellStyle name="Comma 6 15" xfId="2200"/>
    <cellStyle name="Comma 6 16" xfId="2201"/>
    <cellStyle name="Comma 6 17" xfId="2202"/>
    <cellStyle name="Comma 6 18" xfId="2203"/>
    <cellStyle name="Comma 6 19" xfId="2204"/>
    <cellStyle name="Comma 6 2" xfId="2205"/>
    <cellStyle name="Comma 6 2 2" xfId="2206"/>
    <cellStyle name="Comma 6 2 3" xfId="2207"/>
    <cellStyle name="Comma 6 2 4" xfId="2208"/>
    <cellStyle name="Comma 6 2 5" xfId="2209"/>
    <cellStyle name="Comma 6 2 6" xfId="2210"/>
    <cellStyle name="Comma 6 2 7" xfId="2211"/>
    <cellStyle name="Comma 6 2 8" xfId="2212"/>
    <cellStyle name="Comma 6 20" xfId="2213"/>
    <cellStyle name="Comma 6 21" xfId="2214"/>
    <cellStyle name="Comma 6 22" xfId="2215"/>
    <cellStyle name="Comma 6 3" xfId="2216"/>
    <cellStyle name="Comma 6 4" xfId="2217"/>
    <cellStyle name="Comma 6 5" xfId="2218"/>
    <cellStyle name="Comma 6 6" xfId="2219"/>
    <cellStyle name="Comma 6 7" xfId="2220"/>
    <cellStyle name="Comma 6 8" xfId="2221"/>
    <cellStyle name="Comma 6 9" xfId="2222"/>
    <cellStyle name="Comma 7" xfId="2223"/>
    <cellStyle name="Comma 7 2" xfId="2224"/>
    <cellStyle name="Comma 8" xfId="2225"/>
    <cellStyle name="Comma 8 2" xfId="2226"/>
    <cellStyle name="Comma 9" xfId="2227"/>
    <cellStyle name="Comma 9 2" xfId="2228"/>
    <cellStyle name="Copied" xfId="2229"/>
    <cellStyle name="COST1" xfId="2230"/>
    <cellStyle name="COURIER" xfId="2231"/>
    <cellStyle name="Curren - Style2" xfId="2232"/>
    <cellStyle name="Currency 2" xfId="2233"/>
    <cellStyle name="Currency 2 2" xfId="2234"/>
    <cellStyle name="Currency 2 3" xfId="2235"/>
    <cellStyle name="Currency 2 4" xfId="2236"/>
    <cellStyle name="Currency 2 5" xfId="2237"/>
    <cellStyle name="Currency 2 6" xfId="2238"/>
    <cellStyle name="Currency 2 7" xfId="2239"/>
    <cellStyle name="Currency 2 8" xfId="2240"/>
    <cellStyle name="Currency 2 9" xfId="2241"/>
    <cellStyle name="Currency 3" xfId="2242"/>
    <cellStyle name="DATA" xfId="2243"/>
    <cellStyle name="DATA 2" xfId="2244"/>
    <cellStyle name="DATA 2 2" xfId="2245"/>
    <cellStyle name="DATA 2 3" xfId="2246"/>
    <cellStyle name="DATA 3" xfId="2247"/>
    <cellStyle name="DATA 3 2" xfId="2248"/>
    <cellStyle name="DATA 3 3" xfId="2249"/>
    <cellStyle name="DATA 4" xfId="2250"/>
    <cellStyle name="DATA 4 2" xfId="2251"/>
    <cellStyle name="DATA 4 3" xfId="2252"/>
    <cellStyle name="DATA 5" xfId="2253"/>
    <cellStyle name="DATA 6" xfId="2254"/>
    <cellStyle name="DATA_Action plan 2011-12 Capex" xfId="2255"/>
    <cellStyle name="date" xfId="2256"/>
    <cellStyle name="Empty_Cell" xfId="2257"/>
    <cellStyle name="Entered" xfId="2258"/>
    <cellStyle name="Error" xfId="2259"/>
    <cellStyle name="ervices" xfId="2260"/>
    <cellStyle name="ervices 2" xfId="2261"/>
    <cellStyle name="ervices 2 2" xfId="2262"/>
    <cellStyle name="ervices 2 3" xfId="2263"/>
    <cellStyle name="ervices 3" xfId="2264"/>
    <cellStyle name="ervices 3 2" xfId="2265"/>
    <cellStyle name="ervices 3 3" xfId="2266"/>
    <cellStyle name="ervices 4" xfId="2267"/>
    <cellStyle name="ervices 4 2" xfId="2268"/>
    <cellStyle name="ervices 4 3" xfId="2269"/>
    <cellStyle name="ervices 5" xfId="2270"/>
    <cellStyle name="ervices 6" xfId="2271"/>
    <cellStyle name="Euro" xfId="2272"/>
    <cellStyle name="Excel Built-in Normal" xfId="2273"/>
    <cellStyle name="Excel Built-in Normal 1" xfId="2274"/>
    <cellStyle name="Explanatory Text 10" xfId="2275"/>
    <cellStyle name="Explanatory Text 11" xfId="2276"/>
    <cellStyle name="Explanatory Text 2" xfId="2277"/>
    <cellStyle name="Explanatory Text 2 2" xfId="2278"/>
    <cellStyle name="Explanatory Text 2 3" xfId="2279"/>
    <cellStyle name="Explanatory Text 2 4" xfId="2280"/>
    <cellStyle name="Explanatory Text 2 5" xfId="2281"/>
    <cellStyle name="Explanatory Text 2 6" xfId="2282"/>
    <cellStyle name="Explanatory Text 2 7" xfId="2283"/>
    <cellStyle name="Explanatory Text 2 8" xfId="2284"/>
    <cellStyle name="Explanatory Text 3" xfId="2285"/>
    <cellStyle name="Explanatory Text 3 2" xfId="2286"/>
    <cellStyle name="Explanatory Text 3 3" xfId="2287"/>
    <cellStyle name="Explanatory Text 3 4" xfId="2288"/>
    <cellStyle name="Explanatory Text 3 5" xfId="2289"/>
    <cellStyle name="Explanatory Text 4" xfId="2290"/>
    <cellStyle name="Explanatory Text 4 2" xfId="2291"/>
    <cellStyle name="Explanatory Text 4 3" xfId="2292"/>
    <cellStyle name="Explanatory Text 4 4" xfId="2293"/>
    <cellStyle name="Explanatory Text 4 5" xfId="2294"/>
    <cellStyle name="Explanatory Text 5" xfId="2295"/>
    <cellStyle name="Explanatory Text 6" xfId="2296"/>
    <cellStyle name="Explanatory Text 7" xfId="2297"/>
    <cellStyle name="Explanatory Text 8" xfId="2298"/>
    <cellStyle name="Explanatory Text 9" xfId="2299"/>
    <cellStyle name="Fill" xfId="2300"/>
    <cellStyle name="Fill 2" xfId="2301"/>
    <cellStyle name="Fill 2 2" xfId="2302"/>
    <cellStyle name="Fill 2 3" xfId="2303"/>
    <cellStyle name="Fill 3" xfId="2304"/>
    <cellStyle name="Fill 3 2" xfId="2305"/>
    <cellStyle name="Fill 3 3" xfId="2306"/>
    <cellStyle name="Fill 4" xfId="2307"/>
    <cellStyle name="Fill 4 2" xfId="2308"/>
    <cellStyle name="Fill 4 3" xfId="2309"/>
    <cellStyle name="Fill 5" xfId="2310"/>
    <cellStyle name="Fill 6" xfId="2311"/>
    <cellStyle name="Flag" xfId="2312"/>
    <cellStyle name="FORM" xfId="2313"/>
    <cellStyle name="Formula" xfId="2314"/>
    <cellStyle name="Good 10" xfId="2315"/>
    <cellStyle name="Good 11" xfId="2316"/>
    <cellStyle name="Good 2" xfId="2317"/>
    <cellStyle name="Good 2 2" xfId="2318"/>
    <cellStyle name="Good 2 3" xfId="2319"/>
    <cellStyle name="Good 2 4" xfId="2320"/>
    <cellStyle name="Good 2 5" xfId="2321"/>
    <cellStyle name="Good 2 6" xfId="2322"/>
    <cellStyle name="Good 2 7" xfId="2323"/>
    <cellStyle name="Good 2 8" xfId="2324"/>
    <cellStyle name="Good 3" xfId="2325"/>
    <cellStyle name="Good 3 2" xfId="2326"/>
    <cellStyle name="Good 3 3" xfId="2327"/>
    <cellStyle name="Good 3 4" xfId="2328"/>
    <cellStyle name="Good 3 5" xfId="2329"/>
    <cellStyle name="Good 4" xfId="2330"/>
    <cellStyle name="Good 4 2" xfId="2331"/>
    <cellStyle name="Good 4 3" xfId="2332"/>
    <cellStyle name="Good 4 4" xfId="2333"/>
    <cellStyle name="Good 4 5" xfId="2334"/>
    <cellStyle name="Good 5" xfId="2335"/>
    <cellStyle name="Good 6" xfId="2336"/>
    <cellStyle name="Good 7" xfId="2337"/>
    <cellStyle name="Good 8" xfId="2338"/>
    <cellStyle name="Good 9" xfId="2339"/>
    <cellStyle name="Grey" xfId="2340"/>
    <cellStyle name="Grey 2" xfId="2341"/>
    <cellStyle name="Grey 3" xfId="2342"/>
    <cellStyle name="Grey 4" xfId="2343"/>
    <cellStyle name="Grey 5" xfId="2344"/>
    <cellStyle name="Grey 6" xfId="2345"/>
    <cellStyle name="Grid" xfId="2346"/>
    <cellStyle name="Grid 2" xfId="2347"/>
    <cellStyle name="Grid 2 2" xfId="2348"/>
    <cellStyle name="Grid 2 3" xfId="2349"/>
    <cellStyle name="Grid 3" xfId="2350"/>
    <cellStyle name="Grid 3 2" xfId="2351"/>
    <cellStyle name="Grid 3 3" xfId="2352"/>
    <cellStyle name="Grid 4" xfId="2353"/>
    <cellStyle name="Grid 4 2" xfId="2354"/>
    <cellStyle name="Grid 4 3" xfId="2355"/>
    <cellStyle name="Grid 5" xfId="2356"/>
    <cellStyle name="Grid 6" xfId="2357"/>
    <cellStyle name="Grid_Action plan 2011-12 Capex" xfId="2358"/>
    <cellStyle name="Header1" xfId="2359"/>
    <cellStyle name="Header2" xfId="2360"/>
    <cellStyle name="Header3" xfId="2361"/>
    <cellStyle name="Heading 1 10" xfId="2362"/>
    <cellStyle name="Heading 1 11" xfId="2363"/>
    <cellStyle name="Heading 1 2" xfId="2364"/>
    <cellStyle name="Heading 1 2 2" xfId="2365"/>
    <cellStyle name="Heading 1 2 3" xfId="2366"/>
    <cellStyle name="Heading 1 2 4" xfId="2367"/>
    <cellStyle name="Heading 1 2 5" xfId="2368"/>
    <cellStyle name="Heading 1 2 6" xfId="2369"/>
    <cellStyle name="Heading 1 2 7" xfId="2370"/>
    <cellStyle name="Heading 1 2 8" xfId="2371"/>
    <cellStyle name="Heading 1 2_lt" xfId="2372"/>
    <cellStyle name="Heading 1 3" xfId="2373"/>
    <cellStyle name="Heading 1 3 2" xfId="2374"/>
    <cellStyle name="Heading 1 3 3" xfId="2375"/>
    <cellStyle name="Heading 1 3 4" xfId="2376"/>
    <cellStyle name="Heading 1 3 5" xfId="2377"/>
    <cellStyle name="Heading 1 3_lt" xfId="2378"/>
    <cellStyle name="Heading 1 4" xfId="2379"/>
    <cellStyle name="Heading 1 4 2" xfId="2380"/>
    <cellStyle name="Heading 1 4 3" xfId="2381"/>
    <cellStyle name="Heading 1 4 4" xfId="2382"/>
    <cellStyle name="Heading 1 4 5" xfId="2383"/>
    <cellStyle name="Heading 1 4_lt" xfId="2384"/>
    <cellStyle name="Heading 1 5" xfId="2385"/>
    <cellStyle name="Heading 1 6" xfId="2386"/>
    <cellStyle name="Heading 1 7" xfId="2387"/>
    <cellStyle name="Heading 1 8" xfId="2388"/>
    <cellStyle name="Heading 1 9" xfId="2389"/>
    <cellStyle name="Heading 2 10" xfId="2390"/>
    <cellStyle name="Heading 2 11" xfId="2391"/>
    <cellStyle name="Heading 2 2" xfId="2392"/>
    <cellStyle name="Heading 2 2 2" xfId="2393"/>
    <cellStyle name="Heading 2 2 3" xfId="2394"/>
    <cellStyle name="Heading 2 2 4" xfId="2395"/>
    <cellStyle name="Heading 2 2 5" xfId="2396"/>
    <cellStyle name="Heading 2 2 6" xfId="2397"/>
    <cellStyle name="Heading 2 2 7" xfId="2398"/>
    <cellStyle name="Heading 2 2 8" xfId="2399"/>
    <cellStyle name="Heading 2 2_lt" xfId="2400"/>
    <cellStyle name="Heading 2 3" xfId="2401"/>
    <cellStyle name="Heading 2 3 2" xfId="2402"/>
    <cellStyle name="Heading 2 3 3" xfId="2403"/>
    <cellStyle name="Heading 2 3 4" xfId="2404"/>
    <cellStyle name="Heading 2 3 5" xfId="2405"/>
    <cellStyle name="Heading 2 3_lt" xfId="2406"/>
    <cellStyle name="Heading 2 4" xfId="2407"/>
    <cellStyle name="Heading 2 4 2" xfId="2408"/>
    <cellStyle name="Heading 2 4 3" xfId="2409"/>
    <cellStyle name="Heading 2 4 4" xfId="2410"/>
    <cellStyle name="Heading 2 4 5" xfId="2411"/>
    <cellStyle name="Heading 2 4_lt" xfId="2412"/>
    <cellStyle name="Heading 2 5" xfId="2413"/>
    <cellStyle name="Heading 2 6" xfId="2414"/>
    <cellStyle name="Heading 2 7" xfId="2415"/>
    <cellStyle name="Heading 2 8" xfId="2416"/>
    <cellStyle name="Heading 2 9" xfId="2417"/>
    <cellStyle name="Heading 3 10" xfId="2418"/>
    <cellStyle name="Heading 3 11" xfId="2419"/>
    <cellStyle name="Heading 3 2" xfId="2420"/>
    <cellStyle name="Heading 3 2 2" xfId="2421"/>
    <cellStyle name="Heading 3 2 3" xfId="2422"/>
    <cellStyle name="Heading 3 2 4" xfId="2423"/>
    <cellStyle name="Heading 3 2 5" xfId="2424"/>
    <cellStyle name="Heading 3 2 6" xfId="2425"/>
    <cellStyle name="Heading 3 2 7" xfId="2426"/>
    <cellStyle name="Heading 3 2 8" xfId="2427"/>
    <cellStyle name="Heading 3 2_lt" xfId="2428"/>
    <cellStyle name="Heading 3 3" xfId="2429"/>
    <cellStyle name="Heading 3 3 2" xfId="2430"/>
    <cellStyle name="Heading 3 3 3" xfId="2431"/>
    <cellStyle name="Heading 3 3 4" xfId="2432"/>
    <cellStyle name="Heading 3 3 5" xfId="2433"/>
    <cellStyle name="Heading 3 3_lt" xfId="2434"/>
    <cellStyle name="Heading 3 4" xfId="2435"/>
    <cellStyle name="Heading 3 4 2" xfId="2436"/>
    <cellStyle name="Heading 3 4 3" xfId="2437"/>
    <cellStyle name="Heading 3 4 4" xfId="2438"/>
    <cellStyle name="Heading 3 4 5" xfId="2439"/>
    <cellStyle name="Heading 3 4_lt" xfId="2440"/>
    <cellStyle name="Heading 3 5" xfId="2441"/>
    <cellStyle name="Heading 3 6" xfId="2442"/>
    <cellStyle name="Heading 3 7" xfId="2443"/>
    <cellStyle name="Heading 3 8" xfId="2444"/>
    <cellStyle name="Heading 3 9" xfId="2445"/>
    <cellStyle name="Heading 4 10" xfId="2446"/>
    <cellStyle name="Heading 4 11" xfId="2447"/>
    <cellStyle name="Heading 4 2" xfId="2448"/>
    <cellStyle name="Heading 4 2 2" xfId="2449"/>
    <cellStyle name="Heading 4 2 3" xfId="2450"/>
    <cellStyle name="Heading 4 2 4" xfId="2451"/>
    <cellStyle name="Heading 4 2 5" xfId="2452"/>
    <cellStyle name="Heading 4 2 6" xfId="2453"/>
    <cellStyle name="Heading 4 2 7" xfId="2454"/>
    <cellStyle name="Heading 4 2 8" xfId="2455"/>
    <cellStyle name="Heading 4 3" xfId="2456"/>
    <cellStyle name="Heading 4 3 2" xfId="2457"/>
    <cellStyle name="Heading 4 3 3" xfId="2458"/>
    <cellStyle name="Heading 4 3 4" xfId="2459"/>
    <cellStyle name="Heading 4 3 5" xfId="2460"/>
    <cellStyle name="Heading 4 4" xfId="2461"/>
    <cellStyle name="Heading 4 4 2" xfId="2462"/>
    <cellStyle name="Heading 4 4 3" xfId="2463"/>
    <cellStyle name="Heading 4 4 4" xfId="2464"/>
    <cellStyle name="Heading 4 4 5" xfId="2465"/>
    <cellStyle name="Heading 4 5" xfId="2466"/>
    <cellStyle name="Heading 4 6" xfId="2467"/>
    <cellStyle name="Heading 4 7" xfId="2468"/>
    <cellStyle name="Heading 4 8" xfId="2469"/>
    <cellStyle name="Heading 4 9" xfId="2470"/>
    <cellStyle name="Heading Section 2" xfId="2471"/>
    <cellStyle name="Heading Section 3" xfId="2472"/>
    <cellStyle name="helv" xfId="2473"/>
    <cellStyle name="Hyperlink 2" xfId="2474"/>
    <cellStyle name="Hyperlink 2 10" xfId="2475"/>
    <cellStyle name="Hyperlink 2 2" xfId="2476"/>
    <cellStyle name="Hyperlink 2 3" xfId="2477"/>
    <cellStyle name="Hyperlink 2 4" xfId="2478"/>
    <cellStyle name="Hyperlink 2 5" xfId="2479"/>
    <cellStyle name="Hyperlink 2 6" xfId="2480"/>
    <cellStyle name="Hyperlink 2 7" xfId="2481"/>
    <cellStyle name="Hyperlink 2 8" xfId="2482"/>
    <cellStyle name="Hyperlink 2 9" xfId="2483"/>
    <cellStyle name="Hyperlink 3" xfId="2484"/>
    <cellStyle name="Hypertextový odkaz" xfId="2485"/>
    <cellStyle name="INCHES" xfId="2486"/>
    <cellStyle name="Info" xfId="2487"/>
    <cellStyle name="Input [yellow]" xfId="2488"/>
    <cellStyle name="Input [yellow] 2" xfId="2489"/>
    <cellStyle name="Input [yellow] 3" xfId="2490"/>
    <cellStyle name="Input [yellow] 4" xfId="2491"/>
    <cellStyle name="Input [yellow] 5" xfId="2492"/>
    <cellStyle name="Input [yellow] 6" xfId="2493"/>
    <cellStyle name="Input 10" xfId="2494"/>
    <cellStyle name="Input 11" xfId="2495"/>
    <cellStyle name="Input 12" xfId="2496"/>
    <cellStyle name="Input 2" xfId="2497"/>
    <cellStyle name="Input 2 2" xfId="2498"/>
    <cellStyle name="Input 2 3" xfId="2499"/>
    <cellStyle name="Input 2 4" xfId="2500"/>
    <cellStyle name="Input 2 5" xfId="2501"/>
    <cellStyle name="Input 2 6" xfId="2502"/>
    <cellStyle name="Input 2 7" xfId="2503"/>
    <cellStyle name="Input 2 8" xfId="2504"/>
    <cellStyle name="Input 2_lt" xfId="2505"/>
    <cellStyle name="Input 3" xfId="2506"/>
    <cellStyle name="Input 3 2" xfId="2507"/>
    <cellStyle name="Input 3 3" xfId="2508"/>
    <cellStyle name="Input 3 4" xfId="2509"/>
    <cellStyle name="Input 3 5" xfId="2510"/>
    <cellStyle name="Input 3_lt" xfId="2511"/>
    <cellStyle name="Input 4" xfId="2512"/>
    <cellStyle name="Input 4 2" xfId="2513"/>
    <cellStyle name="Input 4 3" xfId="2514"/>
    <cellStyle name="Input 4 4" xfId="2515"/>
    <cellStyle name="Input 4 5" xfId="2516"/>
    <cellStyle name="Input 4_lt" xfId="2517"/>
    <cellStyle name="Input 5" xfId="2518"/>
    <cellStyle name="Input 6" xfId="2519"/>
    <cellStyle name="Input 7" xfId="2520"/>
    <cellStyle name="Input 8" xfId="2521"/>
    <cellStyle name="Input 9" xfId="2522"/>
    <cellStyle name="Input Cells" xfId="2523"/>
    <cellStyle name="Inputs_Divider" xfId="2524"/>
    <cellStyle name="InSheet" xfId="2525"/>
    <cellStyle name="InSheet 2" xfId="2526"/>
    <cellStyle name="InSheet 2 2" xfId="2527"/>
    <cellStyle name="InSheet 2 3" xfId="2528"/>
    <cellStyle name="InSheet 3" xfId="2529"/>
    <cellStyle name="InSheet 3 2" xfId="2530"/>
    <cellStyle name="InSheet 3 3" xfId="2531"/>
    <cellStyle name="InSheet 4" xfId="2532"/>
    <cellStyle name="InSheet 4 2" xfId="2533"/>
    <cellStyle name="InSheet 4 3" xfId="2534"/>
    <cellStyle name="InSheet 5" xfId="2535"/>
    <cellStyle name="InSheet 6" xfId="2536"/>
    <cellStyle name="InSheet_Action plan 2011-12 Capex" xfId="2537"/>
    <cellStyle name="Line_ClosingBal" xfId="2538"/>
    <cellStyle name="Linked Cell 10" xfId="2539"/>
    <cellStyle name="Linked Cell 11" xfId="2540"/>
    <cellStyle name="Linked Cell 2" xfId="2541"/>
    <cellStyle name="Linked Cell 2 2" xfId="2542"/>
    <cellStyle name="Linked Cell 2 3" xfId="2543"/>
    <cellStyle name="Linked Cell 2 4" xfId="2544"/>
    <cellStyle name="Linked Cell 2 5" xfId="2545"/>
    <cellStyle name="Linked Cell 2 6" xfId="2546"/>
    <cellStyle name="Linked Cell 2 7" xfId="2547"/>
    <cellStyle name="Linked Cell 2 8" xfId="2548"/>
    <cellStyle name="Linked Cell 2_lt" xfId="2549"/>
    <cellStyle name="Linked Cell 3" xfId="2550"/>
    <cellStyle name="Linked Cell 3 2" xfId="2551"/>
    <cellStyle name="Linked Cell 3 3" xfId="2552"/>
    <cellStyle name="Linked Cell 3 4" xfId="2553"/>
    <cellStyle name="Linked Cell 3 5" xfId="2554"/>
    <cellStyle name="Linked Cell 3_lt" xfId="2555"/>
    <cellStyle name="Linked Cell 4" xfId="2556"/>
    <cellStyle name="Linked Cell 4 2" xfId="2557"/>
    <cellStyle name="Linked Cell 4 3" xfId="2558"/>
    <cellStyle name="Linked Cell 4 4" xfId="2559"/>
    <cellStyle name="Linked Cell 4 5" xfId="2560"/>
    <cellStyle name="Linked Cell 4_lt" xfId="2561"/>
    <cellStyle name="Linked Cell 5" xfId="2562"/>
    <cellStyle name="Linked Cell 6" xfId="2563"/>
    <cellStyle name="Linked Cell 7" xfId="2564"/>
    <cellStyle name="Linked Cell 8" xfId="2565"/>
    <cellStyle name="Linked Cell 9" xfId="2566"/>
    <cellStyle name="Linked Cells" xfId="2567"/>
    <cellStyle name="MAIN HEADING" xfId="2568"/>
    <cellStyle name="Millares [0]_pldt" xfId="2569"/>
    <cellStyle name="Millares_pldt" xfId="2570"/>
    <cellStyle name="Milliers [0]_!!!GO" xfId="2571"/>
    <cellStyle name="Milliers_!!!GO" xfId="2572"/>
    <cellStyle name="Moneda [0]_pldt" xfId="2573"/>
    <cellStyle name="Moneda_pldt" xfId="2574"/>
    <cellStyle name="Monétaire [0]_!!!GO" xfId="2575"/>
    <cellStyle name="Monétaire_!!!GO" xfId="2576"/>
    <cellStyle name="Neutral 10" xfId="2577"/>
    <cellStyle name="Neutral 11" xfId="2578"/>
    <cellStyle name="Neutral 2" xfId="2579"/>
    <cellStyle name="Neutral 2 2" xfId="2580"/>
    <cellStyle name="Neutral 2 3" xfId="2581"/>
    <cellStyle name="Neutral 2 4" xfId="2582"/>
    <cellStyle name="Neutral 2 5" xfId="2583"/>
    <cellStyle name="Neutral 2 6" xfId="2584"/>
    <cellStyle name="Neutral 2 7" xfId="2585"/>
    <cellStyle name="Neutral 2 8" xfId="2586"/>
    <cellStyle name="Neutral 3" xfId="2587"/>
    <cellStyle name="Neutral 3 2" xfId="2588"/>
    <cellStyle name="Neutral 3 3" xfId="2589"/>
    <cellStyle name="Neutral 3 4" xfId="2590"/>
    <cellStyle name="Neutral 3 5" xfId="2591"/>
    <cellStyle name="Neutral 4" xfId="2592"/>
    <cellStyle name="Neutral 4 2" xfId="2593"/>
    <cellStyle name="Neutral 4 3" xfId="2594"/>
    <cellStyle name="Neutral 4 4" xfId="2595"/>
    <cellStyle name="Neutral 4 5" xfId="2596"/>
    <cellStyle name="Neutral 5" xfId="2597"/>
    <cellStyle name="Neutral 6" xfId="2598"/>
    <cellStyle name="Neutral 7" xfId="2599"/>
    <cellStyle name="Neutral 8" xfId="2600"/>
    <cellStyle name="Neutral 9" xfId="2601"/>
    <cellStyle name="Ngrmal" xfId="2602"/>
    <cellStyle name="no dec" xfId="2603"/>
    <cellStyle name="Nor}al" xfId="2604"/>
    <cellStyle name="Nor}al 2" xfId="2605"/>
    <cellStyle name="Nor}al 2 2" xfId="2606"/>
    <cellStyle name="Nor}al 2 3" xfId="2607"/>
    <cellStyle name="Nor}al 2 4" xfId="2608"/>
    <cellStyle name="Nor}al 2 5" xfId="2609"/>
    <cellStyle name="Nor}al 2 6" xfId="2610"/>
    <cellStyle name="Nor}al 2 7" xfId="2611"/>
    <cellStyle name="Nor}al 3" xfId="2612"/>
    <cellStyle name="Nor}al 3 2" xfId="2613"/>
    <cellStyle name="Nor}al 3 3" xfId="2614"/>
    <cellStyle name="Nor}al 4" xfId="2615"/>
    <cellStyle name="Nor}al 4 2" xfId="2616"/>
    <cellStyle name="Nor}al 4 3" xfId="2617"/>
    <cellStyle name="Nor}al 5" xfId="2618"/>
    <cellStyle name="Nor}al 6" xfId="2619"/>
    <cellStyle name="Nor}al 7" xfId="2620"/>
    <cellStyle name="Nor}al 7 2" xfId="2621"/>
    <cellStyle name="Nor}al 8" xfId="2622"/>
    <cellStyle name="Nor}al 9" xfId="2623"/>
    <cellStyle name="Nor}al_Action plan 2011-12 Capex" xfId="2624"/>
    <cellStyle name="Normal" xfId="0" builtinId="0"/>
    <cellStyle name="Normal - Style1" xfId="2625"/>
    <cellStyle name="Normal - Style1 2" xfId="2626"/>
    <cellStyle name="Normal - Style1 2 2" xfId="2627"/>
    <cellStyle name="Normal - Style1 2 3" xfId="2628"/>
    <cellStyle name="Normal - Style1 3" xfId="2629"/>
    <cellStyle name="Normal - Style1 3 2" xfId="2630"/>
    <cellStyle name="Normal - Style1 3 3" xfId="2631"/>
    <cellStyle name="Normal - Style1 4" xfId="2632"/>
    <cellStyle name="Normal - Style1 4 2" xfId="2633"/>
    <cellStyle name="Normal - Style1 4 3" xfId="2634"/>
    <cellStyle name="Normal - Style1 5" xfId="2635"/>
    <cellStyle name="Normal - Style1 6" xfId="2636"/>
    <cellStyle name="Normal - Style1_Action plan 2011-12 Capex" xfId="2637"/>
    <cellStyle name="Normal 10" xfId="2638"/>
    <cellStyle name="Normal 10 2" xfId="2639"/>
    <cellStyle name="Normal 10 2 2" xfId="2640"/>
    <cellStyle name="Normal 10 2 3" xfId="2641"/>
    <cellStyle name="Normal 10 3" xfId="2642"/>
    <cellStyle name="Normal 100" xfId="2643"/>
    <cellStyle name="Normal 100 2" xfId="2644"/>
    <cellStyle name="Normal 101" xfId="2645"/>
    <cellStyle name="Normal 101 2" xfId="2646"/>
    <cellStyle name="Normal 102" xfId="2647"/>
    <cellStyle name="Normal 102 2" xfId="2648"/>
    <cellStyle name="Normal 103" xfId="2649"/>
    <cellStyle name="Normal 104" xfId="2650"/>
    <cellStyle name="Normal 105" xfId="2651"/>
    <cellStyle name="Normal 106" xfId="2652"/>
    <cellStyle name="Normal 106 2" xfId="2653"/>
    <cellStyle name="Normal 107" xfId="2654"/>
    <cellStyle name="Normal 108" xfId="2655"/>
    <cellStyle name="Normal 109" xfId="2656"/>
    <cellStyle name="Normal 11" xfId="2657"/>
    <cellStyle name="Normal 11 2" xfId="2658"/>
    <cellStyle name="Normal 11 2 2" xfId="2659"/>
    <cellStyle name="Normal 11 2 3" xfId="2660"/>
    <cellStyle name="Normal 11 3" xfId="2661"/>
    <cellStyle name="Normal 11 3 2" xfId="2662"/>
    <cellStyle name="Normal 11 3 3" xfId="2663"/>
    <cellStyle name="Normal 11 4" xfId="2664"/>
    <cellStyle name="Normal 11 4 2" xfId="2665"/>
    <cellStyle name="Normal 11 4 3" xfId="2666"/>
    <cellStyle name="Normal 11 5" xfId="2667"/>
    <cellStyle name="Normal 11 6" xfId="2668"/>
    <cellStyle name="Normal 110" xfId="2669"/>
    <cellStyle name="Normal 111" xfId="2670"/>
    <cellStyle name="Normal 112" xfId="2671"/>
    <cellStyle name="Normal 113" xfId="2672"/>
    <cellStyle name="Normal 113 2" xfId="2673"/>
    <cellStyle name="Normal 114" xfId="2674"/>
    <cellStyle name="Normal 115" xfId="2675"/>
    <cellStyle name="Normal 116" xfId="2676"/>
    <cellStyle name="Normal 117" xfId="2677"/>
    <cellStyle name="Normal 118" xfId="2678"/>
    <cellStyle name="Normal 119" xfId="2679"/>
    <cellStyle name="Normal 12" xfId="2680"/>
    <cellStyle name="Normal 12 10" xfId="2681"/>
    <cellStyle name="Normal 12 11" xfId="2682"/>
    <cellStyle name="Normal 12 12" xfId="2683"/>
    <cellStyle name="Normal 12 13" xfId="2684"/>
    <cellStyle name="Normal 12 2" xfId="2685"/>
    <cellStyle name="Normal 12 2 2" xfId="2686"/>
    <cellStyle name="Normal 12 2 3" xfId="2687"/>
    <cellStyle name="Normal 12 3" xfId="2688"/>
    <cellStyle name="Normal 12 3 2" xfId="2689"/>
    <cellStyle name="Normal 12 3 2 2" xfId="2690"/>
    <cellStyle name="Normal 12 3 2 3" xfId="2691"/>
    <cellStyle name="Normal 12 3 3" xfId="2692"/>
    <cellStyle name="Normal 12 3 4" xfId="2693"/>
    <cellStyle name="Normal 12 4" xfId="2694"/>
    <cellStyle name="Normal 12 4 2" xfId="2695"/>
    <cellStyle name="Normal 12 4 3" xfId="2696"/>
    <cellStyle name="Normal 12 5" xfId="2697"/>
    <cellStyle name="Normal 12 6" xfId="2698"/>
    <cellStyle name="Normal 12 7" xfId="2699"/>
    <cellStyle name="Normal 12 8" xfId="2700"/>
    <cellStyle name="Normal 12 9" xfId="2701"/>
    <cellStyle name="Normal 12_May-11 RNR WS GK Format" xfId="2702"/>
    <cellStyle name="Normal 120" xfId="2703"/>
    <cellStyle name="Normal 121" xfId="2704"/>
    <cellStyle name="Normal 122" xfId="2705"/>
    <cellStyle name="Normal 123" xfId="2706"/>
    <cellStyle name="Normal 123 2" xfId="2707"/>
    <cellStyle name="Normal 124" xfId="2708"/>
    <cellStyle name="Normal 124 2" xfId="2709"/>
    <cellStyle name="Normal 125" xfId="2710"/>
    <cellStyle name="Normal 126" xfId="2711"/>
    <cellStyle name="Normal 127" xfId="2712"/>
    <cellStyle name="Normal 128" xfId="2713"/>
    <cellStyle name="Normal 129" xfId="2714"/>
    <cellStyle name="Normal 13" xfId="2715"/>
    <cellStyle name="Normal 13 10" xfId="2716"/>
    <cellStyle name="Normal 13 2" xfId="2717"/>
    <cellStyle name="Normal 13 2 2" xfId="2718"/>
    <cellStyle name="Normal 13 3" xfId="2719"/>
    <cellStyle name="Normal 13 4" xfId="2720"/>
    <cellStyle name="Normal 13 5" xfId="2721"/>
    <cellStyle name="Normal 13 6" xfId="2722"/>
    <cellStyle name="Normal 13 7" xfId="2723"/>
    <cellStyle name="Normal 13 8" xfId="2724"/>
    <cellStyle name="Normal 13 9" xfId="2725"/>
    <cellStyle name="Normal 130" xfId="2726"/>
    <cellStyle name="Normal 131" xfId="2727"/>
    <cellStyle name="Normal 132" xfId="2728"/>
    <cellStyle name="Normal 133" xfId="2729"/>
    <cellStyle name="Normal 134" xfId="2730"/>
    <cellStyle name="Normal 135" xfId="2731"/>
    <cellStyle name="Normal 136" xfId="2732"/>
    <cellStyle name="Normal 137" xfId="2733"/>
    <cellStyle name="Normal 138" xfId="2734"/>
    <cellStyle name="Normal 139" xfId="2735"/>
    <cellStyle name="Normal 14" xfId="2736"/>
    <cellStyle name="Normal 14 2" xfId="2737"/>
    <cellStyle name="Normal 14 2 2" xfId="2738"/>
    <cellStyle name="Normal 14 2 3" xfId="2739"/>
    <cellStyle name="Normal 14 3" xfId="2740"/>
    <cellStyle name="Normal 14 4" xfId="2741"/>
    <cellStyle name="Normal 14 5" xfId="2742"/>
    <cellStyle name="Normal 140" xfId="2743"/>
    <cellStyle name="Normal 141" xfId="2744"/>
    <cellStyle name="Normal 142" xfId="2745"/>
    <cellStyle name="Normal 143" xfId="2746"/>
    <cellStyle name="Normal 144" xfId="2747"/>
    <cellStyle name="Normal 145" xfId="2748"/>
    <cellStyle name="Normal 146" xfId="2749"/>
    <cellStyle name="Normal 147" xfId="2750"/>
    <cellStyle name="Normal 148" xfId="2751"/>
    <cellStyle name="Normal 149" xfId="2752"/>
    <cellStyle name="Normal 15" xfId="2753"/>
    <cellStyle name="Normal 15 2" xfId="2754"/>
    <cellStyle name="Normal 15 2 2" xfId="2755"/>
    <cellStyle name="Normal 15 2 3" xfId="2756"/>
    <cellStyle name="Normal 15 3" xfId="2757"/>
    <cellStyle name="Normal 15 3 2" xfId="2758"/>
    <cellStyle name="Normal 15 3 3" xfId="2759"/>
    <cellStyle name="Normal 15 4" xfId="2760"/>
    <cellStyle name="Normal 15 4 2" xfId="2761"/>
    <cellStyle name="Normal 15 4 3" xfId="2762"/>
    <cellStyle name="Normal 15 5" xfId="2763"/>
    <cellStyle name="Normal 15 5 2" xfId="2764"/>
    <cellStyle name="Normal 15 5 3" xfId="2765"/>
    <cellStyle name="Normal 15 6" xfId="2766"/>
    <cellStyle name="Normal 15 6 2" xfId="2767"/>
    <cellStyle name="Normal 15 6 3" xfId="2768"/>
    <cellStyle name="Normal 15 7" xfId="2769"/>
    <cellStyle name="Normal 15 7 2" xfId="2770"/>
    <cellStyle name="Normal 15 7 3" xfId="2771"/>
    <cellStyle name="Normal 150" xfId="2772"/>
    <cellStyle name="Normal 151" xfId="2773"/>
    <cellStyle name="Normal 152" xfId="2774"/>
    <cellStyle name="Normal 153" xfId="2775"/>
    <cellStyle name="Normal 154" xfId="2776"/>
    <cellStyle name="Normal 155" xfId="2777"/>
    <cellStyle name="Normal 156" xfId="2778"/>
    <cellStyle name="Normal 157" xfId="2779"/>
    <cellStyle name="Normal 158" xfId="2780"/>
    <cellStyle name="Normal 159" xfId="2781"/>
    <cellStyle name="Normal 16" xfId="2782"/>
    <cellStyle name="Normal 16 2" xfId="2783"/>
    <cellStyle name="Normal 16 3" xfId="2784"/>
    <cellStyle name="Normal 16 4" xfId="2785"/>
    <cellStyle name="Normal 16 5" xfId="2786"/>
    <cellStyle name="Normal 16 6" xfId="2787"/>
    <cellStyle name="Normal 16 7" xfId="2788"/>
    <cellStyle name="Normal 16 8" xfId="2789"/>
    <cellStyle name="Normal 16 9" xfId="2790"/>
    <cellStyle name="Normal 160" xfId="2791"/>
    <cellStyle name="Normal 161" xfId="2792"/>
    <cellStyle name="Normal 162" xfId="2793"/>
    <cellStyle name="Normal 163" xfId="2794"/>
    <cellStyle name="Normal 164" xfId="2795"/>
    <cellStyle name="Normal 165" xfId="2796"/>
    <cellStyle name="Normal 166" xfId="2797"/>
    <cellStyle name="Normal 167" xfId="2798"/>
    <cellStyle name="Normal 168" xfId="2799"/>
    <cellStyle name="Normal 169" xfId="2800"/>
    <cellStyle name="Normal 17" xfId="2801"/>
    <cellStyle name="Normal 17 10" xfId="2802"/>
    <cellStyle name="Normal 17 11" xfId="2803"/>
    <cellStyle name="Normal 17 12" xfId="2804"/>
    <cellStyle name="Normal 17 13" xfId="2805"/>
    <cellStyle name="Normal 17 14" xfId="2806"/>
    <cellStyle name="Normal 17 2" xfId="2807"/>
    <cellStyle name="Normal 17 2 2" xfId="2808"/>
    <cellStyle name="Normal 17 2 3" xfId="2809"/>
    <cellStyle name="Normal 17 2 4" xfId="2810"/>
    <cellStyle name="Normal 17 3" xfId="2811"/>
    <cellStyle name="Normal 17 3 2" xfId="2812"/>
    <cellStyle name="Normal 17 3 3" xfId="2813"/>
    <cellStyle name="Normal 17 4" xfId="2814"/>
    <cellStyle name="Normal 17 4 2" xfId="2815"/>
    <cellStyle name="Normal 17 4 3" xfId="2816"/>
    <cellStyle name="Normal 17 5" xfId="2817"/>
    <cellStyle name="Normal 17 5 2" xfId="2818"/>
    <cellStyle name="Normal 17 5 3" xfId="2819"/>
    <cellStyle name="Normal 17 6" xfId="2820"/>
    <cellStyle name="Normal 17 6 2" xfId="2821"/>
    <cellStyle name="Normal 17 6 3" xfId="2822"/>
    <cellStyle name="Normal 17 7" xfId="2823"/>
    <cellStyle name="Normal 17 7 2" xfId="2824"/>
    <cellStyle name="Normal 17 7 3" xfId="2825"/>
    <cellStyle name="Normal 17 8" xfId="2826"/>
    <cellStyle name="Normal 17 9" xfId="2827"/>
    <cellStyle name="Normal 170" xfId="2828"/>
    <cellStyle name="Normal 171" xfId="2829"/>
    <cellStyle name="Normal 172" xfId="2830"/>
    <cellStyle name="Normal 173" xfId="2831"/>
    <cellStyle name="Normal 174" xfId="2832"/>
    <cellStyle name="Normal 175" xfId="2833"/>
    <cellStyle name="Normal 176" xfId="2834"/>
    <cellStyle name="Normal 177" xfId="2835"/>
    <cellStyle name="Normal 178" xfId="2836"/>
    <cellStyle name="Normal 179" xfId="2837"/>
    <cellStyle name="Normal 18" xfId="2838"/>
    <cellStyle name="Normal 18 10" xfId="2839"/>
    <cellStyle name="Normal 18 11" xfId="2840"/>
    <cellStyle name="Normal 18 12" xfId="2841"/>
    <cellStyle name="Normal 18 13" xfId="2842"/>
    <cellStyle name="Normal 18 14" xfId="2843"/>
    <cellStyle name="Normal 18 2" xfId="2844"/>
    <cellStyle name="Normal 18 2 2" xfId="2845"/>
    <cellStyle name="Normal 18 2 3" xfId="2846"/>
    <cellStyle name="Normal 18 3" xfId="2847"/>
    <cellStyle name="Normal 18 3 2" xfId="2848"/>
    <cellStyle name="Normal 18 3 3" xfId="2849"/>
    <cellStyle name="Normal 18 4" xfId="2850"/>
    <cellStyle name="Normal 18 4 2" xfId="2851"/>
    <cellStyle name="Normal 18 4 3" xfId="2852"/>
    <cellStyle name="Normal 18 5" xfId="2853"/>
    <cellStyle name="Normal 18 5 2" xfId="2854"/>
    <cellStyle name="Normal 18 5 3" xfId="2855"/>
    <cellStyle name="Normal 18 6" xfId="2856"/>
    <cellStyle name="Normal 18 6 2" xfId="2857"/>
    <cellStyle name="Normal 18 6 3" xfId="2858"/>
    <cellStyle name="Normal 18 7" xfId="2859"/>
    <cellStyle name="Normal 18 7 2" xfId="2860"/>
    <cellStyle name="Normal 18 7 3" xfId="2861"/>
    <cellStyle name="Normal 18 8" xfId="2862"/>
    <cellStyle name="Normal 18 9" xfId="2863"/>
    <cellStyle name="Normal 180" xfId="2864"/>
    <cellStyle name="Normal 181" xfId="2865"/>
    <cellStyle name="Normal 182" xfId="2866"/>
    <cellStyle name="Normal 183" xfId="2867"/>
    <cellStyle name="Normal 184" xfId="2868"/>
    <cellStyle name="Normal 185" xfId="2869"/>
    <cellStyle name="Normal 186" xfId="2870"/>
    <cellStyle name="Normal 187" xfId="2871"/>
    <cellStyle name="Normal 188" xfId="2872"/>
    <cellStyle name="Normal 189" xfId="2873"/>
    <cellStyle name="Normal 19" xfId="2874"/>
    <cellStyle name="Normal 19 2" xfId="2875"/>
    <cellStyle name="Normal 19 3" xfId="2876"/>
    <cellStyle name="Normal 19 4" xfId="2877"/>
    <cellStyle name="Normal 19 5" xfId="2878"/>
    <cellStyle name="Normal 19 6" xfId="2879"/>
    <cellStyle name="Normal 190" xfId="2880"/>
    <cellStyle name="Normal 191" xfId="2881"/>
    <cellStyle name="Normal 192" xfId="2882"/>
    <cellStyle name="Normal 193" xfId="2883"/>
    <cellStyle name="Normal 194" xfId="2884"/>
    <cellStyle name="Normal 195" xfId="2885"/>
    <cellStyle name="Normal 196" xfId="2886"/>
    <cellStyle name="Normal 197" xfId="2887"/>
    <cellStyle name="Normal 198" xfId="2888"/>
    <cellStyle name="Normal 199" xfId="2889"/>
    <cellStyle name="Normal 2" xfId="2890"/>
    <cellStyle name="Normal 2 10" xfId="2891"/>
    <cellStyle name="Normal 2 10 2" xfId="2892"/>
    <cellStyle name="Normal 2 10 3" xfId="2893"/>
    <cellStyle name="Normal 2 10 4" xfId="2894"/>
    <cellStyle name="Normal 2 10 5" xfId="2895"/>
    <cellStyle name="Normal 2 10 6" xfId="2896"/>
    <cellStyle name="Normal 2 10 7" xfId="2897"/>
    <cellStyle name="Normal 2 10 8" xfId="2898"/>
    <cellStyle name="Normal 2 11" xfId="2899"/>
    <cellStyle name="Normal 2 11 2" xfId="2900"/>
    <cellStyle name="Normal 2 11 3" xfId="2901"/>
    <cellStyle name="Normal 2 11 4" xfId="2902"/>
    <cellStyle name="Normal 2 11 5" xfId="2903"/>
    <cellStyle name="Normal 2 11 6" xfId="2904"/>
    <cellStyle name="Normal 2 11 7" xfId="2905"/>
    <cellStyle name="Normal 2 11 8" xfId="2906"/>
    <cellStyle name="Normal 2 12" xfId="2907"/>
    <cellStyle name="Normal 2 12 2" xfId="2908"/>
    <cellStyle name="Normal 2 12 3" xfId="2909"/>
    <cellStyle name="Normal 2 12 4" xfId="2910"/>
    <cellStyle name="Normal 2 12 5" xfId="2911"/>
    <cellStyle name="Normal 2 12 6" xfId="2912"/>
    <cellStyle name="Normal 2 12 7" xfId="2913"/>
    <cellStyle name="Normal 2 12 8" xfId="2914"/>
    <cellStyle name="Normal 2 13" xfId="2915"/>
    <cellStyle name="Normal 2 13 2" xfId="2916"/>
    <cellStyle name="Normal 2 13 3" xfId="2917"/>
    <cellStyle name="Normal 2 13 4" xfId="2918"/>
    <cellStyle name="Normal 2 13 5" xfId="2919"/>
    <cellStyle name="Normal 2 13 6" xfId="2920"/>
    <cellStyle name="Normal 2 13 7" xfId="2921"/>
    <cellStyle name="Normal 2 13 8" xfId="2922"/>
    <cellStyle name="Normal 2 14" xfId="2923"/>
    <cellStyle name="Normal 2 15" xfId="2924"/>
    <cellStyle name="Normal 2 16" xfId="2925"/>
    <cellStyle name="Normal 2 17" xfId="2926"/>
    <cellStyle name="Normal 2 18" xfId="2927"/>
    <cellStyle name="Normal 2 19" xfId="2928"/>
    <cellStyle name="Normal 2 2" xfId="2929"/>
    <cellStyle name="Normal 2 2 2" xfId="2930"/>
    <cellStyle name="Normal 2 2 2 2" xfId="2931"/>
    <cellStyle name="Normal 2 2 2 2 2" xfId="2932"/>
    <cellStyle name="Normal 2 2 2 2 3" xfId="2933"/>
    <cellStyle name="Normal 2 2 2 3" xfId="2934"/>
    <cellStyle name="Normal 2 2 2 3 2" xfId="2935"/>
    <cellStyle name="Normal 2 2 2 3 3" xfId="2936"/>
    <cellStyle name="Normal 2 2 2 4" xfId="2937"/>
    <cellStyle name="Normal 2 2 2 4 2" xfId="2938"/>
    <cellStyle name="Normal 2 2 2 4 3" xfId="2939"/>
    <cellStyle name="Normal 2 2 2 5" xfId="2940"/>
    <cellStyle name="Normal 2 2 2 6" xfId="2941"/>
    <cellStyle name="Normal 2 2 2_A-April-10 New Revised Meeting Notes of Bgm Cir" xfId="2942"/>
    <cellStyle name="Normal 2 2 3" xfId="2943"/>
    <cellStyle name="Normal 2 2 3 2" xfId="2944"/>
    <cellStyle name="Normal 2 2 3 3" xfId="2945"/>
    <cellStyle name="Normal 2 2 4" xfId="2946"/>
    <cellStyle name="Normal 2 2 4 2" xfId="2947"/>
    <cellStyle name="Normal 2 2 4 3" xfId="2948"/>
    <cellStyle name="Normal 2 2 5" xfId="2949"/>
    <cellStyle name="Normal 2 2 5 2" xfId="2950"/>
    <cellStyle name="Normal 2 2 5 3" xfId="2951"/>
    <cellStyle name="Normal 2 2 6" xfId="2952"/>
    <cellStyle name="Normal 2 2 7" xfId="2953"/>
    <cellStyle name="Normal 2 2_A-April-10 New Revised Meeting Notes of Bgm Cir" xfId="2954"/>
    <cellStyle name="Normal 2 20" xfId="2955"/>
    <cellStyle name="Normal 2 21" xfId="2956"/>
    <cellStyle name="Normal 2 22" xfId="2957"/>
    <cellStyle name="Normal 2 3" xfId="2958"/>
    <cellStyle name="Normal 2 3 2" xfId="2959"/>
    <cellStyle name="Normal 2 3 3" xfId="2960"/>
    <cellStyle name="Normal 2 4" xfId="2961"/>
    <cellStyle name="Normal 2 4 2" xfId="2962"/>
    <cellStyle name="Normal 2 4 3" xfId="2963"/>
    <cellStyle name="Normal 2 4 3 2" xfId="2964"/>
    <cellStyle name="Normal 2 4 3 3" xfId="2965"/>
    <cellStyle name="Normal 2 5" xfId="2966"/>
    <cellStyle name="Normal 2 6" xfId="2967"/>
    <cellStyle name="Normal 2 7" xfId="2968"/>
    <cellStyle name="Normal 2 8" xfId="2969"/>
    <cellStyle name="Normal 2 8 2" xfId="2970"/>
    <cellStyle name="Normal 2 9" xfId="2971"/>
    <cellStyle name="Normal 2_10.11.08 ctd" xfId="2972"/>
    <cellStyle name="Normal 20" xfId="2973"/>
    <cellStyle name="Normal 20 2" xfId="2974"/>
    <cellStyle name="Normal 20 2 2" xfId="2975"/>
    <cellStyle name="Normal 20 2 3" xfId="2976"/>
    <cellStyle name="Normal 20 3" xfId="2977"/>
    <cellStyle name="Normal 20 3 2" xfId="2978"/>
    <cellStyle name="Normal 20 3 3" xfId="2979"/>
    <cellStyle name="Normal 20 4" xfId="2980"/>
    <cellStyle name="Normal 20 4 2" xfId="2981"/>
    <cellStyle name="Normal 20 4 3" xfId="2982"/>
    <cellStyle name="Normal 20 5" xfId="2983"/>
    <cellStyle name="Normal 20 5 2" xfId="2984"/>
    <cellStyle name="Normal 20 5 3" xfId="2985"/>
    <cellStyle name="Normal 20 6" xfId="2986"/>
    <cellStyle name="Normal 20 6 2" xfId="2987"/>
    <cellStyle name="Normal 20 6 3" xfId="2988"/>
    <cellStyle name="Normal 20 7" xfId="2989"/>
    <cellStyle name="Normal 20 7 2" xfId="2990"/>
    <cellStyle name="Normal 20 7 3" xfId="2991"/>
    <cellStyle name="Normal 20 8" xfId="2992"/>
    <cellStyle name="Normal 20 9" xfId="2993"/>
    <cellStyle name="Normal 200" xfId="2994"/>
    <cellStyle name="Normal 201" xfId="2995"/>
    <cellStyle name="Normal 202" xfId="2996"/>
    <cellStyle name="Normal 203" xfId="2997"/>
    <cellStyle name="Normal 204" xfId="2998"/>
    <cellStyle name="Normal 205" xfId="2999"/>
    <cellStyle name="Normal 206" xfId="3000"/>
    <cellStyle name="Normal 207" xfId="3001"/>
    <cellStyle name="Normal 208" xfId="3002"/>
    <cellStyle name="Normal 209" xfId="3003"/>
    <cellStyle name="Normal 21" xfId="3004"/>
    <cellStyle name="Normal 21 2" xfId="3005"/>
    <cellStyle name="Normal 21 2 2" xfId="3006"/>
    <cellStyle name="Normal 21 2 3" xfId="3007"/>
    <cellStyle name="Normal 21 3" xfId="3008"/>
    <cellStyle name="Normal 21 3 2" xfId="3009"/>
    <cellStyle name="Normal 21 3 3" xfId="3010"/>
    <cellStyle name="Normal 21 4" xfId="3011"/>
    <cellStyle name="Normal 21 4 2" xfId="3012"/>
    <cellStyle name="Normal 21 4 3" xfId="3013"/>
    <cellStyle name="Normal 21 5" xfId="3014"/>
    <cellStyle name="Normal 21 5 2" xfId="3015"/>
    <cellStyle name="Normal 21 5 3" xfId="3016"/>
    <cellStyle name="Normal 21 6" xfId="3017"/>
    <cellStyle name="Normal 21 6 2" xfId="3018"/>
    <cellStyle name="Normal 21 6 3" xfId="3019"/>
    <cellStyle name="Normal 21 7" xfId="3020"/>
    <cellStyle name="Normal 21 7 2" xfId="3021"/>
    <cellStyle name="Normal 21 7 3" xfId="3022"/>
    <cellStyle name="Normal 210" xfId="3023"/>
    <cellStyle name="Normal 211" xfId="3024"/>
    <cellStyle name="Normal 212" xfId="3025"/>
    <cellStyle name="Normal 213" xfId="3026"/>
    <cellStyle name="Normal 214" xfId="3027"/>
    <cellStyle name="Normal 215" xfId="3028"/>
    <cellStyle name="Normal 216" xfId="3029"/>
    <cellStyle name="Normal 217" xfId="3030"/>
    <cellStyle name="Normal 218" xfId="3031"/>
    <cellStyle name="Normal 219" xfId="3032"/>
    <cellStyle name="Normal 22" xfId="3033"/>
    <cellStyle name="Normal 22 2" xfId="3034"/>
    <cellStyle name="Normal 22 2 2" xfId="3035"/>
    <cellStyle name="Normal 22 2 3" xfId="3036"/>
    <cellStyle name="Normal 22 3" xfId="3037"/>
    <cellStyle name="Normal 22 3 2" xfId="3038"/>
    <cellStyle name="Normal 22 3 3" xfId="3039"/>
    <cellStyle name="Normal 22 4" xfId="3040"/>
    <cellStyle name="Normal 22 4 2" xfId="3041"/>
    <cellStyle name="Normal 22 4 3" xfId="3042"/>
    <cellStyle name="Normal 22 5" xfId="3043"/>
    <cellStyle name="Normal 22 5 2" xfId="3044"/>
    <cellStyle name="Normal 22 5 3" xfId="3045"/>
    <cellStyle name="Normal 22 6" xfId="3046"/>
    <cellStyle name="Normal 22 6 2" xfId="3047"/>
    <cellStyle name="Normal 22 6 3" xfId="3048"/>
    <cellStyle name="Normal 22 7" xfId="3049"/>
    <cellStyle name="Normal 22 7 2" xfId="3050"/>
    <cellStyle name="Normal 22 7 3" xfId="3051"/>
    <cellStyle name="Normal 220" xfId="3052"/>
    <cellStyle name="Normal 221" xfId="3053"/>
    <cellStyle name="Normal 222" xfId="3054"/>
    <cellStyle name="Normal 223" xfId="3055"/>
    <cellStyle name="Normal 224" xfId="3056"/>
    <cellStyle name="Normal 225" xfId="3057"/>
    <cellStyle name="Normal 226" xfId="3058"/>
    <cellStyle name="Normal 227" xfId="3059"/>
    <cellStyle name="Normal 228" xfId="3060"/>
    <cellStyle name="Normal 229" xfId="3061"/>
    <cellStyle name="Normal 23" xfId="3062"/>
    <cellStyle name="Normal 23 2" xfId="3063"/>
    <cellStyle name="Normal 23 2 2" xfId="3064"/>
    <cellStyle name="Normal 23 2 3" xfId="3065"/>
    <cellStyle name="Normal 23 3" xfId="3066"/>
    <cellStyle name="Normal 23 3 2" xfId="3067"/>
    <cellStyle name="Normal 23 3 3" xfId="3068"/>
    <cellStyle name="Normal 23 4" xfId="3069"/>
    <cellStyle name="Normal 23 4 2" xfId="3070"/>
    <cellStyle name="Normal 23 4 3" xfId="3071"/>
    <cellStyle name="Normal 23 5" xfId="3072"/>
    <cellStyle name="Normal 23 5 2" xfId="3073"/>
    <cellStyle name="Normal 23 5 3" xfId="3074"/>
    <cellStyle name="Normal 23 6" xfId="3075"/>
    <cellStyle name="Normal 23 6 2" xfId="3076"/>
    <cellStyle name="Normal 23 6 3" xfId="3077"/>
    <cellStyle name="Normal 23 7" xfId="3078"/>
    <cellStyle name="Normal 23 7 2" xfId="3079"/>
    <cellStyle name="Normal 23 7 3" xfId="3080"/>
    <cellStyle name="Normal 230" xfId="3081"/>
    <cellStyle name="Normal 231" xfId="3082"/>
    <cellStyle name="Normal 232" xfId="3083"/>
    <cellStyle name="Normal 233" xfId="3084"/>
    <cellStyle name="Normal 234" xfId="3085"/>
    <cellStyle name="Normal 235" xfId="3086"/>
    <cellStyle name="Normal 24" xfId="3087"/>
    <cellStyle name="Normal 24 2" xfId="3088"/>
    <cellStyle name="Normal 24 2 2" xfId="3089"/>
    <cellStyle name="Normal 24 2 3" xfId="3090"/>
    <cellStyle name="Normal 24 3" xfId="3091"/>
    <cellStyle name="Normal 24 3 2" xfId="3092"/>
    <cellStyle name="Normal 24 3 3" xfId="3093"/>
    <cellStyle name="Normal 24 4" xfId="3094"/>
    <cellStyle name="Normal 24 4 2" xfId="3095"/>
    <cellStyle name="Normal 24 4 3" xfId="3096"/>
    <cellStyle name="Normal 24 5" xfId="3097"/>
    <cellStyle name="Normal 24 5 2" xfId="3098"/>
    <cellStyle name="Normal 24 5 3" xfId="3099"/>
    <cellStyle name="Normal 24 6" xfId="3100"/>
    <cellStyle name="Normal 24 6 2" xfId="3101"/>
    <cellStyle name="Normal 24 6 3" xfId="3102"/>
    <cellStyle name="Normal 24 7" xfId="3103"/>
    <cellStyle name="Normal 24 7 2" xfId="3104"/>
    <cellStyle name="Normal 24 7 3" xfId="3105"/>
    <cellStyle name="Normal 25" xfId="3106"/>
    <cellStyle name="Normal 25 2" xfId="3107"/>
    <cellStyle name="Normal 25 2 2" xfId="3108"/>
    <cellStyle name="Normal 25 2 3" xfId="3109"/>
    <cellStyle name="Normal 25 3" xfId="3110"/>
    <cellStyle name="Normal 25 3 2" xfId="3111"/>
    <cellStyle name="Normal 25 3 3" xfId="3112"/>
    <cellStyle name="Normal 25 4" xfId="3113"/>
    <cellStyle name="Normal 25 4 2" xfId="3114"/>
    <cellStyle name="Normal 25 4 3" xfId="3115"/>
    <cellStyle name="Normal 25 5" xfId="3116"/>
    <cellStyle name="Normal 25 5 2" xfId="3117"/>
    <cellStyle name="Normal 25 5 3" xfId="3118"/>
    <cellStyle name="Normal 25 6" xfId="3119"/>
    <cellStyle name="Normal 25 6 2" xfId="3120"/>
    <cellStyle name="Normal 25 6 3" xfId="3121"/>
    <cellStyle name="Normal 25 7" xfId="3122"/>
    <cellStyle name="Normal 25 7 2" xfId="3123"/>
    <cellStyle name="Normal 25 7 3" xfId="3124"/>
    <cellStyle name="Normal 26" xfId="3125"/>
    <cellStyle name="Normal 26 2" xfId="3126"/>
    <cellStyle name="Normal 27" xfId="3127"/>
    <cellStyle name="Normal 28" xfId="3128"/>
    <cellStyle name="Normal 29" xfId="3129"/>
    <cellStyle name="Normal 3" xfId="3130"/>
    <cellStyle name="Normal 3 10" xfId="3131"/>
    <cellStyle name="Normal 3 10 2" xfId="3132"/>
    <cellStyle name="Normal 3 10 3" xfId="3133"/>
    <cellStyle name="Normal 3 11" xfId="3134"/>
    <cellStyle name="Normal 3 12" xfId="3135"/>
    <cellStyle name="Normal 3 13" xfId="3136"/>
    <cellStyle name="Normal 3 14" xfId="3137"/>
    <cellStyle name="Normal 3 15" xfId="3138"/>
    <cellStyle name="Normal 3 16" xfId="3139"/>
    <cellStyle name="Normal 3 17" xfId="3140"/>
    <cellStyle name="Normal 3 18" xfId="3141"/>
    <cellStyle name="Normal 3 19" xfId="3142"/>
    <cellStyle name="Normal 3 2" xfId="3143"/>
    <cellStyle name="Normal 3 2 2" xfId="3144"/>
    <cellStyle name="Normal 3 2 2 2" xfId="3145"/>
    <cellStyle name="Normal 3 2 2 2 2" xfId="3146"/>
    <cellStyle name="Normal 3 2 2 2 3" xfId="3147"/>
    <cellStyle name="Normal 3 2 3" xfId="3148"/>
    <cellStyle name="Normal 3 2 4" xfId="3149"/>
    <cellStyle name="Normal 3 2 5" xfId="3150"/>
    <cellStyle name="Normal 3 2 6" xfId="3151"/>
    <cellStyle name="Normal 3 2 7" xfId="3152"/>
    <cellStyle name="Normal 3 2_Abstract Level-2_ Nov-2009" xfId="3153"/>
    <cellStyle name="Normal 3 3" xfId="3154"/>
    <cellStyle name="Normal 3 3 2" xfId="3155"/>
    <cellStyle name="Normal 3 3 3" xfId="3156"/>
    <cellStyle name="Normal 3 4" xfId="3157"/>
    <cellStyle name="Normal 3 4 2" xfId="3158"/>
    <cellStyle name="Normal 3 4 3" xfId="3159"/>
    <cellStyle name="Normal 3 5" xfId="3160"/>
    <cellStyle name="Normal 3 5 2" xfId="3161"/>
    <cellStyle name="Normal 3 5 3" xfId="3162"/>
    <cellStyle name="Normal 3 51" xfId="3163"/>
    <cellStyle name="Normal 3 6" xfId="3164"/>
    <cellStyle name="Normal 3 6 2" xfId="3165"/>
    <cellStyle name="Normal 3 6 2 2" xfId="3166"/>
    <cellStyle name="Normal 3 6 2 3" xfId="3167"/>
    <cellStyle name="Normal 3 7" xfId="3168"/>
    <cellStyle name="Normal 3 7 3" xfId="3169"/>
    <cellStyle name="Normal 3 8" xfId="3170"/>
    <cellStyle name="Normal 3 9" xfId="3171"/>
    <cellStyle name="Normal 3_Action plan 2011-12 Capex" xfId="3172"/>
    <cellStyle name="Normal 30" xfId="3173"/>
    <cellStyle name="Normal 31" xfId="3174"/>
    <cellStyle name="Normal 32" xfId="3175"/>
    <cellStyle name="Normal 33" xfId="3176"/>
    <cellStyle name="Normal 34" xfId="3177"/>
    <cellStyle name="Normal 35" xfId="3178"/>
    <cellStyle name="Normal 36" xfId="3179"/>
    <cellStyle name="Normal 37" xfId="3180"/>
    <cellStyle name="Normal 38" xfId="3181"/>
    <cellStyle name="Normal 39" xfId="3182"/>
    <cellStyle name="Normal 4" xfId="3183"/>
    <cellStyle name="Normal 4 10" xfId="3184"/>
    <cellStyle name="Normal 4 10 2" xfId="3185"/>
    <cellStyle name="Normal 4 10 3" xfId="3186"/>
    <cellStyle name="Normal 4 11" xfId="3187"/>
    <cellStyle name="Normal 4 12" xfId="3188"/>
    <cellStyle name="Normal 4 13" xfId="3189"/>
    <cellStyle name="Normal 4 14" xfId="3190"/>
    <cellStyle name="Normal 4 15" xfId="3191"/>
    <cellStyle name="Normal 4 16" xfId="3192"/>
    <cellStyle name="Normal 4 17" xfId="3193"/>
    <cellStyle name="Normal 4 2" xfId="3194"/>
    <cellStyle name="Normal 4 3" xfId="3195"/>
    <cellStyle name="Normal 4 3 2" xfId="3196"/>
    <cellStyle name="Normal 4 3 3" xfId="3197"/>
    <cellStyle name="Normal 4 3 3 2" xfId="3198"/>
    <cellStyle name="Normal 4 3 4" xfId="3199"/>
    <cellStyle name="Normal 4 3 5" xfId="3200"/>
    <cellStyle name="Normal 4 3_May-11 RNR WS GK Format" xfId="3201"/>
    <cellStyle name="Normal 4 4" xfId="3202"/>
    <cellStyle name="Normal 4 5" xfId="3203"/>
    <cellStyle name="Normal 4 6" xfId="3204"/>
    <cellStyle name="Normal 4 6 2" xfId="3205"/>
    <cellStyle name="Normal 4 6 2 2" xfId="3206"/>
    <cellStyle name="Normal 4 6 2 3" xfId="3207"/>
    <cellStyle name="Normal 4 6 4" xfId="3208"/>
    <cellStyle name="Normal 4 7" xfId="3209"/>
    <cellStyle name="Normal 4 7 2" xfId="3210"/>
    <cellStyle name="Normal 4 7 3" xfId="3211"/>
    <cellStyle name="Normal 4 8" xfId="3212"/>
    <cellStyle name="Normal 4 8 2" xfId="3213"/>
    <cellStyle name="Normal 4 8 3" xfId="3214"/>
    <cellStyle name="Normal 4 9" xfId="3215"/>
    <cellStyle name="Normal 4 9 2" xfId="3216"/>
    <cellStyle name="Normal 4 9 3" xfId="3217"/>
    <cellStyle name="Normal 4_circle Feb 5th Week reliability index" xfId="3218"/>
    <cellStyle name="Normal 40" xfId="3219"/>
    <cellStyle name="Normal 41" xfId="3220"/>
    <cellStyle name="Normal 42" xfId="3221"/>
    <cellStyle name="Normal 43" xfId="3222"/>
    <cellStyle name="Normal 44" xfId="3223"/>
    <cellStyle name="Normal 45" xfId="3224"/>
    <cellStyle name="Normal 46" xfId="3225"/>
    <cellStyle name="Normal 47" xfId="3226"/>
    <cellStyle name="Normal 48" xfId="3227"/>
    <cellStyle name="Normal 49" xfId="3228"/>
    <cellStyle name="Normal 5" xfId="3229"/>
    <cellStyle name="Normal 5 10" xfId="3230"/>
    <cellStyle name="Normal 5 11" xfId="3231"/>
    <cellStyle name="Normal 5 2" xfId="3232"/>
    <cellStyle name="Normal 5 2 2" xfId="3233"/>
    <cellStyle name="Normal 5 2 3" xfId="3234"/>
    <cellStyle name="Normal 5 2 4" xfId="3235"/>
    <cellStyle name="Normal 5 2 5" xfId="3236"/>
    <cellStyle name="Normal 5 2 6" xfId="3237"/>
    <cellStyle name="Normal 5 2 7" xfId="3238"/>
    <cellStyle name="Normal 5 2 8" xfId="3239"/>
    <cellStyle name="Normal 5 3" xfId="3240"/>
    <cellStyle name="Normal 5 3 2" xfId="3241"/>
    <cellStyle name="Normal 5 3 3" xfId="3242"/>
    <cellStyle name="Normal 5 3 4" xfId="3243"/>
    <cellStyle name="Normal 5 3 5" xfId="3244"/>
    <cellStyle name="Normal 5 3 6" xfId="3245"/>
    <cellStyle name="Normal 5 3 7" xfId="3246"/>
    <cellStyle name="Normal 5 3 8" xfId="3247"/>
    <cellStyle name="Normal 5 3 9" xfId="3248"/>
    <cellStyle name="Normal 5 4" xfId="3249"/>
    <cellStyle name="Normal 5 5" xfId="3250"/>
    <cellStyle name="Normal 5 6" xfId="3251"/>
    <cellStyle name="Normal 5 7" xfId="3252"/>
    <cellStyle name="Normal 5 8" xfId="3253"/>
    <cellStyle name="Normal 5 9" xfId="3254"/>
    <cellStyle name="Normal 50" xfId="3255"/>
    <cellStyle name="Normal 51" xfId="3256"/>
    <cellStyle name="Normal 51 18" xfId="3257"/>
    <cellStyle name="Normal 52" xfId="3258"/>
    <cellStyle name="Normal 53" xfId="3259"/>
    <cellStyle name="Normal 53 10" xfId="3260"/>
    <cellStyle name="Normal 54" xfId="3261"/>
    <cellStyle name="Normal 55" xfId="3262"/>
    <cellStyle name="Normal 56" xfId="3263"/>
    <cellStyle name="Normal 57" xfId="3264"/>
    <cellStyle name="Normal 57 2" xfId="3265"/>
    <cellStyle name="Normal 57 2 2" xfId="3266"/>
    <cellStyle name="Normal 57 2 3" xfId="3267"/>
    <cellStyle name="Normal 57 3" xfId="3268"/>
    <cellStyle name="Normal 57 6" xfId="3269"/>
    <cellStyle name="Normal 57_AT&amp;C LOSS March-10Hubli Zone(1)." xfId="3270"/>
    <cellStyle name="Normal 58" xfId="3271"/>
    <cellStyle name="Normal 58 2" xfId="3272"/>
    <cellStyle name="Normal 58 2 2" xfId="3273"/>
    <cellStyle name="Normal 58 2 3" xfId="3274"/>
    <cellStyle name="Normal 58 3" xfId="3275"/>
    <cellStyle name="Normal 59" xfId="3276"/>
    <cellStyle name="Normal 59 2" xfId="3277"/>
    <cellStyle name="Normal 59 2 2" xfId="3278"/>
    <cellStyle name="Normal 59 2 3" xfId="3279"/>
    <cellStyle name="Normal 59 3" xfId="3280"/>
    <cellStyle name="Normal 59 4" xfId="3281"/>
    <cellStyle name="Normal 59 5" xfId="3282"/>
    <cellStyle name="Normal 6" xfId="3283"/>
    <cellStyle name="Normal 6 10" xfId="3284"/>
    <cellStyle name="Normal 6 11" xfId="3285"/>
    <cellStyle name="Normal 6 12" xfId="3286"/>
    <cellStyle name="Normal 6 2" xfId="3287"/>
    <cellStyle name="Normal 6 3" xfId="3288"/>
    <cellStyle name="Normal 6 4" xfId="3289"/>
    <cellStyle name="Normal 6 5" xfId="3290"/>
    <cellStyle name="Normal 6 6" xfId="3291"/>
    <cellStyle name="Normal 6 7" xfId="3292"/>
    <cellStyle name="Normal 6 8" xfId="3293"/>
    <cellStyle name="Normal 6 9" xfId="3294"/>
    <cellStyle name="Normal 60" xfId="3295"/>
    <cellStyle name="Normal 60 2" xfId="3296"/>
    <cellStyle name="Normal 60 2 2" xfId="3297"/>
    <cellStyle name="Normal 60 2 3" xfId="3298"/>
    <cellStyle name="Normal 60 3" xfId="3299"/>
    <cellStyle name="Normal 60 3 2" xfId="3300"/>
    <cellStyle name="Normal 60 3 3" xfId="3301"/>
    <cellStyle name="Normal 60 4" xfId="3302"/>
    <cellStyle name="Normal 60 5" xfId="3303"/>
    <cellStyle name="Normal 60_May-11 RNR WS GK Format" xfId="3304"/>
    <cellStyle name="Normal 61" xfId="3305"/>
    <cellStyle name="Normal 61 2" xfId="3306"/>
    <cellStyle name="Normal 61 2 2" xfId="3307"/>
    <cellStyle name="Normal 61 2 3" xfId="3308"/>
    <cellStyle name="Normal 61 3" xfId="3309"/>
    <cellStyle name="Normal 61 4" xfId="3310"/>
    <cellStyle name="Normal 61 5" xfId="3311"/>
    <cellStyle name="Normal 61 6" xfId="3312"/>
    <cellStyle name="Normal 62" xfId="3313"/>
    <cellStyle name="Normal 62 2" xfId="3314"/>
    <cellStyle name="Normal 62 2 2" xfId="3315"/>
    <cellStyle name="Normal 62 2 3" xfId="3316"/>
    <cellStyle name="Normal 62 3" xfId="3317"/>
    <cellStyle name="Normal 62 4" xfId="3318"/>
    <cellStyle name="Normal 63" xfId="3319"/>
    <cellStyle name="Normal 64" xfId="3320"/>
    <cellStyle name="Normal 65" xfId="3321"/>
    <cellStyle name="Normal 65 2" xfId="3322"/>
    <cellStyle name="Normal 66" xfId="3323"/>
    <cellStyle name="Normal 66 2" xfId="3324"/>
    <cellStyle name="Normal 66 2 2" xfId="3325"/>
    <cellStyle name="Normal 66 2 3" xfId="3326"/>
    <cellStyle name="Normal 66 3" xfId="3327"/>
    <cellStyle name="Normal 66 4" xfId="3328"/>
    <cellStyle name="Normal 67" xfId="3329"/>
    <cellStyle name="Normal 67 2" xfId="3330"/>
    <cellStyle name="Normal 67 3" xfId="3331"/>
    <cellStyle name="Normal 68" xfId="3332"/>
    <cellStyle name="Normal 68 2" xfId="3333"/>
    <cellStyle name="Normal 68 3" xfId="3334"/>
    <cellStyle name="Normal 68 4" xfId="3335"/>
    <cellStyle name="Normal 69" xfId="3336"/>
    <cellStyle name="Normal 7" xfId="3337"/>
    <cellStyle name="Normal 7 10" xfId="3338"/>
    <cellStyle name="Normal 7 11" xfId="3339"/>
    <cellStyle name="Normal 7 12" xfId="3340"/>
    <cellStyle name="Normal 7 2" xfId="3341"/>
    <cellStyle name="Normal 7 2 2" xfId="3342"/>
    <cellStyle name="Normal 7 2 3" xfId="3343"/>
    <cellStyle name="Normal 7 2 4" xfId="3344"/>
    <cellStyle name="Normal 7 3" xfId="3345"/>
    <cellStyle name="Normal 7 3 2" xfId="3346"/>
    <cellStyle name="Normal 7 3 3" xfId="3347"/>
    <cellStyle name="Normal 7 4" xfId="3348"/>
    <cellStyle name="Normal 7 4 2" xfId="3349"/>
    <cellStyle name="Normal 7 4 3" xfId="3350"/>
    <cellStyle name="Normal 7 5" xfId="3351"/>
    <cellStyle name="Normal 7 6" xfId="3352"/>
    <cellStyle name="Normal 7 7" xfId="3353"/>
    <cellStyle name="Normal 7 8" xfId="3354"/>
    <cellStyle name="Normal 7 9" xfId="3355"/>
    <cellStyle name="Normal 70" xfId="3356"/>
    <cellStyle name="Normal 71" xfId="3357"/>
    <cellStyle name="Normal 71 2" xfId="3358"/>
    <cellStyle name="Normal 72" xfId="3359"/>
    <cellStyle name="Normal 73" xfId="3360"/>
    <cellStyle name="Normal 74" xfId="3361"/>
    <cellStyle name="Normal 75" xfId="3362"/>
    <cellStyle name="Normal 76" xfId="3363"/>
    <cellStyle name="Normal 77" xfId="3364"/>
    <cellStyle name="Normal 78" xfId="3365"/>
    <cellStyle name="Normal 78 2" xfId="3366"/>
    <cellStyle name="Normal 79" xfId="3367"/>
    <cellStyle name="Normal 8" xfId="3368"/>
    <cellStyle name="Normal 8 10" xfId="3369"/>
    <cellStyle name="Normal 8 11" xfId="3370"/>
    <cellStyle name="Normal 8 12" xfId="3371"/>
    <cellStyle name="Normal 8 13" xfId="3372"/>
    <cellStyle name="Normal 8 14" xfId="3373"/>
    <cellStyle name="Normal 8 15" xfId="3374"/>
    <cellStyle name="Normal 8 16" xfId="3375"/>
    <cellStyle name="Normal 8 2" xfId="3376"/>
    <cellStyle name="Normal 8 2 2" xfId="3377"/>
    <cellStyle name="Normal 8 2 2 2" xfId="3378"/>
    <cellStyle name="Normal 8 2 2 3" xfId="3379"/>
    <cellStyle name="Normal 8 3" xfId="3380"/>
    <cellStyle name="Normal 8 3 2" xfId="3381"/>
    <cellStyle name="Normal 8 3 2 2" xfId="3382"/>
    <cellStyle name="Normal 8 3 2 3" xfId="3383"/>
    <cellStyle name="Normal 8 3 3" xfId="3384"/>
    <cellStyle name="Normal 8 3 4" xfId="3385"/>
    <cellStyle name="Normal 8 3_May-11 RNR WS GK Format" xfId="3386"/>
    <cellStyle name="Normal 8 4" xfId="3387"/>
    <cellStyle name="Normal 8 5" xfId="3388"/>
    <cellStyle name="Normal 8 6" xfId="3389"/>
    <cellStyle name="Normal 8 7" xfId="3390"/>
    <cellStyle name="Normal 8 8" xfId="3391"/>
    <cellStyle name="Normal 8 9" xfId="3392"/>
    <cellStyle name="Normal 80" xfId="3393"/>
    <cellStyle name="Normal 81" xfId="3394"/>
    <cellStyle name="Normal 82" xfId="3395"/>
    <cellStyle name="Normal 83" xfId="3396"/>
    <cellStyle name="Normal 84" xfId="3397"/>
    <cellStyle name="Normal 85" xfId="3398"/>
    <cellStyle name="Normal 86" xfId="3399"/>
    <cellStyle name="Normal 87" xfId="3400"/>
    <cellStyle name="Normal 88" xfId="3401"/>
    <cellStyle name="Normal 89" xfId="3402"/>
    <cellStyle name="Normal 9" xfId="3403"/>
    <cellStyle name="Normal 9 10" xfId="3404"/>
    <cellStyle name="Normal 9 11" xfId="3405"/>
    <cellStyle name="Normal 9 12" xfId="3406"/>
    <cellStyle name="Normal 9 13" xfId="3407"/>
    <cellStyle name="Normal 9 2" xfId="3408"/>
    <cellStyle name="Normal 9 2 2" xfId="3409"/>
    <cellStyle name="Normal 9 2 3" xfId="3410"/>
    <cellStyle name="Normal 9 3" xfId="3411"/>
    <cellStyle name="Normal 9 3 2" xfId="3412"/>
    <cellStyle name="Normal 9 3 3" xfId="3413"/>
    <cellStyle name="Normal 9 4" xfId="3414"/>
    <cellStyle name="Normal 9 4 2" xfId="3415"/>
    <cellStyle name="Normal 9 4 3" xfId="3416"/>
    <cellStyle name="Normal 9 5" xfId="3417"/>
    <cellStyle name="Normal 9 6" xfId="3418"/>
    <cellStyle name="Normal 9 7" xfId="3419"/>
    <cellStyle name="Normal 9 8" xfId="3420"/>
    <cellStyle name="Normal 9 9" xfId="3421"/>
    <cellStyle name="Normal 9_May-11 RNR WS GK Format" xfId="3422"/>
    <cellStyle name="Normal 90" xfId="3423"/>
    <cellStyle name="Normal 91" xfId="3424"/>
    <cellStyle name="Normal 92" xfId="3425"/>
    <cellStyle name="Normal 92 2" xfId="3426"/>
    <cellStyle name="Normal 93" xfId="3427"/>
    <cellStyle name="Normal 94" xfId="3428"/>
    <cellStyle name="Normal 95" xfId="3429"/>
    <cellStyle name="Normal 96" xfId="3430"/>
    <cellStyle name="Normal 97" xfId="3431"/>
    <cellStyle name="Normal 98" xfId="3432"/>
    <cellStyle name="Normal 98 2" xfId="3433"/>
    <cellStyle name="Normal 99" xfId="3434"/>
    <cellStyle name="Normal 99 2" xfId="3435"/>
    <cellStyle name="Normal_R_I_April_Circle 2011" xfId="3436"/>
    <cellStyle name="Normal_R_I_April_Circle 2011 4" xfId="3712"/>
    <cellStyle name="Normal_RI District format 26.3.09" xfId="3437"/>
    <cellStyle name="Normal_RI mar-09" xfId="3713"/>
    <cellStyle name="normální_laroux" xfId="3438"/>
    <cellStyle name="Note 10" xfId="3439"/>
    <cellStyle name="Note 10 2" xfId="3440"/>
    <cellStyle name="Note 11" xfId="3441"/>
    <cellStyle name="Note 2" xfId="3442"/>
    <cellStyle name="Note 2 2" xfId="3443"/>
    <cellStyle name="Note 2 3" xfId="3444"/>
    <cellStyle name="Note 2 4" xfId="3445"/>
    <cellStyle name="Note 2 5" xfId="3446"/>
    <cellStyle name="Note 2 6" xfId="3447"/>
    <cellStyle name="Note 2 7" xfId="3448"/>
    <cellStyle name="Note 2 8" xfId="3449"/>
    <cellStyle name="Note 2_lt" xfId="3450"/>
    <cellStyle name="Note 3" xfId="3451"/>
    <cellStyle name="Note 3 2" xfId="3452"/>
    <cellStyle name="Note 3 3" xfId="3453"/>
    <cellStyle name="Note 3 4" xfId="3454"/>
    <cellStyle name="Note 3 5" xfId="3455"/>
    <cellStyle name="Note 3_lt" xfId="3456"/>
    <cellStyle name="Note 4" xfId="3457"/>
    <cellStyle name="Note 4 2" xfId="3458"/>
    <cellStyle name="Note 4 3" xfId="3459"/>
    <cellStyle name="Note 4 4" xfId="3460"/>
    <cellStyle name="Note 4 5" xfId="3461"/>
    <cellStyle name="Note 4_lt" xfId="3462"/>
    <cellStyle name="Note 5" xfId="3463"/>
    <cellStyle name="Note 6" xfId="3464"/>
    <cellStyle name="Note 7" xfId="3465"/>
    <cellStyle name="Note 8" xfId="3466"/>
    <cellStyle name="Note 9" xfId="3467"/>
    <cellStyle name="Note 9 2" xfId="3468"/>
    <cellStyle name="Œ…‹æØ‚è [0.00]_Region Orders (2)" xfId="3469"/>
    <cellStyle name="Œ…‹æØ‚è_Region Orders (2)" xfId="3470"/>
    <cellStyle name="OffSheet" xfId="3471"/>
    <cellStyle name="Output 10" xfId="3472"/>
    <cellStyle name="Output 11" xfId="3473"/>
    <cellStyle name="Output 2" xfId="3474"/>
    <cellStyle name="Output 2 2" xfId="3475"/>
    <cellStyle name="Output 2 3" xfId="3476"/>
    <cellStyle name="Output 2 4" xfId="3477"/>
    <cellStyle name="Output 2 5" xfId="3478"/>
    <cellStyle name="Output 2 6" xfId="3479"/>
    <cellStyle name="Output 2 7" xfId="3480"/>
    <cellStyle name="Output 2 8" xfId="3481"/>
    <cellStyle name="Output 2_lt" xfId="3482"/>
    <cellStyle name="Output 3" xfId="3483"/>
    <cellStyle name="Output 3 2" xfId="3484"/>
    <cellStyle name="Output 3 3" xfId="3485"/>
    <cellStyle name="Output 3 4" xfId="3486"/>
    <cellStyle name="Output 3 5" xfId="3487"/>
    <cellStyle name="Output 3_lt" xfId="3488"/>
    <cellStyle name="Output 4" xfId="3489"/>
    <cellStyle name="Output 4 2" xfId="3490"/>
    <cellStyle name="Output 4 3" xfId="3491"/>
    <cellStyle name="Output 4 4" xfId="3492"/>
    <cellStyle name="Output 4 5" xfId="3493"/>
    <cellStyle name="Output 4_lt" xfId="3494"/>
    <cellStyle name="Output 5" xfId="3495"/>
    <cellStyle name="Output 6" xfId="3496"/>
    <cellStyle name="Output 7" xfId="3497"/>
    <cellStyle name="Output 8" xfId="3498"/>
    <cellStyle name="Output 9" xfId="3499"/>
    <cellStyle name="per.style" xfId="3500"/>
    <cellStyle name="Percent [0]_#6 Temps &amp; Contractors" xfId="3501"/>
    <cellStyle name="Percent [2]" xfId="3502"/>
    <cellStyle name="Percent [2] 2" xfId="3503"/>
    <cellStyle name="Percent [2] 2 2" xfId="3504"/>
    <cellStyle name="Percent [2] 2 3" xfId="3505"/>
    <cellStyle name="Percent [2] 3" xfId="3506"/>
    <cellStyle name="Percent [2] 3 2" xfId="3507"/>
    <cellStyle name="Percent [2] 3 3" xfId="3508"/>
    <cellStyle name="Percent [2] 4" xfId="3509"/>
    <cellStyle name="Percent [2] 4 2" xfId="3510"/>
    <cellStyle name="Percent [2] 4 3" xfId="3511"/>
    <cellStyle name="Percent [2] 5" xfId="3512"/>
    <cellStyle name="Percent [2] 6" xfId="3513"/>
    <cellStyle name="Percent 10" xfId="3514"/>
    <cellStyle name="Percent 11" xfId="3515"/>
    <cellStyle name="Percent 12" xfId="3516"/>
    <cellStyle name="Percent 13" xfId="3517"/>
    <cellStyle name="Percent 2" xfId="3518"/>
    <cellStyle name="Percent 2 2" xfId="3519"/>
    <cellStyle name="Percent 2 3" xfId="3520"/>
    <cellStyle name="Percent 3" xfId="3521"/>
    <cellStyle name="Percent 4" xfId="3522"/>
    <cellStyle name="Percent 4 2" xfId="3523"/>
    <cellStyle name="Percent 5" xfId="3524"/>
    <cellStyle name="Percent 5 2" xfId="3525"/>
    <cellStyle name="Percent 6" xfId="3526"/>
    <cellStyle name="Percent 7" xfId="3527"/>
    <cellStyle name="Percent 8" xfId="3528"/>
    <cellStyle name="Percent 9" xfId="3529"/>
    <cellStyle name="Percentage" xfId="3530"/>
    <cellStyle name="Percentage 2" xfId="3531"/>
    <cellStyle name="Percentage 2 2" xfId="3532"/>
    <cellStyle name="Percentage 2 3" xfId="3533"/>
    <cellStyle name="Percentage 3" xfId="3534"/>
    <cellStyle name="Percentage 3 2" xfId="3535"/>
    <cellStyle name="Percentage 3 3" xfId="3536"/>
    <cellStyle name="Percentage 4" xfId="3537"/>
    <cellStyle name="Percentage 4 2" xfId="3538"/>
    <cellStyle name="Percentage 4 3" xfId="3539"/>
    <cellStyle name="Percentage 5" xfId="3540"/>
    <cellStyle name="Percentage 6" xfId="3541"/>
    <cellStyle name="Popis" xfId="3542"/>
    <cellStyle name="pricing" xfId="3543"/>
    <cellStyle name="Prosent_Ark1" xfId="3544"/>
    <cellStyle name="PSChar" xfId="3545"/>
    <cellStyle name="PSChar 2" xfId="3546"/>
    <cellStyle name="PSChar 3" xfId="3547"/>
    <cellStyle name="PSChar 4" xfId="3548"/>
    <cellStyle name="PSChar 5" xfId="3549"/>
    <cellStyle name="PSChar 6" xfId="3550"/>
    <cellStyle name="Query" xfId="3551"/>
    <cellStyle name="Ratio" xfId="3552"/>
    <cellStyle name="Ratio 2" xfId="3553"/>
    <cellStyle name="Ratio 2 2" xfId="3554"/>
    <cellStyle name="Ratio 2 3" xfId="3555"/>
    <cellStyle name="Ratio 3" xfId="3556"/>
    <cellStyle name="Ratio 3 2" xfId="3557"/>
    <cellStyle name="Ratio 3 3" xfId="3558"/>
    <cellStyle name="Ratio 4" xfId="3559"/>
    <cellStyle name="Ratio 4 2" xfId="3560"/>
    <cellStyle name="Ratio 4 3" xfId="3561"/>
    <cellStyle name="Ratio 5" xfId="3562"/>
    <cellStyle name="Ratio 6" xfId="3563"/>
    <cellStyle name="RevList" xfId="3564"/>
    <cellStyle name="RevList 2" xfId="3565"/>
    <cellStyle name="RevList 2 2" xfId="3566"/>
    <cellStyle name="RevList 2 3" xfId="3567"/>
    <cellStyle name="RevList 3" xfId="3568"/>
    <cellStyle name="RevList 3 2" xfId="3569"/>
    <cellStyle name="RevList 3 3" xfId="3570"/>
    <cellStyle name="RevList 4" xfId="3571"/>
    <cellStyle name="RevList 4 2" xfId="3572"/>
    <cellStyle name="RevList 4 3" xfId="3573"/>
    <cellStyle name="RevList 5" xfId="3574"/>
    <cellStyle name="RevList 6" xfId="3575"/>
    <cellStyle name="Rs." xfId="3576"/>
    <cellStyle name="SheetHeader1" xfId="3577"/>
    <cellStyle name="SheetHeader2" xfId="3578"/>
    <cellStyle name="SheetHeader3" xfId="3579"/>
    <cellStyle name="Sledovaný hypertextový odkaz" xfId="3580"/>
    <cellStyle name="Standard_BS14" xfId="3581"/>
    <cellStyle name="Style 1" xfId="3582"/>
    <cellStyle name="Style 1 2" xfId="3583"/>
    <cellStyle name="Style 1 2 2" xfId="3584"/>
    <cellStyle name="Style 1 3" xfId="3585"/>
    <cellStyle name="Style 1 4" xfId="3586"/>
    <cellStyle name="Style 1 5" xfId="3587"/>
    <cellStyle name="Style 1_ATC  FY-2010 to 2011 of Kolar Division" xfId="3588"/>
    <cellStyle name="Style 2" xfId="3589"/>
    <cellStyle name="Subtotal" xfId="3590"/>
    <cellStyle name="Table Heading 3" xfId="3591"/>
    <cellStyle name="Table Total" xfId="3592"/>
    <cellStyle name="Table_Heading" xfId="3593"/>
    <cellStyle name="Technical_Input" xfId="3594"/>
    <cellStyle name="Times New Roman" xfId="3595"/>
    <cellStyle name="Title 10" xfId="3596"/>
    <cellStyle name="Title 11" xfId="3597"/>
    <cellStyle name="Title 2" xfId="3598"/>
    <cellStyle name="Title 2 2" xfId="3599"/>
    <cellStyle name="Title 2 3" xfId="3600"/>
    <cellStyle name="Title 2 4" xfId="3601"/>
    <cellStyle name="Title 2 5" xfId="3602"/>
    <cellStyle name="Title 2 6" xfId="3603"/>
    <cellStyle name="Title 2 7" xfId="3604"/>
    <cellStyle name="Title 2 8" xfId="3605"/>
    <cellStyle name="Title 3" xfId="3606"/>
    <cellStyle name="Title 3 2" xfId="3607"/>
    <cellStyle name="Title 3 3" xfId="3608"/>
    <cellStyle name="Title 3 4" xfId="3609"/>
    <cellStyle name="Title 3 5" xfId="3610"/>
    <cellStyle name="Title 4" xfId="3611"/>
    <cellStyle name="Title 4 2" xfId="3612"/>
    <cellStyle name="Title 4 3" xfId="3613"/>
    <cellStyle name="Title 4 4" xfId="3614"/>
    <cellStyle name="Title 4 5" xfId="3615"/>
    <cellStyle name="Title 5" xfId="3616"/>
    <cellStyle name="Title 6" xfId="3617"/>
    <cellStyle name="Title 7" xfId="3618"/>
    <cellStyle name="Title 8" xfId="3619"/>
    <cellStyle name="Title 9" xfId="3620"/>
    <cellStyle name="Total 10" xfId="3621"/>
    <cellStyle name="Total 11" xfId="3622"/>
    <cellStyle name="Total 2" xfId="3623"/>
    <cellStyle name="Total 2 2" xfId="3624"/>
    <cellStyle name="Total 2 3" xfId="3625"/>
    <cellStyle name="Total 2 4" xfId="3626"/>
    <cellStyle name="Total 2 5" xfId="3627"/>
    <cellStyle name="Total 2 6" xfId="3628"/>
    <cellStyle name="Total 2 7" xfId="3629"/>
    <cellStyle name="Total 2 8" xfId="3630"/>
    <cellStyle name="Total 2_hyr" xfId="3631"/>
    <cellStyle name="Total 3" xfId="3632"/>
    <cellStyle name="Total 3 2" xfId="3633"/>
    <cellStyle name="Total 3 3" xfId="3634"/>
    <cellStyle name="Total 3 4" xfId="3635"/>
    <cellStyle name="Total 3 5" xfId="3636"/>
    <cellStyle name="Total 3_hyr" xfId="3637"/>
    <cellStyle name="Total 4" xfId="3638"/>
    <cellStyle name="Total 4 2" xfId="3639"/>
    <cellStyle name="Total 4 3" xfId="3640"/>
    <cellStyle name="Total 4 4" xfId="3641"/>
    <cellStyle name="Total 4 5" xfId="3642"/>
    <cellStyle name="Total 4_hyr" xfId="3643"/>
    <cellStyle name="Total 5" xfId="3644"/>
    <cellStyle name="Total 6" xfId="3645"/>
    <cellStyle name="Total 7" xfId="3646"/>
    <cellStyle name="Total 8" xfId="3647"/>
    <cellStyle name="Total 9" xfId="3648"/>
    <cellStyle name="Tusenskille [0]_Ark1" xfId="3649"/>
    <cellStyle name="Tusenskille_Ark1" xfId="3650"/>
    <cellStyle name="Tusental (0)_pldt" xfId="3651"/>
    <cellStyle name="Tusental_pldt" xfId="3652"/>
    <cellStyle name="unit" xfId="3653"/>
    <cellStyle name="Valuta (0)_pldt" xfId="3654"/>
    <cellStyle name="Valuta [0]_Ark1" xfId="3655"/>
    <cellStyle name="Valuta_Ark1" xfId="3656"/>
    <cellStyle name="Warning Text 10" xfId="3657"/>
    <cellStyle name="Warning Text 11" xfId="3658"/>
    <cellStyle name="Warning Text 2" xfId="3659"/>
    <cellStyle name="Warning Text 2 2" xfId="3660"/>
    <cellStyle name="Warning Text 2 3" xfId="3661"/>
    <cellStyle name="Warning Text 2 4" xfId="3662"/>
    <cellStyle name="Warning Text 2 5" xfId="3663"/>
    <cellStyle name="Warning Text 2 6" xfId="3664"/>
    <cellStyle name="Warning Text 2 7" xfId="3665"/>
    <cellStyle name="Warning Text 2 8" xfId="3666"/>
    <cellStyle name="Warning Text 3" xfId="3667"/>
    <cellStyle name="Warning Text 3 2" xfId="3668"/>
    <cellStyle name="Warning Text 3 3" xfId="3669"/>
    <cellStyle name="Warning Text 3 4" xfId="3670"/>
    <cellStyle name="Warning Text 3 5" xfId="3671"/>
    <cellStyle name="Warning Text 4" xfId="3672"/>
    <cellStyle name="Warning Text 4 2" xfId="3673"/>
    <cellStyle name="Warning Text 4 3" xfId="3674"/>
    <cellStyle name="Warning Text 4 4" xfId="3675"/>
    <cellStyle name="Warning Text 4 5" xfId="3676"/>
    <cellStyle name="Warning Text 5" xfId="3677"/>
    <cellStyle name="Warning Text 6" xfId="3678"/>
    <cellStyle name="Warning Text 7" xfId="3679"/>
    <cellStyle name="Warning Text 8" xfId="3680"/>
    <cellStyle name="Warning Text 9" xfId="3681"/>
    <cellStyle name="WIP" xfId="3682"/>
    <cellStyle name="अच्छा" xfId="3683"/>
    <cellStyle name="आउटपुट" xfId="3684"/>
    <cellStyle name="इनपुट" xfId="3685"/>
    <cellStyle name="एक्सेंट1" xfId="3686"/>
    <cellStyle name="एक्सेंट2" xfId="3687"/>
    <cellStyle name="एक्सेंट3" xfId="3688"/>
    <cellStyle name="एक्सेंट4" xfId="3689"/>
    <cellStyle name="एक्सेंट5" xfId="3690"/>
    <cellStyle name="एक्सेंट6" xfId="3691"/>
    <cellStyle name="कक्ष जाँचें" xfId="3692"/>
    <cellStyle name="कुल" xfId="3693"/>
    <cellStyle name="चेतावनी पाठ" xfId="3694"/>
    <cellStyle name="नोट" xfId="3695"/>
    <cellStyle name="न्यूट्रल" xfId="3696"/>
    <cellStyle name="परिकलन" xfId="3697"/>
    <cellStyle name="बुरा" xfId="3698"/>
    <cellStyle name="लिंक्ड कक्ष" xfId="3699"/>
    <cellStyle name="व्याख्यात्मक पाठ" xfId="3700"/>
    <cellStyle name="शीर्ष 1" xfId="3701"/>
    <cellStyle name="शीर्ष 2" xfId="3702"/>
    <cellStyle name="शीर्ष 3" xfId="3703"/>
    <cellStyle name="शीर्ष 4" xfId="3704"/>
    <cellStyle name="शीर्षक" xfId="3705"/>
    <cellStyle name="साधारण 2" xfId="3706"/>
    <cellStyle name="콤마 [0]_PLDT" xfId="3707"/>
    <cellStyle name="콤마_PLDT" xfId="3708"/>
    <cellStyle name="통화 [0]_PLDT" xfId="3709"/>
    <cellStyle name="통화_PLDT" xfId="3710"/>
    <cellStyle name="표준_PLDT" xfId="3711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laita-\C\Documents%20and%20Settings\Lalitha1\My%20Documents\Malathi\Realibility%20Index\Vital%20Stats%20for%20SEE\Jahnavi\Statistics%20(Technical)\STATS-INST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a/Downloads/April-12%20bra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erations/Downloads/RI%20FY%2016-17%20Dec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annada"/>
      <sheetName val="INSTALLATIONS-99-00"/>
      <sheetName val="INSTALLATIONS-00-01"/>
      <sheetName val="INSTALLATIONS-01-0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 I"/>
      <sheetName val="Annexure II"/>
      <sheetName val="Annexure III"/>
    </sheetNames>
    <sheetDataSet>
      <sheetData sheetId="0"/>
      <sheetData sheetId="1">
        <row r="7">
          <cell r="B7" t="str">
            <v>Anekal</v>
          </cell>
        </row>
        <row r="8">
          <cell r="B8" t="str">
            <v>Devanahalli</v>
          </cell>
        </row>
        <row r="9">
          <cell r="B9" t="str">
            <v>Hosakote</v>
          </cell>
        </row>
        <row r="10">
          <cell r="B10" t="str">
            <v>Nelamangala</v>
          </cell>
        </row>
        <row r="11">
          <cell r="B11" t="str">
            <v>Doddaballapura</v>
          </cell>
        </row>
        <row r="12">
          <cell r="B12" t="str">
            <v>Magadi</v>
          </cell>
        </row>
        <row r="13">
          <cell r="B13" t="str">
            <v>Ramanagara</v>
          </cell>
        </row>
        <row r="14">
          <cell r="B14" t="str">
            <v>Channapatna</v>
          </cell>
        </row>
        <row r="15">
          <cell r="B15" t="str">
            <v>Kanakapura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 ANX I"/>
      <sheetName val="APR ANXII"/>
      <sheetName val="APR ANXIII"/>
      <sheetName val="APR ANX I Signed copy"/>
      <sheetName val="APR ANXIII DIVISION"/>
      <sheetName val="MAY ANX I Signed copy "/>
      <sheetName val="MAY ANXII ref"/>
      <sheetName val="MAY ANX I "/>
      <sheetName val="MAY ANXII "/>
      <sheetName val="MAY ANXIII"/>
      <sheetName val="June ANX I  "/>
      <sheetName val="June ANXII"/>
      <sheetName val="June ANXIII"/>
      <sheetName val="July ANX I "/>
      <sheetName val="July ANXII"/>
      <sheetName val="July ANXIII"/>
      <sheetName val="Aug ANX I  "/>
      <sheetName val="Aug ANXII"/>
      <sheetName val="Aug ANXIII "/>
      <sheetName val="Sheet1"/>
      <sheetName val="Sep ANX I   "/>
      <sheetName val="Sep ANXII"/>
      <sheetName val="Sep ANXIII "/>
      <sheetName val="Oct ANX I    "/>
      <sheetName val="oct ANX II "/>
      <sheetName val="oct ANX III "/>
      <sheetName val="Nov ANX I "/>
      <sheetName val="Nov ANX II"/>
      <sheetName val="Nov ANX III "/>
      <sheetName val="DEC ANX I  "/>
      <sheetName val=" DEC ANX II "/>
      <sheetName val="DEC ANX III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8">
          <cell r="F8">
            <v>1296.21</v>
          </cell>
        </row>
        <row r="9">
          <cell r="F9">
            <v>678.86999999999989</v>
          </cell>
        </row>
        <row r="10">
          <cell r="F10">
            <v>1194.81</v>
          </cell>
        </row>
        <row r="11">
          <cell r="F11">
            <v>359.04187282950375</v>
          </cell>
        </row>
        <row r="12">
          <cell r="F12">
            <v>768.6</v>
          </cell>
        </row>
        <row r="13">
          <cell r="F13">
            <v>755.44999999999993</v>
          </cell>
        </row>
        <row r="14">
          <cell r="F14">
            <v>629.41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view="pageBreakPreview" zoomScale="60" workbookViewId="0">
      <selection activeCell="I34" activeCellId="1" sqref="I34 L36"/>
    </sheetView>
  </sheetViews>
  <sheetFormatPr defaultRowHeight="15"/>
  <cols>
    <col min="1" max="1" width="3.85546875" style="84" customWidth="1"/>
    <col min="2" max="2" width="19.140625" style="84" customWidth="1"/>
    <col min="3" max="3" width="9.5703125" style="84" customWidth="1"/>
    <col min="4" max="4" width="9.42578125" style="84" customWidth="1"/>
    <col min="5" max="5" width="12.42578125" style="84" customWidth="1"/>
    <col min="6" max="6" width="13.85546875" style="84" customWidth="1"/>
    <col min="7" max="7" width="17.42578125" style="84" customWidth="1"/>
    <col min="8" max="8" width="13" style="84" customWidth="1"/>
    <col min="9" max="9" width="14.28515625" style="84" customWidth="1"/>
    <col min="10" max="10" width="14.42578125" style="84" customWidth="1"/>
    <col min="11" max="11" width="12.140625" style="84" customWidth="1"/>
    <col min="12" max="12" width="9.5703125" style="84" customWidth="1"/>
    <col min="13" max="13" width="13.42578125" style="84" customWidth="1"/>
    <col min="14" max="14" width="14.5703125" style="84" customWidth="1"/>
    <col min="15" max="15" width="16.42578125" style="84" customWidth="1"/>
    <col min="16" max="16" width="15.7109375" style="84" customWidth="1"/>
    <col min="17" max="17" width="15.140625" style="84" customWidth="1"/>
    <col min="18" max="18" width="13.140625" style="84" hidden="1" customWidth="1"/>
    <col min="19" max="21" width="9.140625" style="84"/>
    <col min="22" max="22" width="12.28515625" style="84" customWidth="1"/>
    <col min="23" max="16384" width="9.140625" style="84"/>
  </cols>
  <sheetData>
    <row r="1" spans="1:25" s="80" customFormat="1" ht="36" customHeight="1">
      <c r="A1" s="824" t="s">
        <v>0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  <c r="L1" s="824"/>
      <c r="M1" s="824"/>
      <c r="N1" s="824"/>
      <c r="O1" s="824"/>
      <c r="P1" s="824"/>
      <c r="Q1" s="824"/>
      <c r="V1" s="81">
        <v>41730</v>
      </c>
      <c r="W1" s="82">
        <v>30</v>
      </c>
      <c r="X1" s="82">
        <f t="shared" ref="X1:X11" si="0">SUM(W1)</f>
        <v>30</v>
      </c>
      <c r="Y1" s="83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85">
        <v>41760</v>
      </c>
      <c r="W2" s="86">
        <v>31</v>
      </c>
      <c r="X2" s="86">
        <f t="shared" si="0"/>
        <v>31</v>
      </c>
      <c r="Y2" s="87"/>
    </row>
    <row r="3" spans="1:25" ht="18" customHeight="1">
      <c r="A3" s="826" t="s">
        <v>81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85">
        <v>41791</v>
      </c>
      <c r="W3" s="86">
        <v>30</v>
      </c>
      <c r="X3" s="86">
        <f t="shared" si="0"/>
        <v>30</v>
      </c>
      <c r="Y3" s="87"/>
    </row>
    <row r="4" spans="1:25" ht="15" customHeight="1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85">
        <v>41821</v>
      </c>
      <c r="W4" s="86">
        <v>31</v>
      </c>
      <c r="X4" s="86">
        <f t="shared" si="0"/>
        <v>31</v>
      </c>
      <c r="Y4" s="87"/>
    </row>
    <row r="5" spans="1:25" s="88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23" t="s">
        <v>82</v>
      </c>
      <c r="K5" s="823"/>
      <c r="L5" s="823"/>
      <c r="M5" s="823"/>
      <c r="N5" s="823" t="s">
        <v>84</v>
      </c>
      <c r="O5" s="823"/>
      <c r="P5" s="823"/>
      <c r="Q5" s="823"/>
      <c r="V5" s="81">
        <v>41852</v>
      </c>
      <c r="W5" s="82">
        <v>31</v>
      </c>
      <c r="X5" s="82">
        <f t="shared" si="0"/>
        <v>31</v>
      </c>
      <c r="Y5" s="89"/>
    </row>
    <row r="6" spans="1:25" s="90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75" t="s">
        <v>11</v>
      </c>
      <c r="J6" s="75" t="s">
        <v>12</v>
      </c>
      <c r="K6" s="75" t="s">
        <v>13</v>
      </c>
      <c r="L6" s="75" t="s">
        <v>86</v>
      </c>
      <c r="M6" s="75" t="s">
        <v>14</v>
      </c>
      <c r="N6" s="75" t="s">
        <v>15</v>
      </c>
      <c r="O6" s="75" t="s">
        <v>16</v>
      </c>
      <c r="P6" s="75" t="s">
        <v>17</v>
      </c>
      <c r="Q6" s="75" t="s">
        <v>18</v>
      </c>
      <c r="V6" s="81">
        <v>41883</v>
      </c>
      <c r="W6" s="82">
        <v>30</v>
      </c>
      <c r="X6" s="82">
        <f t="shared" si="0"/>
        <v>30</v>
      </c>
      <c r="Y6" s="83"/>
    </row>
    <row r="7" spans="1:25" s="93" customFormat="1" ht="24" customHeight="1">
      <c r="A7" s="91">
        <v>1</v>
      </c>
      <c r="B7" s="91">
        <v>2</v>
      </c>
      <c r="C7" s="91">
        <v>3</v>
      </c>
      <c r="D7" s="91">
        <v>4</v>
      </c>
      <c r="E7" s="91">
        <v>5</v>
      </c>
      <c r="F7" s="91" t="s">
        <v>19</v>
      </c>
      <c r="G7" s="91">
        <v>6</v>
      </c>
      <c r="H7" s="91">
        <v>7</v>
      </c>
      <c r="I7" s="91" t="s">
        <v>20</v>
      </c>
      <c r="J7" s="91" t="s">
        <v>21</v>
      </c>
      <c r="K7" s="92" t="s">
        <v>22</v>
      </c>
      <c r="L7" s="91" t="s">
        <v>23</v>
      </c>
      <c r="M7" s="91" t="s">
        <v>24</v>
      </c>
      <c r="N7" s="91">
        <v>13</v>
      </c>
      <c r="O7" s="91" t="s">
        <v>64</v>
      </c>
      <c r="P7" s="91">
        <v>15</v>
      </c>
      <c r="Q7" s="91">
        <v>16</v>
      </c>
      <c r="V7" s="85">
        <v>41913</v>
      </c>
      <c r="W7" s="86">
        <v>31</v>
      </c>
      <c r="X7" s="86">
        <f t="shared" si="0"/>
        <v>31</v>
      </c>
      <c r="Y7" s="94"/>
    </row>
    <row r="8" spans="1:25" s="98" customFormat="1" ht="42" customHeight="1">
      <c r="A8" s="78">
        <v>1</v>
      </c>
      <c r="B8" s="73" t="s">
        <v>26</v>
      </c>
      <c r="C8" s="61">
        <v>33</v>
      </c>
      <c r="D8" s="61">
        <v>31</v>
      </c>
      <c r="E8" s="62">
        <v>1.05</v>
      </c>
      <c r="F8" s="62">
        <v>1.05</v>
      </c>
      <c r="G8" s="62">
        <v>193.64000000000001</v>
      </c>
      <c r="H8" s="62">
        <v>33.540000000000006</v>
      </c>
      <c r="I8" s="63">
        <v>227.18</v>
      </c>
      <c r="J8" s="63">
        <v>228.23000000000002</v>
      </c>
      <c r="K8" s="63">
        <v>6.9160606060606069</v>
      </c>
      <c r="L8" s="64">
        <v>99.043855218855214</v>
      </c>
      <c r="M8" s="64">
        <v>99.039436026936031</v>
      </c>
      <c r="N8" s="63">
        <v>228.23000000000002</v>
      </c>
      <c r="O8" s="64">
        <v>6.9160606060606069</v>
      </c>
      <c r="P8" s="64">
        <v>99.043855218855214</v>
      </c>
      <c r="Q8" s="64">
        <v>99.039436026936031</v>
      </c>
      <c r="R8" s="95"/>
      <c r="S8" s="97">
        <f>L8-P8</f>
        <v>0</v>
      </c>
      <c r="T8" s="97">
        <f>M8-Q8</f>
        <v>0</v>
      </c>
      <c r="V8" s="99">
        <v>41944</v>
      </c>
      <c r="W8" s="100">
        <v>30</v>
      </c>
      <c r="X8" s="100">
        <f t="shared" si="0"/>
        <v>30</v>
      </c>
      <c r="Y8" s="101"/>
    </row>
    <row r="9" spans="1:25" s="98" customFormat="1" ht="42" customHeight="1">
      <c r="A9" s="78">
        <v>2</v>
      </c>
      <c r="B9" s="73" t="s">
        <v>27</v>
      </c>
      <c r="C9" s="65">
        <v>11</v>
      </c>
      <c r="D9" s="65">
        <v>11</v>
      </c>
      <c r="E9" s="62">
        <v>1.5</v>
      </c>
      <c r="F9" s="62">
        <v>1.5</v>
      </c>
      <c r="G9" s="62">
        <v>203.9</v>
      </c>
      <c r="H9" s="62">
        <v>157.69999999999999</v>
      </c>
      <c r="I9" s="63">
        <v>361.6</v>
      </c>
      <c r="J9" s="63">
        <v>363.1</v>
      </c>
      <c r="K9" s="63">
        <v>33.009090909090908</v>
      </c>
      <c r="L9" s="64">
        <v>95.434343434343432</v>
      </c>
      <c r="M9" s="64">
        <v>95.415404040404042</v>
      </c>
      <c r="N9" s="63">
        <v>363.1</v>
      </c>
      <c r="O9" s="64">
        <v>33.009090909090908</v>
      </c>
      <c r="P9" s="64">
        <v>95.434343434343432</v>
      </c>
      <c r="Q9" s="64">
        <v>95.415404040404042</v>
      </c>
      <c r="R9" s="95"/>
      <c r="S9" s="97">
        <f t="shared" ref="S9:T14" si="1">L9-P9</f>
        <v>0</v>
      </c>
      <c r="T9" s="97">
        <f t="shared" si="1"/>
        <v>0</v>
      </c>
      <c r="V9" s="99">
        <v>41974</v>
      </c>
      <c r="W9" s="100">
        <v>31</v>
      </c>
      <c r="X9" s="100">
        <f t="shared" si="0"/>
        <v>31</v>
      </c>
      <c r="Y9" s="101"/>
    </row>
    <row r="10" spans="1:25" s="102" customFormat="1" ht="42" customHeight="1">
      <c r="A10" s="78">
        <v>3</v>
      </c>
      <c r="B10" s="73" t="s">
        <v>28</v>
      </c>
      <c r="C10" s="66">
        <v>30</v>
      </c>
      <c r="D10" s="66">
        <v>30</v>
      </c>
      <c r="E10" s="64">
        <v>15</v>
      </c>
      <c r="F10" s="62">
        <v>15</v>
      </c>
      <c r="G10" s="64">
        <v>367</v>
      </c>
      <c r="H10" s="64">
        <v>190</v>
      </c>
      <c r="I10" s="63">
        <v>557</v>
      </c>
      <c r="J10" s="63">
        <v>572</v>
      </c>
      <c r="K10" s="63">
        <v>19.066666666666666</v>
      </c>
      <c r="L10" s="64">
        <v>97.421296296296291</v>
      </c>
      <c r="M10" s="64">
        <v>97.351851851851848</v>
      </c>
      <c r="N10" s="63">
        <v>572</v>
      </c>
      <c r="O10" s="64">
        <v>19.066666666666666</v>
      </c>
      <c r="P10" s="64">
        <v>97.421296296296291</v>
      </c>
      <c r="Q10" s="64">
        <v>97.351851851851848</v>
      </c>
      <c r="R10" s="96"/>
      <c r="S10" s="97">
        <f t="shared" si="1"/>
        <v>0</v>
      </c>
      <c r="T10" s="97">
        <f t="shared" si="1"/>
        <v>0</v>
      </c>
      <c r="V10" s="85">
        <v>41640</v>
      </c>
      <c r="W10" s="86">
        <v>31</v>
      </c>
      <c r="X10" s="86">
        <f t="shared" si="0"/>
        <v>31</v>
      </c>
      <c r="Y10" s="103"/>
    </row>
    <row r="11" spans="1:25" s="105" customFormat="1" ht="42" customHeight="1">
      <c r="A11" s="79">
        <v>4</v>
      </c>
      <c r="B11" s="74" t="s">
        <v>29</v>
      </c>
      <c r="C11" s="67">
        <v>1312</v>
      </c>
      <c r="D11" s="67">
        <v>1144</v>
      </c>
      <c r="E11" s="68">
        <v>400.54</v>
      </c>
      <c r="F11" s="62">
        <v>400.54</v>
      </c>
      <c r="G11" s="68">
        <v>14669.53</v>
      </c>
      <c r="H11" s="68">
        <v>4754.1099999999997</v>
      </c>
      <c r="I11" s="69">
        <v>19423.64</v>
      </c>
      <c r="J11" s="69">
        <v>19824.18</v>
      </c>
      <c r="K11" s="69">
        <v>15.109893292682926</v>
      </c>
      <c r="L11" s="68">
        <v>97.943805047425471</v>
      </c>
      <c r="M11" s="64">
        <v>97.901403709349594</v>
      </c>
      <c r="N11" s="69">
        <v>19824.18</v>
      </c>
      <c r="O11" s="68">
        <v>15.109893292682926</v>
      </c>
      <c r="P11" s="64">
        <v>97.943805047425471</v>
      </c>
      <c r="Q11" s="64">
        <v>97.901403709349594</v>
      </c>
      <c r="R11" s="104"/>
      <c r="S11" s="97">
        <f t="shared" si="1"/>
        <v>0</v>
      </c>
      <c r="T11" s="97">
        <f t="shared" si="1"/>
        <v>0</v>
      </c>
      <c r="V11" s="106">
        <v>41671</v>
      </c>
      <c r="W11" s="107">
        <v>29</v>
      </c>
      <c r="X11" s="107">
        <f t="shared" si="0"/>
        <v>29</v>
      </c>
      <c r="Y11" s="108"/>
    </row>
    <row r="12" spans="1:25" s="109" customFormat="1" ht="42" customHeight="1">
      <c r="A12" s="78">
        <v>5</v>
      </c>
      <c r="B12" s="74" t="s">
        <v>32</v>
      </c>
      <c r="C12" s="70">
        <v>4</v>
      </c>
      <c r="D12" s="70">
        <v>4</v>
      </c>
      <c r="E12" s="70">
        <v>13.08</v>
      </c>
      <c r="F12" s="62">
        <v>13.08</v>
      </c>
      <c r="G12" s="64">
        <v>21.95</v>
      </c>
      <c r="H12" s="64">
        <v>21.749999999999996</v>
      </c>
      <c r="I12" s="63">
        <v>43.699999999999996</v>
      </c>
      <c r="J12" s="63">
        <v>56.779999999999994</v>
      </c>
      <c r="K12" s="63">
        <v>14.194999999999999</v>
      </c>
      <c r="L12" s="64">
        <v>98.482638888888886</v>
      </c>
      <c r="M12" s="64">
        <v>98.02847222222222</v>
      </c>
      <c r="N12" s="63">
        <v>56.779999999999994</v>
      </c>
      <c r="O12" s="64">
        <v>14.194999999999999</v>
      </c>
      <c r="P12" s="64">
        <v>98.482638888888886</v>
      </c>
      <c r="Q12" s="64">
        <v>98.02847222222222</v>
      </c>
      <c r="R12" s="96"/>
      <c r="S12" s="97">
        <f t="shared" si="1"/>
        <v>0</v>
      </c>
      <c r="T12" s="97">
        <f t="shared" si="1"/>
        <v>0</v>
      </c>
      <c r="V12" s="85">
        <v>41699</v>
      </c>
      <c r="W12" s="86">
        <v>31</v>
      </c>
      <c r="X12" s="86">
        <v>31</v>
      </c>
      <c r="Y12" s="110"/>
    </row>
    <row r="13" spans="1:25" s="109" customFormat="1" ht="42" customHeight="1">
      <c r="A13" s="78">
        <v>6</v>
      </c>
      <c r="B13" s="74" t="s">
        <v>30</v>
      </c>
      <c r="C13" s="66">
        <v>12</v>
      </c>
      <c r="D13" s="66">
        <v>12</v>
      </c>
      <c r="E13" s="64">
        <v>13.59</v>
      </c>
      <c r="F13" s="62">
        <v>13.59</v>
      </c>
      <c r="G13" s="64">
        <v>64.08</v>
      </c>
      <c r="H13" s="64">
        <v>50.2</v>
      </c>
      <c r="I13" s="63">
        <v>114.28</v>
      </c>
      <c r="J13" s="63">
        <v>127.87</v>
      </c>
      <c r="K13" s="63">
        <v>10.655833333333334</v>
      </c>
      <c r="L13" s="64">
        <v>98.677314814814807</v>
      </c>
      <c r="M13" s="64">
        <v>98.520023148148141</v>
      </c>
      <c r="N13" s="63">
        <v>127.87</v>
      </c>
      <c r="O13" s="64">
        <v>10.655833333333334</v>
      </c>
      <c r="P13" s="64">
        <v>98.677314814814807</v>
      </c>
      <c r="Q13" s="64">
        <v>98.520023148148141</v>
      </c>
      <c r="R13" s="96"/>
      <c r="S13" s="97">
        <f>L14-P14</f>
        <v>0</v>
      </c>
      <c r="T13" s="97">
        <f>M14-Q14</f>
        <v>0</v>
      </c>
      <c r="V13" s="86"/>
      <c r="W13" s="86">
        <f>SUM(W1:W12)</f>
        <v>366</v>
      </c>
      <c r="X13" s="86">
        <f>SUM(W14)</f>
        <v>0</v>
      </c>
      <c r="Y13" s="110"/>
    </row>
    <row r="14" spans="1:25" s="109" customFormat="1" ht="42" customHeight="1">
      <c r="A14" s="78">
        <v>7</v>
      </c>
      <c r="B14" s="74" t="s">
        <v>31</v>
      </c>
      <c r="C14" s="71">
        <v>12</v>
      </c>
      <c r="D14" s="71">
        <v>12</v>
      </c>
      <c r="E14" s="72">
        <v>12.2</v>
      </c>
      <c r="F14" s="62">
        <v>12.2</v>
      </c>
      <c r="G14" s="72">
        <v>90.32</v>
      </c>
      <c r="H14" s="72">
        <v>46.17</v>
      </c>
      <c r="I14" s="63">
        <v>136.49</v>
      </c>
      <c r="J14" s="63">
        <v>148.69</v>
      </c>
      <c r="K14" s="63">
        <v>12.390833333333333</v>
      </c>
      <c r="L14" s="64">
        <v>98.420254629629625</v>
      </c>
      <c r="M14" s="64">
        <v>98.27905092592593</v>
      </c>
      <c r="N14" s="63">
        <v>148.69</v>
      </c>
      <c r="O14" s="64">
        <v>12.390833333333333</v>
      </c>
      <c r="P14" s="64">
        <v>98.420254629629625</v>
      </c>
      <c r="Q14" s="64">
        <v>98.27905092592593</v>
      </c>
      <c r="R14" s="111"/>
      <c r="S14" s="97">
        <f t="shared" si="1"/>
        <v>0</v>
      </c>
      <c r="T14" s="97">
        <f t="shared" si="1"/>
        <v>0</v>
      </c>
      <c r="V14" s="110"/>
      <c r="W14" s="110"/>
      <c r="X14" s="110"/>
      <c r="Y14" s="110"/>
    </row>
    <row r="18" spans="1:17" ht="18">
      <c r="A18" s="112"/>
      <c r="B18" s="113"/>
      <c r="C18" s="113"/>
      <c r="D18" s="114"/>
      <c r="E18" s="115"/>
      <c r="F18" s="114"/>
      <c r="G18" s="114"/>
      <c r="H18" s="116"/>
      <c r="I18" s="116"/>
      <c r="J18" s="116"/>
      <c r="K18" s="117"/>
      <c r="L18" s="117"/>
      <c r="M18" s="116"/>
      <c r="N18" s="117"/>
      <c r="O18" s="117"/>
      <c r="P18" s="117"/>
    </row>
    <row r="19" spans="1:17" ht="18" customHeight="1">
      <c r="A19" s="819" t="s">
        <v>67</v>
      </c>
      <c r="B19" s="819"/>
      <c r="C19" s="819"/>
      <c r="D19" s="819"/>
      <c r="E19" s="819"/>
      <c r="F19" s="118"/>
      <c r="G19" s="118"/>
      <c r="H19" s="119"/>
      <c r="I19" s="119"/>
      <c r="J19" s="119"/>
      <c r="K19" s="120"/>
      <c r="L19" s="120"/>
      <c r="M19" s="102"/>
      <c r="O19" s="819" t="s">
        <v>68</v>
      </c>
      <c r="P19" s="819"/>
      <c r="Q19" s="819"/>
    </row>
    <row r="20" spans="1:17" ht="18" customHeight="1">
      <c r="A20" s="819" t="s">
        <v>69</v>
      </c>
      <c r="B20" s="819"/>
      <c r="C20" s="819"/>
      <c r="D20" s="819"/>
      <c r="E20" s="819"/>
      <c r="F20" s="118"/>
      <c r="G20" s="118"/>
      <c r="H20" s="119"/>
      <c r="I20" s="119"/>
      <c r="J20" s="119"/>
      <c r="K20" s="120"/>
      <c r="L20" s="120"/>
      <c r="M20" s="102"/>
      <c r="O20" s="819" t="s">
        <v>87</v>
      </c>
      <c r="P20" s="819"/>
      <c r="Q20" s="819"/>
    </row>
    <row r="21" spans="1:17" ht="18" customHeight="1">
      <c r="A21" s="121"/>
      <c r="B21" s="122"/>
      <c r="C21" s="122"/>
      <c r="D21" s="118"/>
      <c r="E21" s="123"/>
      <c r="F21" s="102"/>
      <c r="G21" s="820" t="s">
        <v>70</v>
      </c>
      <c r="H21" s="820"/>
      <c r="I21" s="820"/>
      <c r="J21" s="820"/>
      <c r="K21" s="120"/>
      <c r="L21" s="120"/>
      <c r="M21" s="119"/>
      <c r="N21" s="120"/>
      <c r="O21" s="120"/>
      <c r="P21" s="120"/>
    </row>
    <row r="22" spans="1:17" ht="18.75">
      <c r="A22" s="121"/>
      <c r="B22" s="122"/>
      <c r="C22" s="122"/>
      <c r="D22" s="118"/>
      <c r="E22" s="123"/>
      <c r="F22" s="102"/>
      <c r="G22" s="820" t="s">
        <v>71</v>
      </c>
      <c r="H22" s="820"/>
      <c r="I22" s="820"/>
      <c r="J22" s="820"/>
      <c r="K22" s="120"/>
      <c r="L22" s="120"/>
      <c r="M22" s="119"/>
    </row>
  </sheetData>
  <mergeCells count="18">
    <mergeCell ref="A1:Q1"/>
    <mergeCell ref="A2:Q2"/>
    <mergeCell ref="A3:Q3"/>
    <mergeCell ref="A5:A6"/>
    <mergeCell ref="B5:B6"/>
    <mergeCell ref="C5:C6"/>
    <mergeCell ref="G22:J22"/>
    <mergeCell ref="A20:E20"/>
    <mergeCell ref="D5:D6"/>
    <mergeCell ref="E5:E6"/>
    <mergeCell ref="A19:E19"/>
    <mergeCell ref="J5:M5"/>
    <mergeCell ref="O19:Q19"/>
    <mergeCell ref="O20:Q20"/>
    <mergeCell ref="G21:J21"/>
    <mergeCell ref="F5:F6"/>
    <mergeCell ref="G5:I5"/>
    <mergeCell ref="N5:Q5"/>
  </mergeCells>
  <printOptions horizontalCentered="1"/>
  <pageMargins left="0" right="0" top="0.25" bottom="0" header="0.19" footer="0.5"/>
  <pageSetup paperSize="9" scale="6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zoomScale="85" zoomScaleSheetLayoutView="85" workbookViewId="0">
      <selection activeCell="I34" activeCellId="1" sqref="I34 L36"/>
    </sheetView>
  </sheetViews>
  <sheetFormatPr defaultRowHeight="12.75"/>
  <cols>
    <col min="1" max="1" width="5.85546875" style="146" customWidth="1"/>
    <col min="2" max="2" width="19.85546875" style="146" customWidth="1"/>
    <col min="3" max="3" width="8" style="146" customWidth="1"/>
    <col min="4" max="4" width="7.5703125" style="146" customWidth="1"/>
    <col min="5" max="5" width="11.28515625" style="146" customWidth="1"/>
    <col min="6" max="6" width="11" style="146" customWidth="1"/>
    <col min="7" max="7" width="14.5703125" style="146" customWidth="1"/>
    <col min="8" max="8" width="12.7109375" style="146" customWidth="1"/>
    <col min="9" max="9" width="12.5703125" style="146" customWidth="1"/>
    <col min="10" max="10" width="12.7109375" style="146" customWidth="1"/>
    <col min="11" max="11" width="12.28515625" style="146" customWidth="1"/>
    <col min="12" max="12" width="14" style="146" customWidth="1"/>
    <col min="13" max="13" width="18.5703125" style="146" customWidth="1"/>
    <col min="14" max="14" width="13.28515625" style="146" customWidth="1"/>
    <col min="15" max="15" width="13.140625" style="146" customWidth="1"/>
    <col min="16" max="16" width="11.42578125" style="146" customWidth="1"/>
    <col min="17" max="17" width="14.85546875" style="146" customWidth="1"/>
    <col min="18" max="16384" width="9.140625" style="146"/>
  </cols>
  <sheetData>
    <row r="1" spans="1:20" ht="24.75" customHeight="1">
      <c r="A1" s="827" t="s">
        <v>0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</row>
    <row r="2" spans="1:20" ht="17.25" customHeight="1">
      <c r="A2" s="866" t="s">
        <v>57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</row>
    <row r="3" spans="1:20" s="2" customFormat="1" ht="18.75" customHeight="1">
      <c r="A3" s="867" t="s">
        <v>106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</row>
    <row r="4" spans="1:20" ht="14.25" customHeight="1">
      <c r="A4" s="868"/>
      <c r="B4" s="868"/>
      <c r="C4" s="868"/>
      <c r="D4" s="868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</row>
    <row r="5" spans="1:20" s="3" customFormat="1" ht="23.25" customHeight="1">
      <c r="A5" s="869" t="s">
        <v>2</v>
      </c>
      <c r="B5" s="870" t="s">
        <v>58</v>
      </c>
      <c r="C5" s="869" t="s">
        <v>4</v>
      </c>
      <c r="D5" s="869" t="s">
        <v>5</v>
      </c>
      <c r="E5" s="869" t="s">
        <v>6</v>
      </c>
      <c r="F5" s="869" t="s">
        <v>7</v>
      </c>
      <c r="G5" s="872" t="s">
        <v>39</v>
      </c>
      <c r="H5" s="872"/>
      <c r="I5" s="872"/>
      <c r="J5" s="872" t="s">
        <v>107</v>
      </c>
      <c r="K5" s="872"/>
      <c r="L5" s="872"/>
      <c r="M5" s="872"/>
      <c r="N5" s="872" t="s">
        <v>72</v>
      </c>
      <c r="O5" s="872"/>
      <c r="P5" s="872"/>
      <c r="Q5" s="872"/>
    </row>
    <row r="6" spans="1:20" s="3" customFormat="1" ht="87.75" customHeight="1">
      <c r="A6" s="869"/>
      <c r="B6" s="871"/>
      <c r="C6" s="869"/>
      <c r="D6" s="869"/>
      <c r="E6" s="869"/>
      <c r="F6" s="869"/>
      <c r="G6" s="165" t="s">
        <v>9</v>
      </c>
      <c r="H6" s="165" t="s">
        <v>10</v>
      </c>
      <c r="I6" s="165" t="s">
        <v>11</v>
      </c>
      <c r="J6" s="165" t="s">
        <v>12</v>
      </c>
      <c r="K6" s="165" t="s">
        <v>13</v>
      </c>
      <c r="L6" s="165" t="s">
        <v>78</v>
      </c>
      <c r="M6" s="165" t="s">
        <v>14</v>
      </c>
      <c r="N6" s="165" t="s">
        <v>59</v>
      </c>
      <c r="O6" s="165" t="s">
        <v>16</v>
      </c>
      <c r="P6" s="165" t="s">
        <v>17</v>
      </c>
      <c r="Q6" s="165" t="s">
        <v>18</v>
      </c>
    </row>
    <row r="7" spans="1:20" ht="18" customHeight="1">
      <c r="A7" s="147">
        <v>1</v>
      </c>
      <c r="B7" s="147" t="s">
        <v>40</v>
      </c>
      <c r="C7" s="147">
        <v>3</v>
      </c>
      <c r="D7" s="147">
        <v>4</v>
      </c>
      <c r="E7" s="147">
        <v>5</v>
      </c>
      <c r="F7" s="147" t="s">
        <v>19</v>
      </c>
      <c r="G7" s="147">
        <v>6</v>
      </c>
      <c r="H7" s="147">
        <v>7</v>
      </c>
      <c r="I7" s="147" t="s">
        <v>20</v>
      </c>
      <c r="J7" s="147" t="s">
        <v>21</v>
      </c>
      <c r="K7" s="148" t="s">
        <v>22</v>
      </c>
      <c r="L7" s="147" t="s">
        <v>23</v>
      </c>
      <c r="M7" s="147" t="s">
        <v>24</v>
      </c>
      <c r="N7" s="147">
        <v>13</v>
      </c>
      <c r="O7" s="147" t="s">
        <v>25</v>
      </c>
      <c r="P7" s="147">
        <v>15</v>
      </c>
      <c r="Q7" s="147">
        <v>16</v>
      </c>
    </row>
    <row r="8" spans="1:20" ht="24.95" customHeight="1">
      <c r="A8" s="149">
        <v>1</v>
      </c>
      <c r="B8" s="166" t="s">
        <v>60</v>
      </c>
      <c r="C8" s="151">
        <v>229</v>
      </c>
      <c r="D8" s="151">
        <v>226</v>
      </c>
      <c r="E8" s="152">
        <v>79.150000000000006</v>
      </c>
      <c r="F8" s="152" t="e">
        <f>E8+'June ANXIII'!F8</f>
        <v>#REF!</v>
      </c>
      <c r="G8" s="152">
        <v>5374.11</v>
      </c>
      <c r="H8" s="152">
        <v>4260.6900000000005</v>
      </c>
      <c r="I8" s="152">
        <f>G8+H8</f>
        <v>9634.7999999999993</v>
      </c>
      <c r="J8" s="152">
        <f>E8+I8</f>
        <v>9713.9499999999989</v>
      </c>
      <c r="K8" s="152">
        <f>J8/C8</f>
        <v>42.41899563318777</v>
      </c>
      <c r="L8" s="153">
        <f>+(((C8*18)*31)-I8)*100/((C8*18)*31)</f>
        <v>92.459970887918487</v>
      </c>
      <c r="M8" s="153">
        <f>+(((C8*18)*31)-J8)*100/((C8*18)*31)</f>
        <v>92.398029456417959</v>
      </c>
      <c r="N8" s="152" t="e">
        <f>J8+'June ANXIII'!N8</f>
        <v>#REF!</v>
      </c>
      <c r="O8" s="153" t="e">
        <f>N8/C8</f>
        <v>#REF!</v>
      </c>
      <c r="P8" s="153" t="e">
        <f>((C8*18*122)-(N8-E8))*100/(C8*18*122)</f>
        <v>#REF!</v>
      </c>
      <c r="Q8" s="153" t="e">
        <f>((C8*18*122)-(N8))*100/(C8*18*122)</f>
        <v>#REF!</v>
      </c>
      <c r="R8" s="161" t="e">
        <f>L8-P8</f>
        <v>#REF!</v>
      </c>
      <c r="S8" s="161" t="e">
        <f>M8-Q8</f>
        <v>#REF!</v>
      </c>
    </row>
    <row r="9" spans="1:20" ht="24.95" customHeight="1">
      <c r="A9" s="149">
        <v>2</v>
      </c>
      <c r="B9" s="166" t="s">
        <v>43</v>
      </c>
      <c r="C9" s="151">
        <v>163</v>
      </c>
      <c r="D9" s="151">
        <v>163</v>
      </c>
      <c r="E9" s="152">
        <v>34.58</v>
      </c>
      <c r="F9" s="152" t="e">
        <f>E9+'June ANXIII'!F9</f>
        <v>#REF!</v>
      </c>
      <c r="G9" s="152">
        <v>4268.7300000000005</v>
      </c>
      <c r="H9" s="152">
        <v>3929.74</v>
      </c>
      <c r="I9" s="152">
        <f t="shared" ref="I9:I30" si="0">G9+H9</f>
        <v>8198.4700000000012</v>
      </c>
      <c r="J9" s="152">
        <f t="shared" ref="J9:J30" si="1">E9+I9</f>
        <v>8233.0500000000011</v>
      </c>
      <c r="K9" s="152">
        <f t="shared" ref="K9:K30" si="2">J9/C9</f>
        <v>50.509509202453991</v>
      </c>
      <c r="L9" s="153">
        <f t="shared" ref="L9:L30" si="3">+(((C9*18)*31)-I9)*100/((C9*18)*31)</f>
        <v>90.986135848890655</v>
      </c>
      <c r="M9" s="153">
        <f t="shared" ref="M9:M30" si="4">+(((C9*18)*31)-J9)*100/((C9*18)*31)</f>
        <v>90.94811663038459</v>
      </c>
      <c r="N9" s="152" t="e">
        <f>J9+'June ANXIII'!N9</f>
        <v>#REF!</v>
      </c>
      <c r="O9" s="153" t="e">
        <f t="shared" ref="O9:O30" si="5">N9/C9</f>
        <v>#REF!</v>
      </c>
      <c r="P9" s="153" t="e">
        <f t="shared" ref="P9:P30" si="6">((C9*18*122)-(N9-E9))*100/(C9*18*122)</f>
        <v>#REF!</v>
      </c>
      <c r="Q9" s="153" t="e">
        <f t="shared" ref="Q9:Q30" si="7">((C9*18*122)-(N9))*100/(C9*18*122)</f>
        <v>#REF!</v>
      </c>
      <c r="R9" s="161" t="e">
        <f t="shared" ref="R9:S55" si="8">L9-P9</f>
        <v>#REF!</v>
      </c>
      <c r="S9" s="161" t="e">
        <f t="shared" si="8"/>
        <v>#REF!</v>
      </c>
    </row>
    <row r="10" spans="1:20" ht="24.95" customHeight="1">
      <c r="A10" s="149">
        <v>3</v>
      </c>
      <c r="B10" s="166" t="s">
        <v>27</v>
      </c>
      <c r="C10" s="151">
        <v>178</v>
      </c>
      <c r="D10" s="151">
        <v>178</v>
      </c>
      <c r="E10" s="152">
        <v>148.5</v>
      </c>
      <c r="F10" s="152" t="e">
        <f>E10+'June ANXIII'!F10</f>
        <v>#REF!</v>
      </c>
      <c r="G10" s="152">
        <v>3298.86</v>
      </c>
      <c r="H10" s="152">
        <v>3601.21</v>
      </c>
      <c r="I10" s="152">
        <f t="shared" si="0"/>
        <v>6900.07</v>
      </c>
      <c r="J10" s="152">
        <f t="shared" si="1"/>
        <v>7048.57</v>
      </c>
      <c r="K10" s="152">
        <f t="shared" si="2"/>
        <v>39.598707865168535</v>
      </c>
      <c r="L10" s="153">
        <f t="shared" si="3"/>
        <v>93.052968064113401</v>
      </c>
      <c r="M10" s="153">
        <f t="shared" si="4"/>
        <v>92.903457371833596</v>
      </c>
      <c r="N10" s="152" t="e">
        <f>J10+'June ANXIII'!N10</f>
        <v>#REF!</v>
      </c>
      <c r="O10" s="153" t="e">
        <f t="shared" si="5"/>
        <v>#REF!</v>
      </c>
      <c r="P10" s="153" t="e">
        <f t="shared" si="6"/>
        <v>#REF!</v>
      </c>
      <c r="Q10" s="153" t="e">
        <f t="shared" si="7"/>
        <v>#REF!</v>
      </c>
      <c r="R10" s="161" t="e">
        <f t="shared" si="8"/>
        <v>#REF!</v>
      </c>
      <c r="S10" s="161" t="e">
        <f t="shared" si="8"/>
        <v>#REF!</v>
      </c>
    </row>
    <row r="11" spans="1:20" ht="24.95" customHeight="1">
      <c r="A11" s="149">
        <v>4</v>
      </c>
      <c r="B11" s="166" t="s">
        <v>44</v>
      </c>
      <c r="C11" s="151">
        <v>190</v>
      </c>
      <c r="D11" s="151">
        <v>190</v>
      </c>
      <c r="E11" s="152">
        <v>44.392348200000001</v>
      </c>
      <c r="F11" s="152" t="e">
        <f>E11+'June ANXIII'!F11</f>
        <v>#REF!</v>
      </c>
      <c r="G11" s="152">
        <v>3165.88</v>
      </c>
      <c r="H11" s="152">
        <v>2387.48</v>
      </c>
      <c r="I11" s="152">
        <f t="shared" si="0"/>
        <v>5553.3600000000006</v>
      </c>
      <c r="J11" s="152">
        <f t="shared" si="1"/>
        <v>5597.7523482000006</v>
      </c>
      <c r="K11" s="152">
        <f t="shared" si="2"/>
        <v>29.461854464210528</v>
      </c>
      <c r="L11" s="153">
        <f t="shared" si="3"/>
        <v>94.761969439728347</v>
      </c>
      <c r="M11" s="153">
        <f t="shared" si="4"/>
        <v>94.720097766270527</v>
      </c>
      <c r="N11" s="152" t="e">
        <f>J11+'June ANXIII'!N11</f>
        <v>#REF!</v>
      </c>
      <c r="O11" s="153" t="e">
        <f t="shared" si="5"/>
        <v>#REF!</v>
      </c>
      <c r="P11" s="153" t="e">
        <f t="shared" si="6"/>
        <v>#REF!</v>
      </c>
      <c r="Q11" s="153" t="e">
        <f t="shared" si="7"/>
        <v>#REF!</v>
      </c>
      <c r="R11" s="161" t="e">
        <f t="shared" si="8"/>
        <v>#REF!</v>
      </c>
      <c r="S11" s="161" t="e">
        <f t="shared" si="8"/>
        <v>#REF!</v>
      </c>
    </row>
    <row r="12" spans="1:20" s="167" customFormat="1" ht="25.5" customHeight="1">
      <c r="A12" s="149">
        <v>5</v>
      </c>
      <c r="B12" s="166" t="s">
        <v>28</v>
      </c>
      <c r="C12" s="156">
        <v>385</v>
      </c>
      <c r="D12" s="156">
        <v>349</v>
      </c>
      <c r="E12" s="152">
        <v>85</v>
      </c>
      <c r="F12" s="152" t="e">
        <f>E12+'June ANXIII'!F12</f>
        <v>#REF!</v>
      </c>
      <c r="G12" s="152">
        <v>2685</v>
      </c>
      <c r="H12" s="152">
        <v>12895</v>
      </c>
      <c r="I12" s="152">
        <f t="shared" si="0"/>
        <v>15580</v>
      </c>
      <c r="J12" s="152">
        <f t="shared" si="1"/>
        <v>15665</v>
      </c>
      <c r="K12" s="152">
        <f t="shared" si="2"/>
        <v>40.688311688311686</v>
      </c>
      <c r="L12" s="153">
        <f t="shared" si="3"/>
        <v>92.747754038076621</v>
      </c>
      <c r="M12" s="153">
        <f t="shared" si="4"/>
        <v>92.708187869478195</v>
      </c>
      <c r="N12" s="152" t="e">
        <f>J12+'June ANXIII'!N12</f>
        <v>#REF!</v>
      </c>
      <c r="O12" s="153" t="e">
        <f t="shared" si="5"/>
        <v>#REF!</v>
      </c>
      <c r="P12" s="153" t="e">
        <f t="shared" si="6"/>
        <v>#REF!</v>
      </c>
      <c r="Q12" s="153" t="e">
        <f t="shared" si="7"/>
        <v>#REF!</v>
      </c>
      <c r="R12" s="161" t="e">
        <f t="shared" si="8"/>
        <v>#REF!</v>
      </c>
      <c r="S12" s="161" t="e">
        <f t="shared" si="8"/>
        <v>#REF!</v>
      </c>
      <c r="T12" s="167">
        <f>E12/60</f>
        <v>1.4166666666666667</v>
      </c>
    </row>
    <row r="13" spans="1:20" s="167" customFormat="1" ht="25.5" customHeight="1">
      <c r="A13" s="149">
        <v>6</v>
      </c>
      <c r="B13" s="168" t="s">
        <v>45</v>
      </c>
      <c r="C13" s="156">
        <v>187</v>
      </c>
      <c r="D13" s="156">
        <v>187</v>
      </c>
      <c r="E13" s="152">
        <v>105</v>
      </c>
      <c r="F13" s="152" t="e">
        <f>E13+'June ANXIII'!F13</f>
        <v>#REF!</v>
      </c>
      <c r="G13" s="152">
        <v>2156</v>
      </c>
      <c r="H13" s="152">
        <v>6523</v>
      </c>
      <c r="I13" s="152">
        <f t="shared" si="0"/>
        <v>8679</v>
      </c>
      <c r="J13" s="152">
        <f t="shared" si="1"/>
        <v>8784</v>
      </c>
      <c r="K13" s="152">
        <f t="shared" si="2"/>
        <v>46.973262032085564</v>
      </c>
      <c r="L13" s="153">
        <f t="shared" si="3"/>
        <v>91.682479443390264</v>
      </c>
      <c r="M13" s="153">
        <f t="shared" si="4"/>
        <v>91.581852682421939</v>
      </c>
      <c r="N13" s="152" t="e">
        <f>J13+'June ANXIII'!N13</f>
        <v>#REF!</v>
      </c>
      <c r="O13" s="153" t="e">
        <f t="shared" si="5"/>
        <v>#REF!</v>
      </c>
      <c r="P13" s="153" t="e">
        <f t="shared" si="6"/>
        <v>#REF!</v>
      </c>
      <c r="Q13" s="153" t="e">
        <f t="shared" si="7"/>
        <v>#REF!</v>
      </c>
      <c r="R13" s="161" t="e">
        <f t="shared" si="8"/>
        <v>#REF!</v>
      </c>
      <c r="S13" s="161" t="e">
        <f t="shared" si="8"/>
        <v>#REF!</v>
      </c>
      <c r="T13" s="167">
        <f>E13/60</f>
        <v>1.75</v>
      </c>
    </row>
    <row r="14" spans="1:20" s="167" customFormat="1" ht="25.5" customHeight="1">
      <c r="A14" s="149">
        <v>7</v>
      </c>
      <c r="B14" s="168" t="s">
        <v>88</v>
      </c>
      <c r="C14" s="156">
        <v>272</v>
      </c>
      <c r="D14" s="156">
        <v>272</v>
      </c>
      <c r="E14" s="156">
        <v>22.56</v>
      </c>
      <c r="F14" s="152" t="e">
        <f>E14+'June ANXIII'!F14</f>
        <v>#REF!</v>
      </c>
      <c r="G14" s="152">
        <v>2896</v>
      </c>
      <c r="H14" s="152">
        <v>5145</v>
      </c>
      <c r="I14" s="152">
        <f t="shared" si="0"/>
        <v>8041</v>
      </c>
      <c r="J14" s="152">
        <f t="shared" si="1"/>
        <v>8063.56</v>
      </c>
      <c r="K14" s="152">
        <f t="shared" si="2"/>
        <v>29.645441176470591</v>
      </c>
      <c r="L14" s="153">
        <f t="shared" si="3"/>
        <v>94.702060931899638</v>
      </c>
      <c r="M14" s="153">
        <f t="shared" si="4"/>
        <v>94.68719692177946</v>
      </c>
      <c r="N14" s="152" t="e">
        <f>J14+'June ANXIII'!N14</f>
        <v>#REF!</v>
      </c>
      <c r="O14" s="153" t="e">
        <f t="shared" si="5"/>
        <v>#REF!</v>
      </c>
      <c r="P14" s="153" t="e">
        <f t="shared" si="6"/>
        <v>#REF!</v>
      </c>
      <c r="Q14" s="153" t="e">
        <f t="shared" si="7"/>
        <v>#REF!</v>
      </c>
      <c r="R14" s="161" t="e">
        <f t="shared" si="8"/>
        <v>#REF!</v>
      </c>
      <c r="S14" s="161" t="e">
        <f t="shared" si="8"/>
        <v>#REF!</v>
      </c>
      <c r="T14" s="167">
        <f>E14/60</f>
        <v>0.376</v>
      </c>
    </row>
    <row r="15" spans="1:20" s="167" customFormat="1" ht="25.5" customHeight="1">
      <c r="A15" s="149">
        <v>8</v>
      </c>
      <c r="B15" s="168" t="s">
        <v>30</v>
      </c>
      <c r="C15" s="156">
        <v>134</v>
      </c>
      <c r="D15" s="169">
        <v>134</v>
      </c>
      <c r="E15" s="170">
        <v>35.21</v>
      </c>
      <c r="F15" s="152" t="e">
        <f>E15+'June ANXIII'!F15</f>
        <v>#REF!</v>
      </c>
      <c r="G15" s="152">
        <v>564.79999999999995</v>
      </c>
      <c r="H15" s="152">
        <v>373.41</v>
      </c>
      <c r="I15" s="152">
        <f t="shared" si="0"/>
        <v>938.21</v>
      </c>
      <c r="J15" s="152">
        <f t="shared" si="1"/>
        <v>973.42000000000007</v>
      </c>
      <c r="K15" s="152">
        <f t="shared" si="2"/>
        <v>7.2643283582089557</v>
      </c>
      <c r="L15" s="153">
        <f t="shared" si="3"/>
        <v>98.745238859466099</v>
      </c>
      <c r="M15" s="153">
        <f t="shared" si="4"/>
        <v>98.698149039747506</v>
      </c>
      <c r="N15" s="152" t="e">
        <f>J15+'June ANXIII'!N15</f>
        <v>#REF!</v>
      </c>
      <c r="O15" s="153" t="e">
        <f t="shared" si="5"/>
        <v>#REF!</v>
      </c>
      <c r="P15" s="153" t="e">
        <f t="shared" si="6"/>
        <v>#REF!</v>
      </c>
      <c r="Q15" s="153" t="e">
        <f t="shared" si="7"/>
        <v>#REF!</v>
      </c>
      <c r="R15" s="161" t="e">
        <f t="shared" si="8"/>
        <v>#REF!</v>
      </c>
      <c r="S15" s="161" t="e">
        <f t="shared" si="8"/>
        <v>#REF!</v>
      </c>
    </row>
    <row r="16" spans="1:20" s="167" customFormat="1" ht="25.5" customHeight="1">
      <c r="A16" s="149">
        <v>9</v>
      </c>
      <c r="B16" s="168" t="s">
        <v>47</v>
      </c>
      <c r="C16" s="156">
        <v>161</v>
      </c>
      <c r="D16" s="169">
        <v>161</v>
      </c>
      <c r="E16" s="170">
        <v>256</v>
      </c>
      <c r="F16" s="152" t="e">
        <f>E16+'June ANXIII'!F16</f>
        <v>#REF!</v>
      </c>
      <c r="G16" s="170">
        <v>351</v>
      </c>
      <c r="H16" s="170">
        <v>142</v>
      </c>
      <c r="I16" s="152">
        <f t="shared" si="0"/>
        <v>493</v>
      </c>
      <c r="J16" s="152">
        <f t="shared" si="1"/>
        <v>749</v>
      </c>
      <c r="K16" s="152">
        <f t="shared" si="2"/>
        <v>4.6521739130434785</v>
      </c>
      <c r="L16" s="153">
        <f t="shared" si="3"/>
        <v>99.451234444221825</v>
      </c>
      <c r="M16" s="153">
        <f t="shared" si="4"/>
        <v>99.166277076515499</v>
      </c>
      <c r="N16" s="152" t="e">
        <f>J16+'June ANXIII'!N16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61" t="e">
        <f t="shared" si="8"/>
        <v>#REF!</v>
      </c>
      <c r="S16" s="161" t="e">
        <f t="shared" si="8"/>
        <v>#REF!</v>
      </c>
      <c r="T16" s="167">
        <f>E16/60</f>
        <v>4.2666666666666666</v>
      </c>
    </row>
    <row r="17" spans="1:20" s="167" customFormat="1" ht="25.5" customHeight="1">
      <c r="A17" s="149">
        <v>10</v>
      </c>
      <c r="B17" s="168" t="s">
        <v>48</v>
      </c>
      <c r="C17" s="169">
        <v>172</v>
      </c>
      <c r="D17" s="169">
        <v>172</v>
      </c>
      <c r="E17" s="170">
        <v>917.3</v>
      </c>
      <c r="F17" s="152" t="e">
        <f>E17+'June ANXIII'!F17</f>
        <v>#REF!</v>
      </c>
      <c r="G17" s="170">
        <v>327.54000000000002</v>
      </c>
      <c r="H17" s="170">
        <v>179.17</v>
      </c>
      <c r="I17" s="152">
        <f t="shared" si="0"/>
        <v>506.71000000000004</v>
      </c>
      <c r="J17" s="152">
        <f t="shared" si="1"/>
        <v>1424.01</v>
      </c>
      <c r="K17" s="152">
        <f t="shared" si="2"/>
        <v>8.2791279069767434</v>
      </c>
      <c r="L17" s="153">
        <f t="shared" si="3"/>
        <v>99.472045094606983</v>
      </c>
      <c r="M17" s="153">
        <f t="shared" si="4"/>
        <v>98.516285321330329</v>
      </c>
      <c r="N17" s="152" t="e">
        <f>J17+'June ANXIII'!N17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61" t="e">
        <f t="shared" si="8"/>
        <v>#REF!</v>
      </c>
      <c r="S17" s="161" t="e">
        <f t="shared" si="8"/>
        <v>#REF!</v>
      </c>
      <c r="T17" s="167">
        <f>E17/60</f>
        <v>15.288333333333332</v>
      </c>
    </row>
    <row r="18" spans="1:20" s="167" customFormat="1" ht="25.5" customHeight="1">
      <c r="A18" s="149">
        <v>11</v>
      </c>
      <c r="B18" s="168" t="s">
        <v>63</v>
      </c>
      <c r="C18" s="169">
        <v>120</v>
      </c>
      <c r="D18" s="169">
        <v>120</v>
      </c>
      <c r="E18" s="170">
        <v>74.52</v>
      </c>
      <c r="F18" s="152" t="e">
        <f>E18+'June ANXIII'!F18</f>
        <v>#REF!</v>
      </c>
      <c r="G18" s="170">
        <v>503.4</v>
      </c>
      <c r="H18" s="170">
        <v>486.6</v>
      </c>
      <c r="I18" s="152">
        <f t="shared" si="0"/>
        <v>990</v>
      </c>
      <c r="J18" s="152">
        <f t="shared" si="1"/>
        <v>1064.52</v>
      </c>
      <c r="K18" s="152">
        <f t="shared" si="2"/>
        <v>8.8710000000000004</v>
      </c>
      <c r="L18" s="153">
        <f t="shared" si="3"/>
        <v>98.521505376344081</v>
      </c>
      <c r="M18" s="153">
        <f t="shared" si="4"/>
        <v>98.410215053763437</v>
      </c>
      <c r="N18" s="152" t="e">
        <f>J18+'June ANXIII'!N18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61" t="e">
        <f t="shared" si="8"/>
        <v>#REF!</v>
      </c>
      <c r="S18" s="161" t="e">
        <f t="shared" si="8"/>
        <v>#REF!</v>
      </c>
    </row>
    <row r="19" spans="1:20" s="167" customFormat="1" ht="25.5" hidden="1" customHeight="1">
      <c r="A19" s="149">
        <v>12</v>
      </c>
      <c r="B19" s="168" t="s">
        <v>50</v>
      </c>
      <c r="C19" s="169">
        <v>32</v>
      </c>
      <c r="D19" s="169">
        <v>32</v>
      </c>
      <c r="E19" s="170">
        <v>15.5</v>
      </c>
      <c r="F19" s="152" t="e">
        <f>E19+'June ANXIII'!F19</f>
        <v>#REF!</v>
      </c>
      <c r="G19" s="170">
        <v>839.6</v>
      </c>
      <c r="H19" s="170">
        <v>1035.5166666666669</v>
      </c>
      <c r="I19" s="152">
        <f t="shared" si="0"/>
        <v>1875.1166666666668</v>
      </c>
      <c r="J19" s="152">
        <f t="shared" si="1"/>
        <v>1890.6166666666668</v>
      </c>
      <c r="K19" s="152">
        <f t="shared" si="2"/>
        <v>59.081770833333337</v>
      </c>
      <c r="L19" s="153">
        <f t="shared" si="3"/>
        <v>89.498674581839893</v>
      </c>
      <c r="M19" s="153">
        <f t="shared" si="4"/>
        <v>89.41186902628435</v>
      </c>
      <c r="N19" s="152" t="e">
        <f>J19+'June ANXIII'!N19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61" t="e">
        <f t="shared" si="8"/>
        <v>#REF!</v>
      </c>
      <c r="S19" s="161" t="e">
        <f t="shared" si="8"/>
        <v>#REF!</v>
      </c>
    </row>
    <row r="20" spans="1:20" s="167" customFormat="1" ht="25.5" hidden="1" customHeight="1">
      <c r="A20" s="149">
        <v>13</v>
      </c>
      <c r="B20" s="168" t="s">
        <v>51</v>
      </c>
      <c r="C20" s="169">
        <v>32</v>
      </c>
      <c r="D20" s="169">
        <v>32</v>
      </c>
      <c r="E20" s="170">
        <v>48.772499999999994</v>
      </c>
      <c r="F20" s="152" t="e">
        <f>E20+'June ANXIII'!F20</f>
        <v>#REF!</v>
      </c>
      <c r="G20" s="170">
        <v>1256.75</v>
      </c>
      <c r="H20" s="170">
        <v>1917.6166666666668</v>
      </c>
      <c r="I20" s="152">
        <f t="shared" si="0"/>
        <v>3174.3666666666668</v>
      </c>
      <c r="J20" s="152">
        <f t="shared" si="1"/>
        <v>3223.1391666666668</v>
      </c>
      <c r="K20" s="152">
        <f t="shared" si="2"/>
        <v>100.72309895833334</v>
      </c>
      <c r="L20" s="153">
        <f t="shared" si="3"/>
        <v>82.222408900836314</v>
      </c>
      <c r="M20" s="153">
        <f t="shared" si="4"/>
        <v>81.949265419653514</v>
      </c>
      <c r="N20" s="152" t="e">
        <f>J20+'June ANXIII'!N20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61" t="e">
        <f t="shared" si="8"/>
        <v>#REF!</v>
      </c>
      <c r="S20" s="161" t="e">
        <f t="shared" si="8"/>
        <v>#REF!</v>
      </c>
    </row>
    <row r="21" spans="1:20" s="173" customFormat="1" ht="25.5" customHeight="1">
      <c r="A21" s="44">
        <v>12</v>
      </c>
      <c r="B21" s="46" t="s">
        <v>99</v>
      </c>
      <c r="C21" s="59">
        <v>64</v>
      </c>
      <c r="D21" s="59">
        <v>64</v>
      </c>
      <c r="E21" s="60">
        <v>64.272499999999994</v>
      </c>
      <c r="F21" s="152" t="e">
        <f>E21+'June ANXIII'!F21</f>
        <v>#REF!</v>
      </c>
      <c r="G21" s="60">
        <v>2096.35</v>
      </c>
      <c r="H21" s="60">
        <v>2953.1333333333337</v>
      </c>
      <c r="I21" s="60">
        <f t="shared" si="0"/>
        <v>5049.4833333333336</v>
      </c>
      <c r="J21" s="56">
        <f t="shared" si="1"/>
        <v>5113.7558333333336</v>
      </c>
      <c r="K21" s="56">
        <f t="shared" si="2"/>
        <v>79.902434895833338</v>
      </c>
      <c r="L21" s="57">
        <f t="shared" si="3"/>
        <v>85.86054174133811</v>
      </c>
      <c r="M21" s="57">
        <f t="shared" si="4"/>
        <v>85.680567222968932</v>
      </c>
      <c r="N21" s="152" t="e">
        <f>J21+'June ANXIII'!N21</f>
        <v>#REF!</v>
      </c>
      <c r="O21" s="57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72"/>
      <c r="S21" s="172"/>
    </row>
    <row r="22" spans="1:20" s="167" customFormat="1" ht="25.5" hidden="1" customHeight="1">
      <c r="A22" s="44">
        <v>14</v>
      </c>
      <c r="B22" s="46" t="s">
        <v>52</v>
      </c>
      <c r="C22" s="59">
        <v>14</v>
      </c>
      <c r="D22" s="59">
        <v>14</v>
      </c>
      <c r="E22" s="60">
        <v>17.71</v>
      </c>
      <c r="F22" s="152" t="e">
        <f>E22+'June ANXIII'!F22</f>
        <v>#REF!</v>
      </c>
      <c r="G22" s="60">
        <v>150.32000000000002</v>
      </c>
      <c r="H22" s="60">
        <v>435.38000000000005</v>
      </c>
      <c r="I22" s="56">
        <f t="shared" si="0"/>
        <v>585.70000000000005</v>
      </c>
      <c r="J22" s="56">
        <f t="shared" si="1"/>
        <v>603.41000000000008</v>
      </c>
      <c r="K22" s="56">
        <f t="shared" si="2"/>
        <v>43.10071428571429</v>
      </c>
      <c r="L22" s="57">
        <f t="shared" si="3"/>
        <v>92.50256016385049</v>
      </c>
      <c r="M22" s="57">
        <f t="shared" si="4"/>
        <v>92.275857654889919</v>
      </c>
      <c r="N22" s="152" t="e">
        <f>J22+'June ANXIII'!N22</f>
        <v>#REF!</v>
      </c>
      <c r="O22" s="57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61" t="e">
        <f t="shared" si="8"/>
        <v>#REF!</v>
      </c>
      <c r="S22" s="161" t="e">
        <f t="shared" si="8"/>
        <v>#REF!</v>
      </c>
    </row>
    <row r="23" spans="1:20" s="167" customFormat="1" ht="30" hidden="1" customHeight="1">
      <c r="A23" s="44">
        <v>15</v>
      </c>
      <c r="B23" s="46" t="s">
        <v>53</v>
      </c>
      <c r="C23" s="59">
        <v>35</v>
      </c>
      <c r="D23" s="59">
        <v>35</v>
      </c>
      <c r="E23" s="60">
        <v>80.599999999999994</v>
      </c>
      <c r="F23" s="152" t="e">
        <f>E23+'June ANXIII'!F23</f>
        <v>#REF!</v>
      </c>
      <c r="G23" s="60">
        <v>309.25000000000006</v>
      </c>
      <c r="H23" s="60">
        <v>1131.2499999999998</v>
      </c>
      <c r="I23" s="56">
        <f t="shared" si="0"/>
        <v>1440.4999999999998</v>
      </c>
      <c r="J23" s="56">
        <f t="shared" si="1"/>
        <v>1521.0999999999997</v>
      </c>
      <c r="K23" s="56">
        <f t="shared" si="2"/>
        <v>43.459999999999994</v>
      </c>
      <c r="L23" s="57">
        <f t="shared" si="3"/>
        <v>92.624167946748585</v>
      </c>
      <c r="M23" s="57">
        <f t="shared" si="4"/>
        <v>92.211469534050195</v>
      </c>
      <c r="N23" s="152" t="e">
        <f>J23+'June ANXIII'!N23</f>
        <v>#REF!</v>
      </c>
      <c r="O23" s="57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61" t="e">
        <f t="shared" si="8"/>
        <v>#REF!</v>
      </c>
      <c r="S23" s="161" t="e">
        <f t="shared" si="8"/>
        <v>#REF!</v>
      </c>
    </row>
    <row r="24" spans="1:20" s="167" customFormat="1" ht="25.5" hidden="1" customHeight="1">
      <c r="A24" s="44">
        <v>16</v>
      </c>
      <c r="B24" s="46" t="s">
        <v>54</v>
      </c>
      <c r="C24" s="59">
        <v>40</v>
      </c>
      <c r="D24" s="59">
        <v>40</v>
      </c>
      <c r="E24" s="60">
        <v>174.63</v>
      </c>
      <c r="F24" s="152" t="e">
        <f>E24+'June ANXIII'!F24</f>
        <v>#REF!</v>
      </c>
      <c r="G24" s="60">
        <v>381.56833333333338</v>
      </c>
      <c r="H24" s="60">
        <v>543.6</v>
      </c>
      <c r="I24" s="56">
        <f t="shared" si="0"/>
        <v>925.16833333333341</v>
      </c>
      <c r="J24" s="56">
        <f t="shared" si="1"/>
        <v>1099.7983333333334</v>
      </c>
      <c r="K24" s="56">
        <f t="shared" si="2"/>
        <v>27.494958333333336</v>
      </c>
      <c r="L24" s="57">
        <f t="shared" si="3"/>
        <v>95.85498058542413</v>
      </c>
      <c r="M24" s="57">
        <f t="shared" si="4"/>
        <v>95.072588112305866</v>
      </c>
      <c r="N24" s="152" t="e">
        <f>J24+'June ANXIII'!N24</f>
        <v>#REF!</v>
      </c>
      <c r="O24" s="57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61" t="e">
        <f t="shared" si="8"/>
        <v>#REF!</v>
      </c>
      <c r="S24" s="161" t="e">
        <f t="shared" si="8"/>
        <v>#REF!</v>
      </c>
    </row>
    <row r="25" spans="1:20" s="173" customFormat="1" ht="25.5" customHeight="1">
      <c r="A25" s="44">
        <v>13</v>
      </c>
      <c r="B25" s="46" t="s">
        <v>52</v>
      </c>
      <c r="C25" s="59">
        <v>89</v>
      </c>
      <c r="D25" s="59">
        <v>89</v>
      </c>
      <c r="E25" s="60">
        <v>272.94</v>
      </c>
      <c r="F25" s="152" t="e">
        <f>E25+'June ANXIII'!F25</f>
        <v>#REF!</v>
      </c>
      <c r="G25" s="60">
        <v>841.13833333333343</v>
      </c>
      <c r="H25" s="60">
        <v>2110.23</v>
      </c>
      <c r="I25" s="60">
        <f>SUM(I22:I24)</f>
        <v>2951.3683333333333</v>
      </c>
      <c r="J25" s="56">
        <f t="shared" si="1"/>
        <v>3224.3083333333334</v>
      </c>
      <c r="K25" s="56">
        <f t="shared" si="2"/>
        <v>36.228183520599252</v>
      </c>
      <c r="L25" s="57">
        <f t="shared" si="3"/>
        <v>94.057089256708693</v>
      </c>
      <c r="M25" s="57">
        <f t="shared" si="4"/>
        <v>93.50749399272415</v>
      </c>
      <c r="N25" s="152" t="e">
        <f>J25+'June ANXIII'!N25</f>
        <v>#REF!</v>
      </c>
      <c r="O25" s="57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72"/>
      <c r="S25" s="172"/>
    </row>
    <row r="26" spans="1:20" s="167" customFormat="1" ht="25.5" customHeight="1">
      <c r="A26" s="44">
        <v>14</v>
      </c>
      <c r="B26" s="46" t="s">
        <v>94</v>
      </c>
      <c r="C26" s="59">
        <v>19</v>
      </c>
      <c r="D26" s="59">
        <v>19</v>
      </c>
      <c r="E26" s="60">
        <v>0.47</v>
      </c>
      <c r="F26" s="152" t="e">
        <f>E26+'June ANXIII'!F26</f>
        <v>#REF!</v>
      </c>
      <c r="G26" s="60">
        <v>6.9</v>
      </c>
      <c r="H26" s="60">
        <v>4.5</v>
      </c>
      <c r="I26" s="56">
        <f t="shared" si="0"/>
        <v>11.4</v>
      </c>
      <c r="J26" s="56">
        <f t="shared" si="1"/>
        <v>11.870000000000001</v>
      </c>
      <c r="K26" s="56">
        <f t="shared" si="2"/>
        <v>0.62473684210526326</v>
      </c>
      <c r="L26" s="57">
        <f t="shared" si="3"/>
        <v>99.892473118279568</v>
      </c>
      <c r="M26" s="57">
        <f t="shared" si="4"/>
        <v>99.888039992454253</v>
      </c>
      <c r="N26" s="152" t="e">
        <f>J26+'June ANXIII'!N26</f>
        <v>#REF!</v>
      </c>
      <c r="O26" s="57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61" t="e">
        <f>L26-P26</f>
        <v>#REF!</v>
      </c>
      <c r="S26" s="161" t="e">
        <f>M26-Q26</f>
        <v>#REF!</v>
      </c>
    </row>
    <row r="27" spans="1:20" s="167" customFormat="1" ht="25.5" hidden="1" customHeight="1">
      <c r="A27" s="44">
        <v>18</v>
      </c>
      <c r="B27" s="46" t="s">
        <v>32</v>
      </c>
      <c r="C27" s="59">
        <v>34</v>
      </c>
      <c r="D27" s="59">
        <v>34</v>
      </c>
      <c r="E27" s="60">
        <v>27.59</v>
      </c>
      <c r="F27" s="152" t="e">
        <f>E27+'June ANXIII'!F27</f>
        <v>#REF!</v>
      </c>
      <c r="G27" s="60">
        <v>37.365833333333335</v>
      </c>
      <c r="H27" s="60">
        <v>23.436944444444443</v>
      </c>
      <c r="I27" s="56">
        <f t="shared" si="0"/>
        <v>60.802777777777777</v>
      </c>
      <c r="J27" s="56">
        <f t="shared" si="1"/>
        <v>88.392777777777781</v>
      </c>
      <c r="K27" s="56">
        <f t="shared" si="2"/>
        <v>2.5997875816993465</v>
      </c>
      <c r="L27" s="57">
        <f t="shared" si="3"/>
        <v>99.679513083608583</v>
      </c>
      <c r="M27" s="57">
        <f t="shared" si="4"/>
        <v>99.534088247007276</v>
      </c>
      <c r="N27" s="152" t="e">
        <f>J27+'June ANXIII'!N27</f>
        <v>#REF!</v>
      </c>
      <c r="O27" s="57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61" t="e">
        <f t="shared" si="8"/>
        <v>#REF!</v>
      </c>
      <c r="S27" s="161" t="e">
        <f t="shared" si="8"/>
        <v>#REF!</v>
      </c>
    </row>
    <row r="28" spans="1:20" s="167" customFormat="1" ht="25.5" hidden="1" customHeight="1">
      <c r="A28" s="44">
        <v>19</v>
      </c>
      <c r="B28" s="46" t="s">
        <v>55</v>
      </c>
      <c r="C28" s="59">
        <v>47</v>
      </c>
      <c r="D28" s="59">
        <v>47</v>
      </c>
      <c r="E28" s="60">
        <v>29.15</v>
      </c>
      <c r="F28" s="152" t="e">
        <f>E28+'June ANXIII'!F28</f>
        <v>#REF!</v>
      </c>
      <c r="G28" s="60">
        <v>321.57444444444445</v>
      </c>
      <c r="H28" s="60">
        <v>389.84750000000003</v>
      </c>
      <c r="I28" s="56">
        <f t="shared" si="0"/>
        <v>711.42194444444453</v>
      </c>
      <c r="J28" s="56">
        <f t="shared" si="1"/>
        <v>740.57194444444451</v>
      </c>
      <c r="K28" s="56">
        <f t="shared" si="2"/>
        <v>15.756849881796692</v>
      </c>
      <c r="L28" s="57">
        <f t="shared" si="3"/>
        <v>97.287341018666794</v>
      </c>
      <c r="M28" s="57">
        <f t="shared" si="4"/>
        <v>97.176191777455784</v>
      </c>
      <c r="N28" s="152" t="e">
        <f>J28+'June ANXIII'!N28</f>
        <v>#REF!</v>
      </c>
      <c r="O28" s="57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61" t="e">
        <f t="shared" si="8"/>
        <v>#REF!</v>
      </c>
      <c r="S28" s="161" t="e">
        <f t="shared" si="8"/>
        <v>#REF!</v>
      </c>
    </row>
    <row r="29" spans="1:20" s="173" customFormat="1" ht="25.5" customHeight="1">
      <c r="A29" s="44">
        <v>15</v>
      </c>
      <c r="B29" s="46" t="s">
        <v>32</v>
      </c>
      <c r="C29" s="59">
        <v>81</v>
      </c>
      <c r="D29" s="59">
        <v>81</v>
      </c>
      <c r="E29" s="60">
        <v>56.739999999999995</v>
      </c>
      <c r="F29" s="152" t="e">
        <f>E29+'June ANXIII'!F29</f>
        <v>#REF!</v>
      </c>
      <c r="G29" s="60">
        <v>358.94027777777779</v>
      </c>
      <c r="H29" s="60">
        <v>413.28444444444449</v>
      </c>
      <c r="I29" s="60">
        <f>SUM(I27:I28)</f>
        <v>772.22472222222234</v>
      </c>
      <c r="J29" s="56">
        <f t="shared" si="1"/>
        <v>828.96472222222235</v>
      </c>
      <c r="K29" s="56">
        <f t="shared" si="2"/>
        <v>10.234132373113857</v>
      </c>
      <c r="L29" s="57">
        <f t="shared" si="3"/>
        <v>98.291462626173242</v>
      </c>
      <c r="M29" s="57">
        <f t="shared" si="4"/>
        <v>98.165926098008271</v>
      </c>
      <c r="N29" s="152" t="e">
        <f>J29+'June ANXIII'!N29</f>
        <v>#REF!</v>
      </c>
      <c r="O29" s="57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72"/>
      <c r="S29" s="172"/>
    </row>
    <row r="30" spans="1:20" s="167" customFormat="1" ht="25.5" customHeight="1">
      <c r="A30" s="44">
        <v>16</v>
      </c>
      <c r="B30" s="46" t="s">
        <v>56</v>
      </c>
      <c r="C30" s="59">
        <v>64</v>
      </c>
      <c r="D30" s="59">
        <v>64</v>
      </c>
      <c r="E30" s="60">
        <v>4.72</v>
      </c>
      <c r="F30" s="152" t="e">
        <f>E30+'June ANXIII'!F30</f>
        <v>#REF!</v>
      </c>
      <c r="G30" s="60">
        <v>69</v>
      </c>
      <c r="H30" s="60">
        <v>68</v>
      </c>
      <c r="I30" s="56">
        <f t="shared" si="0"/>
        <v>137</v>
      </c>
      <c r="J30" s="56">
        <f t="shared" si="1"/>
        <v>141.72</v>
      </c>
      <c r="K30" s="56">
        <f t="shared" si="2"/>
        <v>2.214375</v>
      </c>
      <c r="L30" s="57">
        <f t="shared" si="3"/>
        <v>99.616375448028677</v>
      </c>
      <c r="M30" s="57">
        <f t="shared" si="4"/>
        <v>99.603158602150543</v>
      </c>
      <c r="N30" s="152" t="e">
        <f>J30+'June ANXIII'!N30</f>
        <v>#REF!</v>
      </c>
      <c r="O30" s="57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61" t="e">
        <f t="shared" si="8"/>
        <v>#REF!</v>
      </c>
      <c r="S30" s="161" t="e">
        <f t="shared" si="8"/>
        <v>#REF!</v>
      </c>
    </row>
    <row r="31" spans="1:20" ht="15" hidden="1">
      <c r="C31" s="160">
        <f t="shared" ref="C31:K31" si="9">SUM(C12:C30)+C8</f>
        <v>2211</v>
      </c>
      <c r="D31" s="160">
        <f t="shared" si="9"/>
        <v>2172</v>
      </c>
      <c r="E31" s="160">
        <f t="shared" si="9"/>
        <v>2367.8349999999996</v>
      </c>
      <c r="F31" s="160" t="e">
        <f t="shared" si="9"/>
        <v>#REF!</v>
      </c>
      <c r="G31" s="160">
        <f t="shared" si="9"/>
        <v>21526.607222222221</v>
      </c>
      <c r="H31" s="160">
        <f t="shared" si="9"/>
        <v>41030.665555555563</v>
      </c>
      <c r="I31" s="160">
        <f t="shared" si="9"/>
        <v>62557.272777777776</v>
      </c>
      <c r="J31" s="160">
        <f t="shared" si="9"/>
        <v>64925.10777777779</v>
      </c>
      <c r="K31" s="160">
        <f t="shared" si="9"/>
        <v>610.21368321414695</v>
      </c>
      <c r="L31" s="64">
        <f>+(((D31*24)*30)-I31)*100/((D31*24)*30)</f>
        <v>95.999765143635031</v>
      </c>
      <c r="M31" s="64">
        <f>+(((D31*24)*30)-J31)*100/((D31*24)*30)</f>
        <v>95.848353554214114</v>
      </c>
      <c r="N31" s="160" t="e">
        <f>SUM(N12:N30)+N8</f>
        <v>#REF!</v>
      </c>
      <c r="O31" s="160" t="e">
        <f>SUM(O12:O30)+O8</f>
        <v>#REF!</v>
      </c>
      <c r="P31" s="64" t="e">
        <f>((C31*24*30)-(N31-E31))*100/(C31*24*30)</f>
        <v>#REF!</v>
      </c>
      <c r="Q31" s="64" t="e">
        <f>((D31*24*30)-(N31))*100/(D31*24*30)</f>
        <v>#REF!</v>
      </c>
      <c r="R31" s="161" t="e">
        <f t="shared" si="8"/>
        <v>#REF!</v>
      </c>
    </row>
    <row r="32" spans="1:20" ht="12.75" hidden="1" customHeight="1">
      <c r="A32" s="839" t="s">
        <v>33</v>
      </c>
      <c r="B32" s="840"/>
      <c r="C32" s="840"/>
      <c r="D32" s="840"/>
      <c r="E32" s="840"/>
      <c r="F32" s="840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1"/>
      <c r="R32" s="161">
        <f t="shared" si="8"/>
        <v>0</v>
      </c>
    </row>
    <row r="33" spans="1:18" ht="28.5" hidden="1" customHeight="1" thickBot="1">
      <c r="A33" s="842"/>
      <c r="B33" s="843"/>
      <c r="C33" s="843"/>
      <c r="D33" s="843"/>
      <c r="E33" s="843"/>
      <c r="F33" s="843"/>
      <c r="G33" s="843"/>
      <c r="H33" s="843"/>
      <c r="I33" s="843"/>
      <c r="J33" s="843"/>
      <c r="K33" s="843"/>
      <c r="L33" s="843"/>
      <c r="M33" s="843"/>
      <c r="N33" s="843"/>
      <c r="O33" s="843"/>
      <c r="P33" s="843"/>
      <c r="Q33" s="844"/>
      <c r="R33" s="161">
        <f t="shared" si="8"/>
        <v>0</v>
      </c>
    </row>
    <row r="34" spans="1:18" ht="12.75" hidden="1" customHeight="1">
      <c r="A34" s="853" t="s">
        <v>34</v>
      </c>
      <c r="B34" s="854"/>
      <c r="C34" s="854"/>
      <c r="D34" s="854"/>
      <c r="E34" s="854"/>
      <c r="F34" s="854"/>
      <c r="G34" s="854"/>
      <c r="H34" s="854"/>
      <c r="I34" s="854"/>
      <c r="J34" s="854"/>
      <c r="K34" s="854"/>
      <c r="L34" s="854"/>
      <c r="M34" s="854"/>
      <c r="N34" s="854"/>
      <c r="O34" s="854"/>
      <c r="P34" s="854"/>
      <c r="Q34" s="855"/>
      <c r="R34" s="161">
        <f t="shared" si="8"/>
        <v>0</v>
      </c>
    </row>
    <row r="35" spans="1:18" ht="12.75" hidden="1" customHeight="1">
      <c r="A35" s="856"/>
      <c r="B35" s="857"/>
      <c r="C35" s="857"/>
      <c r="D35" s="857"/>
      <c r="E35" s="857"/>
      <c r="F35" s="857"/>
      <c r="G35" s="857"/>
      <c r="H35" s="857"/>
      <c r="I35" s="857"/>
      <c r="J35" s="857"/>
      <c r="K35" s="857"/>
      <c r="L35" s="857"/>
      <c r="M35" s="857"/>
      <c r="N35" s="857"/>
      <c r="O35" s="857"/>
      <c r="P35" s="857"/>
      <c r="Q35" s="858"/>
      <c r="R35" s="161">
        <f t="shared" si="8"/>
        <v>0</v>
      </c>
    </row>
    <row r="36" spans="1:18" ht="13.5" hidden="1" customHeight="1" thickBot="1">
      <c r="A36" s="859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1"/>
      <c r="R36" s="161">
        <f t="shared" si="8"/>
        <v>0</v>
      </c>
    </row>
    <row r="37" spans="1:18" hidden="1">
      <c r="A37" s="839" t="s">
        <v>35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1"/>
      <c r="R37" s="161">
        <f t="shared" si="8"/>
        <v>0</v>
      </c>
    </row>
    <row r="38" spans="1:18" ht="20.25" hidden="1" customHeight="1" thickBot="1">
      <c r="A38" s="842"/>
      <c r="B38" s="843"/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  <c r="N38" s="843"/>
      <c r="O38" s="843"/>
      <c r="P38" s="843"/>
      <c r="Q38" s="844"/>
      <c r="R38" s="161">
        <f t="shared" si="8"/>
        <v>0</v>
      </c>
    </row>
    <row r="39" spans="1:18" ht="18.75" hidden="1" customHeight="1">
      <c r="A39" s="839" t="s">
        <v>36</v>
      </c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1"/>
      <c r="R39" s="161">
        <f t="shared" si="8"/>
        <v>0</v>
      </c>
    </row>
    <row r="40" spans="1:18" ht="29.25" hidden="1" customHeight="1" thickBot="1">
      <c r="A40" s="842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3"/>
      <c r="P40" s="843"/>
      <c r="Q40" s="844"/>
      <c r="R40" s="161">
        <f t="shared" si="8"/>
        <v>0</v>
      </c>
    </row>
    <row r="41" spans="1:18" hidden="1">
      <c r="R41" s="161">
        <f t="shared" si="8"/>
        <v>0</v>
      </c>
    </row>
    <row r="42" spans="1:18" hidden="1">
      <c r="R42" s="161">
        <f t="shared" si="8"/>
        <v>0</v>
      </c>
    </row>
    <row r="43" spans="1:18" hidden="1">
      <c r="R43" s="161">
        <f t="shared" si="8"/>
        <v>0</v>
      </c>
    </row>
    <row r="44" spans="1:18" ht="15" hidden="1" customHeight="1">
      <c r="P44" s="171"/>
      <c r="Q44" s="171"/>
      <c r="R44" s="161">
        <f t="shared" si="8"/>
        <v>0</v>
      </c>
    </row>
    <row r="45" spans="1:18" ht="15" hidden="1" customHeight="1">
      <c r="P45" s="171">
        <f>98.57</f>
        <v>98.57</v>
      </c>
      <c r="Q45" s="171">
        <f>97.92</f>
        <v>97.92</v>
      </c>
      <c r="R45" s="161">
        <f t="shared" si="8"/>
        <v>-98.57</v>
      </c>
    </row>
    <row r="46" spans="1:18" ht="15" hidden="1" customHeight="1">
      <c r="R46" s="161">
        <f t="shared" si="8"/>
        <v>0</v>
      </c>
    </row>
    <row r="47" spans="1:18" ht="15" hidden="1" customHeight="1">
      <c r="C47" s="160"/>
      <c r="R47" s="161">
        <f t="shared" si="8"/>
        <v>0</v>
      </c>
    </row>
    <row r="48" spans="1:18" ht="15" hidden="1" customHeight="1">
      <c r="C48" s="160"/>
      <c r="R48" s="161">
        <f t="shared" si="8"/>
        <v>0</v>
      </c>
    </row>
    <row r="49" spans="3:18" ht="15" hidden="1" customHeight="1">
      <c r="K49" s="146">
        <f>85+86+94</f>
        <v>265</v>
      </c>
      <c r="R49" s="161">
        <f t="shared" si="8"/>
        <v>0</v>
      </c>
    </row>
    <row r="50" spans="3:18" ht="15" hidden="1" customHeight="1">
      <c r="K50" s="146">
        <f>K49/3</f>
        <v>88.333333333333329</v>
      </c>
      <c r="R50" s="161">
        <f t="shared" si="8"/>
        <v>0</v>
      </c>
    </row>
    <row r="51" spans="3:18" ht="15" hidden="1" customHeight="1">
      <c r="R51" s="161">
        <f t="shared" si="8"/>
        <v>0</v>
      </c>
    </row>
    <row r="52" spans="3:18" ht="11.25" hidden="1" customHeight="1">
      <c r="R52" s="161">
        <f t="shared" si="8"/>
        <v>0</v>
      </c>
    </row>
    <row r="53" spans="3:18" ht="11.25" hidden="1" customHeight="1">
      <c r="R53" s="161">
        <f t="shared" si="8"/>
        <v>0</v>
      </c>
    </row>
    <row r="54" spans="3:18" ht="11.25" hidden="1" customHeight="1">
      <c r="R54" s="161">
        <f t="shared" si="8"/>
        <v>0</v>
      </c>
    </row>
    <row r="55" spans="3:18" ht="11.25" hidden="1" customHeight="1">
      <c r="R55" s="161">
        <f t="shared" si="8"/>
        <v>0</v>
      </c>
    </row>
    <row r="56" spans="3:18" ht="11.25" customHeight="1"/>
    <row r="57" spans="3:18" ht="11.25" customHeight="1">
      <c r="C57" s="160" t="e">
        <f>C8:C30</f>
        <v>#VALUE!</v>
      </c>
      <c r="L57" s="161">
        <f>L8+L9+L10+L11+L12+L13+L14+L15+L16+L17+L18+L26+L19+L20+L22+L23+L24+L27+L28+L30</f>
        <v>1895.7618572759395</v>
      </c>
      <c r="M57" s="161">
        <f>M8+M9+M10+M11+M12+M13+M14+M15+M16+M17+M18+M26+M19+M20+M22+M23+M24+M27+M28+M30</f>
        <v>1891.8603935561948</v>
      </c>
    </row>
    <row r="58" spans="3:18" ht="11.25" customHeight="1">
      <c r="C58" s="160">
        <f>C8+C9+C10+C11+C12+C13+C14+C15+C16+C17+C18+C19+C20+C22+C23+C24+C26+C27+C28+C30</f>
        <v>2508</v>
      </c>
      <c r="L58" s="146">
        <f>L57/20</f>
        <v>94.788092863796976</v>
      </c>
      <c r="M58" s="146">
        <f>M57/20</f>
        <v>94.593019677809735</v>
      </c>
    </row>
    <row r="59" spans="3:18">
      <c r="P59" s="161" t="e">
        <f>P8+P9+P10+P11+P12+P13+P14+P15+P16+P17+P18+P26+P19+P20+P22+P23+P24+P27+P28+P30</f>
        <v>#REF!</v>
      </c>
      <c r="Q59" s="161" t="e">
        <f>Q8+Q9+Q10+Q11+Q12+Q13+Q14+Q15+Q16+Q17+Q18+Q26+Q19+Q20+Q22+Q23+Q24+Q27+Q28+Q30</f>
        <v>#REF!</v>
      </c>
    </row>
    <row r="60" spans="3:18">
      <c r="C60" s="160">
        <f>C30+C29+C26+C25+C21+C18+C17+C16+C15+C14+C13+C12+C11+C10+C9+C8</f>
        <v>2508</v>
      </c>
    </row>
    <row r="61" spans="3:18">
      <c r="C61" s="146">
        <v>1420</v>
      </c>
      <c r="K61" s="161">
        <f>3258+J21</f>
        <v>8371.7558333333327</v>
      </c>
      <c r="P61" s="146" t="e">
        <f>P59/20</f>
        <v>#REF!</v>
      </c>
      <c r="Q61" s="146" t="e">
        <f>Q59/20</f>
        <v>#REF!</v>
      </c>
    </row>
    <row r="62" spans="3:18">
      <c r="C62" s="146">
        <v>529</v>
      </c>
    </row>
    <row r="63" spans="3:18">
      <c r="C63" s="160">
        <f>SUM(C60:C62)</f>
        <v>4457</v>
      </c>
    </row>
    <row r="64" spans="3:18">
      <c r="G64" s="146">
        <f>71.34+67.53</f>
        <v>138.87</v>
      </c>
    </row>
  </sheetData>
  <mergeCells count="17">
    <mergeCell ref="A39:Q40"/>
    <mergeCell ref="G5:I5"/>
    <mergeCell ref="J5:M5"/>
    <mergeCell ref="N5:Q5"/>
    <mergeCell ref="A32:Q33"/>
    <mergeCell ref="A34:Q36"/>
    <mergeCell ref="A37:Q38"/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</mergeCells>
  <printOptions horizontalCentered="1"/>
  <pageMargins left="0" right="0" top="0.5" bottom="0" header="0.19" footer="0.5"/>
  <pageSetup paperSize="9" scale="6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workbookViewId="0">
      <selection activeCell="I34" activeCellId="1" sqref="I34 L36"/>
    </sheetView>
  </sheetViews>
  <sheetFormatPr defaultRowHeight="12.75"/>
  <cols>
    <col min="1" max="1" width="3.85546875" style="2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7.42578125" style="2" customWidth="1"/>
    <col min="8" max="8" width="22.5703125" style="2" customWidth="1"/>
    <col min="9" max="9" width="18.570312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6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6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6" ht="18" customHeight="1">
      <c r="A3" s="826" t="s">
        <v>112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6" ht="15" customHeight="1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6" s="5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23" t="s">
        <v>115</v>
      </c>
      <c r="K5" s="823"/>
      <c r="L5" s="823"/>
      <c r="M5" s="823"/>
      <c r="N5" s="823" t="s">
        <v>84</v>
      </c>
      <c r="O5" s="823"/>
      <c r="P5" s="823"/>
      <c r="Q5" s="823"/>
      <c r="V5" s="35">
        <v>42583</v>
      </c>
      <c r="W5" s="36">
        <v>31</v>
      </c>
      <c r="X5" s="36">
        <f t="shared" si="0"/>
        <v>31</v>
      </c>
      <c r="Y5" s="29"/>
    </row>
    <row r="6" spans="1:26" s="3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75" t="s">
        <v>11</v>
      </c>
      <c r="J6" s="75" t="s">
        <v>12</v>
      </c>
      <c r="K6" s="75" t="s">
        <v>13</v>
      </c>
      <c r="L6" s="75" t="s">
        <v>78</v>
      </c>
      <c r="M6" s="75" t="s">
        <v>14</v>
      </c>
      <c r="N6" s="75" t="s">
        <v>15</v>
      </c>
      <c r="O6" s="75" t="s">
        <v>16</v>
      </c>
      <c r="P6" s="75" t="s">
        <v>17</v>
      </c>
      <c r="Q6" s="75" t="s">
        <v>18</v>
      </c>
      <c r="V6" s="35">
        <v>42614</v>
      </c>
      <c r="W6" s="36">
        <v>30</v>
      </c>
      <c r="X6" s="36">
        <f t="shared" si="0"/>
        <v>30</v>
      </c>
      <c r="Y6" s="27"/>
    </row>
    <row r="7" spans="1:26" s="1" customFormat="1" ht="24" customHeigh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 t="s">
        <v>19</v>
      </c>
      <c r="G7" s="6">
        <v>6</v>
      </c>
      <c r="H7" s="6">
        <v>7</v>
      </c>
      <c r="I7" s="6" t="s">
        <v>20</v>
      </c>
      <c r="J7" s="6" t="s">
        <v>21</v>
      </c>
      <c r="K7" s="7" t="s">
        <v>22</v>
      </c>
      <c r="L7" s="6" t="s">
        <v>23</v>
      </c>
      <c r="M7" s="6" t="s">
        <v>24</v>
      </c>
      <c r="N7" s="6">
        <v>13</v>
      </c>
      <c r="O7" s="6" t="s">
        <v>64</v>
      </c>
      <c r="P7" s="6">
        <v>15</v>
      </c>
      <c r="Q7" s="6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6" s="10" customFormat="1" ht="42" customHeight="1">
      <c r="A8" s="78">
        <v>1</v>
      </c>
      <c r="B8" s="61" t="s">
        <v>26</v>
      </c>
      <c r="C8" s="61">
        <v>34</v>
      </c>
      <c r="D8" s="61">
        <v>31</v>
      </c>
      <c r="E8" s="62">
        <v>2.1800000000000002</v>
      </c>
      <c r="F8" s="62" t="e">
        <f>E8+'July ANX I '!F8</f>
        <v>#REF!</v>
      </c>
      <c r="G8" s="62">
        <v>251.54999999999998</v>
      </c>
      <c r="H8" s="62">
        <v>51.05</v>
      </c>
      <c r="I8" s="63">
        <f>G8+H8</f>
        <v>302.59999999999997</v>
      </c>
      <c r="J8" s="63">
        <f>E8+I8</f>
        <v>304.77999999999997</v>
      </c>
      <c r="K8" s="63">
        <f>J8/C8</f>
        <v>8.9641176470588224</v>
      </c>
      <c r="L8" s="64">
        <f>+(((C8*24)*31)-I8)*100/((C8*24)*31)</f>
        <v>98.803763440860209</v>
      </c>
      <c r="M8" s="64">
        <f>+(((C8*24)*31)-J8)*100/((C8*24)*31)</f>
        <v>98.795145477545859</v>
      </c>
      <c r="N8" s="63" t="e">
        <f>J8+'July ANX I '!N8</f>
        <v>#REF!</v>
      </c>
      <c r="O8" s="64" t="e">
        <f>N8/C8</f>
        <v>#REF!</v>
      </c>
      <c r="P8" s="64" t="e">
        <f>((C8*24*153)-(N8-E8))*100/(C8*24*153)</f>
        <v>#REF!</v>
      </c>
      <c r="Q8" s="64" t="e">
        <f>((C8*24*153)-(N8))*100/(C8*24*153)</f>
        <v>#REF!</v>
      </c>
      <c r="R8" s="8"/>
      <c r="S8" s="43" t="e">
        <f>L8-P8</f>
        <v>#REF!</v>
      </c>
      <c r="T8" s="43" t="e">
        <f>M8-Q8</f>
        <v>#REF!</v>
      </c>
      <c r="V8" s="39">
        <v>42675</v>
      </c>
      <c r="W8" s="40">
        <v>30</v>
      </c>
      <c r="X8" s="40">
        <f t="shared" si="0"/>
        <v>30</v>
      </c>
      <c r="Y8" s="31">
        <f>122+31</f>
        <v>153</v>
      </c>
      <c r="Z8" s="10">
        <f>Y8+30</f>
        <v>183</v>
      </c>
    </row>
    <row r="9" spans="1:26" s="10" customFormat="1" ht="42" customHeight="1">
      <c r="A9" s="78">
        <v>2</v>
      </c>
      <c r="B9" s="61" t="s">
        <v>27</v>
      </c>
      <c r="C9" s="65">
        <v>11</v>
      </c>
      <c r="D9" s="65">
        <v>11</v>
      </c>
      <c r="E9" s="62">
        <v>4.2</v>
      </c>
      <c r="F9" s="62" t="e">
        <f>E9+'July ANX I '!F9</f>
        <v>#REF!</v>
      </c>
      <c r="G9" s="62">
        <v>201.34</v>
      </c>
      <c r="H9" s="62">
        <v>135.61000000000001</v>
      </c>
      <c r="I9" s="63">
        <f t="shared" ref="I9:I14" si="1">G9+H9</f>
        <v>336.95000000000005</v>
      </c>
      <c r="J9" s="63">
        <f t="shared" ref="J9:J14" si="2">E9+I9</f>
        <v>341.15000000000003</v>
      </c>
      <c r="K9" s="63">
        <f t="shared" ref="K9:K14" si="3">J9/C9</f>
        <v>31.013636363636365</v>
      </c>
      <c r="L9" s="64">
        <f t="shared" ref="L9:L14" si="4">+(((C9*24)*31)-I9)*100/((C9*24)*31)</f>
        <v>95.882820136852402</v>
      </c>
      <c r="M9" s="64">
        <f t="shared" ref="M9:M14" si="5">+(((C9*24)*31)-J9)*100/((C9*24)*31)</f>
        <v>95.83150048875855</v>
      </c>
      <c r="N9" s="63" t="e">
        <f>J9+'July ANX I '!N9</f>
        <v>#REF!</v>
      </c>
      <c r="O9" s="64" t="e">
        <f t="shared" ref="O9:O14" si="6">N9/C9</f>
        <v>#REF!</v>
      </c>
      <c r="P9" s="64" t="e">
        <f t="shared" ref="P9:P14" si="7">((C9*24*153)-(N9-E9))*100/(C9*24*153)</f>
        <v>#REF!</v>
      </c>
      <c r="Q9" s="64" t="e">
        <f t="shared" ref="Q9:Q14" si="8">((C9*24*153)-(N9))*100/(C9*24*153)</f>
        <v>#REF!</v>
      </c>
      <c r="R9" s="8"/>
      <c r="S9" s="43" t="e">
        <f t="shared" ref="S9:T24" si="9">L9-P9</f>
        <v>#REF!</v>
      </c>
      <c r="T9" s="43" t="e">
        <f t="shared" si="9"/>
        <v>#REF!</v>
      </c>
      <c r="V9" s="39">
        <v>42705</v>
      </c>
      <c r="W9" s="40">
        <v>31</v>
      </c>
      <c r="X9" s="40">
        <v>31</v>
      </c>
      <c r="Y9" s="31"/>
    </row>
    <row r="10" spans="1:26" s="11" customFormat="1" ht="42" customHeight="1">
      <c r="A10" s="78">
        <v>3</v>
      </c>
      <c r="B10" s="61" t="s">
        <v>28</v>
      </c>
      <c r="C10" s="66">
        <v>30</v>
      </c>
      <c r="D10" s="66">
        <v>30</v>
      </c>
      <c r="E10" s="64">
        <v>10</v>
      </c>
      <c r="F10" s="62" t="e">
        <f>E10+'July ANX I '!F10</f>
        <v>#REF!</v>
      </c>
      <c r="G10" s="62">
        <v>210</v>
      </c>
      <c r="H10" s="62">
        <v>180</v>
      </c>
      <c r="I10" s="63">
        <f t="shared" si="1"/>
        <v>390</v>
      </c>
      <c r="J10" s="63">
        <f t="shared" si="2"/>
        <v>400</v>
      </c>
      <c r="K10" s="63">
        <f t="shared" si="3"/>
        <v>13.333333333333334</v>
      </c>
      <c r="L10" s="64">
        <f t="shared" si="4"/>
        <v>98.252688172043008</v>
      </c>
      <c r="M10" s="64">
        <f t="shared" si="5"/>
        <v>98.207885304659499</v>
      </c>
      <c r="N10" s="63" t="e">
        <f>J10+'July ANX I '!N10</f>
        <v>#REF!</v>
      </c>
      <c r="O10" s="64" t="e">
        <f t="shared" si="6"/>
        <v>#REF!</v>
      </c>
      <c r="P10" s="64" t="e">
        <f t="shared" si="7"/>
        <v>#REF!</v>
      </c>
      <c r="Q10" s="64" t="e">
        <f t="shared" si="8"/>
        <v>#REF!</v>
      </c>
      <c r="R10" s="9"/>
      <c r="S10" s="43" t="e">
        <f t="shared" si="9"/>
        <v>#REF!</v>
      </c>
      <c r="T10" s="43" t="e">
        <f t="shared" si="9"/>
        <v>#REF!</v>
      </c>
      <c r="V10" s="38">
        <v>42370</v>
      </c>
      <c r="W10" s="37">
        <v>31</v>
      </c>
      <c r="X10" s="37">
        <f t="shared" si="0"/>
        <v>31</v>
      </c>
      <c r="Y10" s="32"/>
    </row>
    <row r="11" spans="1:26" s="13" customFormat="1" ht="42" customHeight="1">
      <c r="A11" s="79">
        <v>4</v>
      </c>
      <c r="B11" s="61" t="s">
        <v>29</v>
      </c>
      <c r="C11" s="66">
        <v>1335</v>
      </c>
      <c r="D11" s="66">
        <v>1089</v>
      </c>
      <c r="E11" s="68">
        <v>898.54</v>
      </c>
      <c r="F11" s="62" t="e">
        <f>E11+'July ANX I '!F11</f>
        <v>#REF!</v>
      </c>
      <c r="G11" s="62">
        <v>3913.17</v>
      </c>
      <c r="H11" s="62">
        <v>3645.13</v>
      </c>
      <c r="I11" s="63">
        <f>G11+H11</f>
        <v>7558.3</v>
      </c>
      <c r="J11" s="69">
        <f t="shared" si="2"/>
        <v>8456.84</v>
      </c>
      <c r="K11" s="69">
        <f t="shared" si="3"/>
        <v>6.3347116104868917</v>
      </c>
      <c r="L11" s="64">
        <f t="shared" si="4"/>
        <v>99.239025814506064</v>
      </c>
      <c r="M11" s="64">
        <f t="shared" si="5"/>
        <v>99.148560267407674</v>
      </c>
      <c r="N11" s="63" t="e">
        <f>J11+'July ANX I '!N11</f>
        <v>#REF!</v>
      </c>
      <c r="O11" s="68" t="e">
        <f t="shared" si="6"/>
        <v>#REF!</v>
      </c>
      <c r="P11" s="64" t="e">
        <f t="shared" si="7"/>
        <v>#REF!</v>
      </c>
      <c r="Q11" s="64" t="e">
        <f t="shared" si="8"/>
        <v>#REF!</v>
      </c>
      <c r="R11" s="12"/>
      <c r="S11" s="43" t="e">
        <f t="shared" si="9"/>
        <v>#REF!</v>
      </c>
      <c r="T11" s="43" t="e">
        <f t="shared" si="9"/>
        <v>#REF!</v>
      </c>
      <c r="V11" s="41">
        <v>42401</v>
      </c>
      <c r="W11" s="42">
        <v>29</v>
      </c>
      <c r="X11" s="42">
        <f t="shared" si="0"/>
        <v>29</v>
      </c>
      <c r="Y11" s="33"/>
    </row>
    <row r="12" spans="1:26" s="14" customFormat="1" ht="42" customHeight="1">
      <c r="A12" s="78">
        <v>5</v>
      </c>
      <c r="B12" s="61" t="s">
        <v>32</v>
      </c>
      <c r="C12" s="70">
        <v>4</v>
      </c>
      <c r="D12" s="70">
        <v>4</v>
      </c>
      <c r="E12" s="68">
        <v>22.28</v>
      </c>
      <c r="F12" s="62" t="e">
        <f>E12+'July ANX I '!F12</f>
        <v>#REF!</v>
      </c>
      <c r="G12" s="62">
        <v>35.53</v>
      </c>
      <c r="H12" s="62">
        <v>32.869999999999997</v>
      </c>
      <c r="I12" s="63">
        <f>G12+H12</f>
        <v>68.400000000000006</v>
      </c>
      <c r="J12" s="63">
        <f t="shared" si="2"/>
        <v>90.68</v>
      </c>
      <c r="K12" s="63">
        <f t="shared" si="3"/>
        <v>22.67</v>
      </c>
      <c r="L12" s="64">
        <f t="shared" si="4"/>
        <v>97.701612903225808</v>
      </c>
      <c r="M12" s="64">
        <f t="shared" si="5"/>
        <v>96.952956989247312</v>
      </c>
      <c r="N12" s="63" t="e">
        <f>J12+'July ANX I '!N12</f>
        <v>#REF!</v>
      </c>
      <c r="O12" s="64" t="e">
        <f t="shared" si="6"/>
        <v>#REF!</v>
      </c>
      <c r="P12" s="64" t="e">
        <f t="shared" si="7"/>
        <v>#REF!</v>
      </c>
      <c r="Q12" s="64" t="e">
        <f t="shared" si="8"/>
        <v>#REF!</v>
      </c>
      <c r="R12" s="9"/>
      <c r="S12" s="43" t="e">
        <f t="shared" si="9"/>
        <v>#REF!</v>
      </c>
      <c r="T12" s="43" t="e">
        <f t="shared" si="9"/>
        <v>#REF!</v>
      </c>
      <c r="V12" s="38">
        <v>42430</v>
      </c>
      <c r="W12" s="37">
        <v>31</v>
      </c>
      <c r="X12" s="37">
        <v>31</v>
      </c>
      <c r="Y12" s="34"/>
    </row>
    <row r="13" spans="1:26" s="14" customFormat="1" ht="42" customHeight="1">
      <c r="A13" s="78">
        <v>6</v>
      </c>
      <c r="B13" s="61" t="s">
        <v>30</v>
      </c>
      <c r="C13" s="66">
        <v>12</v>
      </c>
      <c r="D13" s="66">
        <v>12</v>
      </c>
      <c r="E13" s="62">
        <v>1</v>
      </c>
      <c r="F13" s="62" t="e">
        <f>E13+'July ANX I '!F13</f>
        <v>#REF!</v>
      </c>
      <c r="G13" s="62">
        <v>110.3</v>
      </c>
      <c r="H13" s="62">
        <v>30.4</v>
      </c>
      <c r="I13" s="63">
        <f t="shared" si="1"/>
        <v>140.69999999999999</v>
      </c>
      <c r="J13" s="63">
        <f t="shared" si="2"/>
        <v>141.69999999999999</v>
      </c>
      <c r="K13" s="63">
        <f t="shared" si="3"/>
        <v>11.808333333333332</v>
      </c>
      <c r="L13" s="64">
        <f t="shared" si="4"/>
        <v>98.42405913978493</v>
      </c>
      <c r="M13" s="64">
        <f t="shared" si="5"/>
        <v>98.412858422939053</v>
      </c>
      <c r="N13" s="63" t="e">
        <f>J13+'July ANX I '!N13</f>
        <v>#REF!</v>
      </c>
      <c r="O13" s="64" t="e">
        <f t="shared" si="6"/>
        <v>#REF!</v>
      </c>
      <c r="P13" s="64" t="e">
        <f t="shared" si="7"/>
        <v>#REF!</v>
      </c>
      <c r="Q13" s="64" t="e">
        <f t="shared" si="8"/>
        <v>#REF!</v>
      </c>
      <c r="R13" s="9"/>
      <c r="S13" s="43" t="e">
        <f>L14-P14</f>
        <v>#REF!</v>
      </c>
      <c r="T13" s="43" t="e">
        <f>M14-Q14</f>
        <v>#REF!</v>
      </c>
      <c r="V13" s="37"/>
      <c r="W13" s="37">
        <f>SUM(W1:W12)</f>
        <v>366</v>
      </c>
      <c r="X13" s="37">
        <f>SUM(W14)</f>
        <v>0</v>
      </c>
      <c r="Y13" s="34"/>
    </row>
    <row r="14" spans="1:26" s="14" customFormat="1" ht="42" customHeight="1">
      <c r="A14" s="78">
        <v>7</v>
      </c>
      <c r="B14" s="61" t="s">
        <v>31</v>
      </c>
      <c r="C14" s="145">
        <v>9</v>
      </c>
      <c r="D14" s="145">
        <v>9</v>
      </c>
      <c r="E14" s="72">
        <v>21.15</v>
      </c>
      <c r="F14" s="62" t="e">
        <f>E14+'July ANX I '!F14</f>
        <v>#REF!</v>
      </c>
      <c r="G14" s="62">
        <v>54.1</v>
      </c>
      <c r="H14" s="62">
        <v>49.2</v>
      </c>
      <c r="I14" s="63">
        <f t="shared" si="1"/>
        <v>103.30000000000001</v>
      </c>
      <c r="J14" s="63">
        <f t="shared" si="2"/>
        <v>124.45000000000002</v>
      </c>
      <c r="K14" s="63">
        <f t="shared" si="3"/>
        <v>13.827777777777779</v>
      </c>
      <c r="L14" s="64">
        <f t="shared" si="4"/>
        <v>98.457287933094378</v>
      </c>
      <c r="M14" s="64">
        <f t="shared" si="5"/>
        <v>98.141427718040617</v>
      </c>
      <c r="N14" s="63" t="e">
        <f>J14+'July ANX I '!N14</f>
        <v>#REF!</v>
      </c>
      <c r="O14" s="64" t="e">
        <f t="shared" si="6"/>
        <v>#REF!</v>
      </c>
      <c r="P14" s="64" t="e">
        <f t="shared" si="7"/>
        <v>#REF!</v>
      </c>
      <c r="Q14" s="64" t="e">
        <f t="shared" si="8"/>
        <v>#REF!</v>
      </c>
      <c r="R14" s="15"/>
      <c r="S14" s="43" t="e">
        <f t="shared" si="9"/>
        <v>#REF!</v>
      </c>
      <c r="T14" s="43" t="e">
        <f t="shared" si="9"/>
        <v>#REF!</v>
      </c>
      <c r="V14" s="34"/>
      <c r="W14" s="34"/>
      <c r="X14" s="34"/>
      <c r="Y14" s="34"/>
    </row>
    <row r="15" spans="1:26" ht="27.75" hidden="1" customHeight="1" thickBot="1">
      <c r="A15" s="16"/>
      <c r="B15" s="17"/>
      <c r="C15" s="18">
        <f t="shared" ref="C15:K15" si="10">C8+C9+C10+C11+C12+C14+C14</f>
        <v>1432</v>
      </c>
      <c r="D15" s="18">
        <f t="shared" si="10"/>
        <v>1183</v>
      </c>
      <c r="E15" s="18">
        <f t="shared" si="10"/>
        <v>979.49999999999989</v>
      </c>
      <c r="F15" s="62" t="e">
        <f>E15+'July ANX I '!F15</f>
        <v>#REF!</v>
      </c>
      <c r="G15" s="18">
        <f>G8+G9+G10+G11+G12+G14+G14</f>
        <v>4719.7900000000009</v>
      </c>
      <c r="H15" s="18">
        <f>H8+H9+H10+H11+H12+H14+H14</f>
        <v>4143.0599999999995</v>
      </c>
      <c r="I15" s="18">
        <f t="shared" si="10"/>
        <v>8862.8499999999985</v>
      </c>
      <c r="J15" s="18">
        <f t="shared" si="10"/>
        <v>9842.3500000000022</v>
      </c>
      <c r="K15" s="18">
        <f t="shared" si="10"/>
        <v>109.97135451007098</v>
      </c>
      <c r="L15" s="9">
        <f>+(((C15*24)*30)-I15)*100/((C15*24)*30)</f>
        <v>99.140397074798258</v>
      </c>
      <c r="M15" s="9">
        <f>+(((D15*24)*30)-J15)*100/((D15*24)*30)</f>
        <v>98.844469099276793</v>
      </c>
      <c r="N15" s="18" t="e">
        <f>N8+N9+N10+N11+N12+N14+N14</f>
        <v>#REF!</v>
      </c>
      <c r="O15" s="18" t="e">
        <f>O8+O9+O10+O11+O12+O14+O14</f>
        <v>#REF!</v>
      </c>
      <c r="P15" s="64" t="e">
        <f>((C15*24*153)-(N15-E15))*100/(C15*24*153)</f>
        <v>#REF!</v>
      </c>
      <c r="Q15" s="9" t="e">
        <f>((D15*24*30)-(N15))*100/(D15*24*30)</f>
        <v>#REF!</v>
      </c>
      <c r="T15" s="43" t="e">
        <f t="shared" si="9"/>
        <v>#REF!</v>
      </c>
    </row>
    <row r="16" spans="1:26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4:20" ht="24.75" hidden="1" customHeight="1">
      <c r="P33" s="21"/>
      <c r="Q33" s="21"/>
      <c r="T33" s="43">
        <f t="shared" si="11"/>
        <v>0</v>
      </c>
    </row>
    <row r="34" spans="14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4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4:20" ht="18" hidden="1">
      <c r="T36" s="43">
        <f t="shared" si="11"/>
        <v>0</v>
      </c>
    </row>
    <row r="37" spans="14:20" ht="18" hidden="1">
      <c r="T37" s="43">
        <f t="shared" si="11"/>
        <v>0</v>
      </c>
    </row>
    <row r="38" spans="14:20" ht="18" hidden="1">
      <c r="N38" s="23"/>
      <c r="O38" s="23"/>
      <c r="P38" s="24"/>
      <c r="Q38" s="24"/>
      <c r="R38" s="21"/>
      <c r="T38" s="43">
        <f t="shared" si="11"/>
        <v>0</v>
      </c>
    </row>
    <row r="39" spans="14:20" ht="18" hidden="1">
      <c r="N39" s="23"/>
      <c r="O39" s="23"/>
      <c r="P39" s="23"/>
      <c r="Q39" s="23"/>
      <c r="T39" s="43">
        <f t="shared" si="11"/>
        <v>0</v>
      </c>
    </row>
    <row r="40" spans="14:20" ht="18" hidden="1">
      <c r="N40" s="23"/>
      <c r="O40" s="23"/>
      <c r="P40" s="23"/>
      <c r="Q40" s="23"/>
      <c r="T40" s="43">
        <f t="shared" si="11"/>
        <v>0</v>
      </c>
    </row>
    <row r="41" spans="14:20" ht="18" hidden="1">
      <c r="N41" s="23"/>
      <c r="O41" s="23"/>
      <c r="P41" s="23"/>
      <c r="Q41" s="23"/>
      <c r="T41" s="43">
        <f t="shared" si="11"/>
        <v>0</v>
      </c>
    </row>
    <row r="42" spans="14:20" ht="18" hidden="1">
      <c r="N42" s="23"/>
      <c r="O42" s="23"/>
      <c r="P42" s="23"/>
      <c r="Q42" s="23"/>
      <c r="T42" s="43">
        <f t="shared" si="11"/>
        <v>0</v>
      </c>
    </row>
    <row r="43" spans="14:20" ht="18" hidden="1">
      <c r="N43" s="23"/>
      <c r="O43" s="23"/>
      <c r="P43" s="23"/>
      <c r="Q43" s="23"/>
      <c r="T43" s="43">
        <f t="shared" si="11"/>
        <v>0</v>
      </c>
    </row>
    <row r="44" spans="14:20" ht="18" hidden="1">
      <c r="N44" s="23"/>
      <c r="O44" s="23"/>
      <c r="P44" s="23"/>
      <c r="Q44" s="23"/>
      <c r="T44" s="43">
        <f t="shared" si="11"/>
        <v>0</v>
      </c>
    </row>
    <row r="45" spans="14:20" s="25" customFormat="1" ht="18" hidden="1">
      <c r="T45" s="43">
        <f t="shared" si="11"/>
        <v>0</v>
      </c>
    </row>
    <row r="46" spans="14:20" s="25" customFormat="1" ht="18" hidden="1">
      <c r="P46" s="26"/>
      <c r="Q46" s="26"/>
      <c r="T46" s="43">
        <f t="shared" si="11"/>
        <v>0</v>
      </c>
    </row>
    <row r="47" spans="14:20" s="25" customFormat="1" ht="18" hidden="1">
      <c r="P47" s="26"/>
      <c r="Q47" s="26"/>
      <c r="T47" s="43">
        <f t="shared" si="11"/>
        <v>0</v>
      </c>
    </row>
    <row r="48" spans="14:20" s="25" customFormat="1" ht="18" hidden="1"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2:20" s="25" customFormat="1" ht="18" hidden="1"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2:20" s="25" customFormat="1" ht="18" hidden="1">
      <c r="T50" s="43">
        <f t="shared" si="11"/>
        <v>0</v>
      </c>
    </row>
    <row r="51" spans="2:20" s="25" customFormat="1" ht="18" hidden="1">
      <c r="T51" s="43">
        <f t="shared" si="11"/>
        <v>0</v>
      </c>
    </row>
    <row r="52" spans="2:20" ht="18" hidden="1">
      <c r="T52" s="43">
        <f t="shared" si="11"/>
        <v>0</v>
      </c>
    </row>
    <row r="53" spans="2:20" ht="18" hidden="1">
      <c r="T53" s="43">
        <f t="shared" si="11"/>
        <v>0</v>
      </c>
    </row>
    <row r="54" spans="2:20" ht="18" hidden="1">
      <c r="T54" s="43">
        <f t="shared" si="11"/>
        <v>0</v>
      </c>
    </row>
    <row r="55" spans="2:20" ht="18" hidden="1">
      <c r="T55" s="43">
        <f t="shared" si="11"/>
        <v>0</v>
      </c>
    </row>
    <row r="56" spans="2:20">
      <c r="C56">
        <f>C8+C9+C10+C11+C12+C13+C14</f>
        <v>1435</v>
      </c>
    </row>
    <row r="57" spans="2:20">
      <c r="C57" s="144"/>
    </row>
    <row r="58" spans="2:20" ht="48.75" customHeight="1">
      <c r="C58" s="144"/>
      <c r="L58" s="21"/>
      <c r="M58" s="21"/>
    </row>
    <row r="59" spans="2:20" ht="18.75" customHeight="1">
      <c r="B59" s="819" t="s">
        <v>67</v>
      </c>
      <c r="C59" s="819"/>
      <c r="D59" s="819"/>
      <c r="E59" s="819"/>
      <c r="F59" s="819"/>
      <c r="G59" s="118"/>
      <c r="H59" s="118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2:20" ht="18.75" customHeight="1">
      <c r="B60" s="819" t="s">
        <v>69</v>
      </c>
      <c r="C60" s="819"/>
      <c r="D60" s="819"/>
      <c r="E60" s="819"/>
      <c r="F60" s="819"/>
      <c r="G60" s="118"/>
      <c r="H60" s="118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2:20" ht="18.75">
      <c r="B61" s="121"/>
      <c r="C61" s="122"/>
      <c r="D61" s="122"/>
      <c r="E61" s="118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2:20" ht="18.75">
      <c r="B62" s="121"/>
      <c r="C62" s="122"/>
      <c r="D62" s="122"/>
      <c r="E62" s="118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9" spans="10:10">
      <c r="J69" s="174">
        <f>686.1</f>
        <v>686.1</v>
      </c>
    </row>
    <row r="70" spans="10:10">
      <c r="J70" s="2">
        <f>J69/7</f>
        <v>98.01428571428572</v>
      </c>
    </row>
  </sheetData>
  <mergeCells count="25"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view="pageBreakPreview" topLeftCell="A6" zoomScale="60" workbookViewId="0">
      <selection activeCell="I34" activeCellId="1" sqref="I34 L36"/>
    </sheetView>
  </sheetViews>
  <sheetFormatPr defaultRowHeight="12.75"/>
  <cols>
    <col min="1" max="1" width="7.140625" style="146" customWidth="1"/>
    <col min="2" max="2" width="24.140625" style="146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9.7109375" style="146" customWidth="1"/>
    <col min="13" max="13" width="10.7109375" style="146" customWidth="1"/>
    <col min="14" max="14" width="12.85546875" style="146" customWidth="1"/>
    <col min="15" max="15" width="11.85546875" style="146" customWidth="1"/>
    <col min="16" max="16" width="13.85546875" style="146" customWidth="1"/>
    <col min="17" max="17" width="11.7109375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117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113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3" customFormat="1" ht="14.25" customHeight="1">
      <c r="A11" s="821" t="s">
        <v>2</v>
      </c>
      <c r="B11" s="837" t="s">
        <v>38</v>
      </c>
      <c r="C11" s="821" t="s">
        <v>4</v>
      </c>
      <c r="D11" s="821" t="s">
        <v>5</v>
      </c>
      <c r="E11" s="821" t="s">
        <v>6</v>
      </c>
      <c r="F11" s="821" t="s">
        <v>7</v>
      </c>
      <c r="G11" s="845" t="s">
        <v>39</v>
      </c>
      <c r="H11" s="845"/>
      <c r="I11" s="845"/>
      <c r="J11" s="845" t="s">
        <v>115</v>
      </c>
      <c r="K11" s="845"/>
      <c r="L11" s="845"/>
      <c r="M11" s="845"/>
      <c r="N11" s="845" t="s">
        <v>84</v>
      </c>
      <c r="O11" s="845"/>
      <c r="P11" s="845"/>
      <c r="Q11" s="845"/>
    </row>
    <row r="12" spans="1:20" s="3" customFormat="1" ht="117.75" customHeight="1">
      <c r="A12" s="821"/>
      <c r="B12" s="838"/>
      <c r="C12" s="821"/>
      <c r="D12" s="821"/>
      <c r="E12" s="821"/>
      <c r="F12" s="821"/>
      <c r="G12" s="75" t="s">
        <v>9</v>
      </c>
      <c r="H12" s="75" t="s">
        <v>10</v>
      </c>
      <c r="I12" s="75" t="s">
        <v>11</v>
      </c>
      <c r="J12" s="75" t="s">
        <v>12</v>
      </c>
      <c r="K12" s="75" t="s">
        <v>13</v>
      </c>
      <c r="L12" s="75" t="s">
        <v>78</v>
      </c>
      <c r="M12" s="75" t="s">
        <v>14</v>
      </c>
      <c r="N12" s="75" t="s">
        <v>15</v>
      </c>
      <c r="O12" s="75" t="s">
        <v>16</v>
      </c>
      <c r="P12" s="75" t="s">
        <v>17</v>
      </c>
      <c r="Q12" s="75" t="s">
        <v>18</v>
      </c>
    </row>
    <row r="13" spans="1:20" ht="14.25" customHeight="1">
      <c r="A13" s="147">
        <v>1</v>
      </c>
      <c r="B13" s="147" t="s">
        <v>40</v>
      </c>
      <c r="C13" s="147">
        <v>3</v>
      </c>
      <c r="D13" s="147">
        <v>4</v>
      </c>
      <c r="E13" s="147">
        <v>5</v>
      </c>
      <c r="F13" s="147" t="s">
        <v>19</v>
      </c>
      <c r="G13" s="147">
        <v>6</v>
      </c>
      <c r="H13" s="147">
        <v>7</v>
      </c>
      <c r="I13" s="147" t="s">
        <v>20</v>
      </c>
      <c r="J13" s="147" t="s">
        <v>21</v>
      </c>
      <c r="K13" s="148" t="s">
        <v>22</v>
      </c>
      <c r="L13" s="147" t="s">
        <v>23</v>
      </c>
      <c r="M13" s="147" t="s">
        <v>24</v>
      </c>
      <c r="N13" s="147">
        <v>13</v>
      </c>
      <c r="O13" s="147" t="s">
        <v>25</v>
      </c>
      <c r="P13" s="147">
        <v>15</v>
      </c>
      <c r="Q13" s="147">
        <v>16</v>
      </c>
    </row>
    <row r="14" spans="1:20" s="155" customFormat="1" ht="24.95" customHeight="1">
      <c r="A14" s="149">
        <v>1</v>
      </c>
      <c r="B14" s="150" t="s">
        <v>41</v>
      </c>
      <c r="C14" s="151">
        <v>1</v>
      </c>
      <c r="D14" s="151">
        <v>1</v>
      </c>
      <c r="E14" s="152">
        <v>2.15</v>
      </c>
      <c r="F14" s="152" t="e">
        <f>E14+'July ANXII'!F14</f>
        <v>#REF!</v>
      </c>
      <c r="G14" s="152">
        <v>17.75</v>
      </c>
      <c r="H14" s="152">
        <v>0.30000000000000004</v>
      </c>
      <c r="I14" s="152">
        <f>G14+H14</f>
        <v>18.05</v>
      </c>
      <c r="J14" s="152">
        <f>E14+I14</f>
        <v>20.2</v>
      </c>
      <c r="K14" s="152">
        <f>J14/C14</f>
        <v>20.2</v>
      </c>
      <c r="L14" s="153">
        <f>+(((C14*24)*31)-I14)*100/((C14*24)*31)</f>
        <v>97.5739247311828</v>
      </c>
      <c r="M14" s="153">
        <f>+(((C14*24)*31)-J14)*100/((C14*24)*31)</f>
        <v>97.284946236559136</v>
      </c>
      <c r="N14" s="152" t="e">
        <f>J14+'July ANXII'!N14</f>
        <v>#REF!</v>
      </c>
      <c r="O14" s="153" t="e">
        <f>N14/C14</f>
        <v>#REF!</v>
      </c>
      <c r="P14" s="153" t="e">
        <f>((C14*24*153)-(N14-E14))*100/(C14*24*153)</f>
        <v>#REF!</v>
      </c>
      <c r="Q14" s="153" t="e">
        <f>((C14*24*153)-(N14))*100/(C14*24*153)</f>
        <v>#REF!</v>
      </c>
      <c r="R14" s="154"/>
      <c r="S14" s="154" t="e">
        <f>L14-P14</f>
        <v>#REF!</v>
      </c>
      <c r="T14" s="154" t="e">
        <f>M14-Q14</f>
        <v>#REF!</v>
      </c>
    </row>
    <row r="15" spans="1:20" s="155" customFormat="1" ht="24.95" customHeight="1">
      <c r="A15" s="149">
        <v>2</v>
      </c>
      <c r="B15" s="150" t="s">
        <v>42</v>
      </c>
      <c r="C15" s="151">
        <v>1</v>
      </c>
      <c r="D15" s="151">
        <v>1</v>
      </c>
      <c r="E15" s="152">
        <v>4.5</v>
      </c>
      <c r="F15" s="152" t="e">
        <f>E15+'July ANXII'!F15</f>
        <v>#REF!</v>
      </c>
      <c r="G15" s="152">
        <v>24.3</v>
      </c>
      <c r="H15" s="152">
        <v>0.5</v>
      </c>
      <c r="I15" s="152">
        <f t="shared" ref="I15:I39" si="0">G15+H15</f>
        <v>24.8</v>
      </c>
      <c r="J15" s="152">
        <f t="shared" ref="J15:J39" si="1">E15+I15</f>
        <v>29.3</v>
      </c>
      <c r="K15" s="152">
        <f t="shared" ref="K15:K39" si="2">J15/C15</f>
        <v>29.3</v>
      </c>
      <c r="L15" s="153">
        <f t="shared" ref="L15:L39" si="3">+(((C15*24)*31)-I15)*100/((C15*24)*31)</f>
        <v>96.666666666666671</v>
      </c>
      <c r="M15" s="153">
        <f t="shared" ref="M15:M39" si="4">+(((C15*24)*31)-J15)*100/((C15*24)*31)</f>
        <v>96.061827956989248</v>
      </c>
      <c r="N15" s="152" t="e">
        <f>J15+'July ANXII'!N15</f>
        <v>#REF!</v>
      </c>
      <c r="O15" s="153" t="e">
        <f t="shared" ref="O15:O39" si="5">N15/C15</f>
        <v>#REF!</v>
      </c>
      <c r="P15" s="153" t="e">
        <f t="shared" ref="P15:P39" si="6">((C15*24*153)-(N15-E15))*100/(C15*24*153)</f>
        <v>#REF!</v>
      </c>
      <c r="Q15" s="153" t="e">
        <f t="shared" ref="Q15:Q39" si="7">((C15*24*153)-(N15))*100/(C15*24*153)</f>
        <v>#REF!</v>
      </c>
      <c r="R15" s="154"/>
      <c r="S15" s="154" t="e">
        <f t="shared" ref="S15:T39" si="8">L15-P15</f>
        <v>#REF!</v>
      </c>
      <c r="T15" s="154" t="e">
        <f t="shared" si="8"/>
        <v>#REF!</v>
      </c>
    </row>
    <row r="16" spans="1:20" s="155" customFormat="1" ht="24.95" customHeight="1">
      <c r="A16" s="149">
        <v>3</v>
      </c>
      <c r="B16" s="150" t="s">
        <v>43</v>
      </c>
      <c r="C16" s="151">
        <v>11</v>
      </c>
      <c r="D16" s="151">
        <v>11</v>
      </c>
      <c r="E16" s="152">
        <v>0.25694444444444442</v>
      </c>
      <c r="F16" s="152" t="e">
        <f>E16+'July ANXII'!F16</f>
        <v>#REF!</v>
      </c>
      <c r="G16" s="152">
        <v>37.17</v>
      </c>
      <c r="H16" s="152">
        <v>27.2</v>
      </c>
      <c r="I16" s="152">
        <f t="shared" si="0"/>
        <v>64.37</v>
      </c>
      <c r="J16" s="152">
        <f t="shared" si="1"/>
        <v>64.626944444444447</v>
      </c>
      <c r="K16" s="152">
        <f t="shared" si="2"/>
        <v>5.8751767676767681</v>
      </c>
      <c r="L16" s="153">
        <f t="shared" si="3"/>
        <v>99.213465298142722</v>
      </c>
      <c r="M16" s="153">
        <f t="shared" si="4"/>
        <v>99.210325703269262</v>
      </c>
      <c r="N16" s="152" t="e">
        <f>J16+'July ANXII'!N16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54"/>
      <c r="S16" s="154" t="e">
        <f t="shared" si="8"/>
        <v>#REF!</v>
      </c>
      <c r="T16" s="154" t="e">
        <f t="shared" si="8"/>
        <v>#REF!</v>
      </c>
    </row>
    <row r="17" spans="1:20" s="155" customFormat="1" ht="24.95" customHeight="1">
      <c r="A17" s="149">
        <v>4</v>
      </c>
      <c r="B17" s="150" t="s">
        <v>73</v>
      </c>
      <c r="C17" s="151">
        <v>2</v>
      </c>
      <c r="D17" s="151">
        <v>2</v>
      </c>
      <c r="E17" s="152">
        <v>0.3</v>
      </c>
      <c r="F17" s="152" t="e">
        <f>E17+'July ANXII'!F17</f>
        <v>#REF!</v>
      </c>
      <c r="G17" s="152">
        <v>54.4</v>
      </c>
      <c r="H17" s="152">
        <v>7.4</v>
      </c>
      <c r="I17" s="152">
        <f t="shared" si="0"/>
        <v>61.8</v>
      </c>
      <c r="J17" s="152">
        <f t="shared" si="1"/>
        <v>62.099999999999994</v>
      </c>
      <c r="K17" s="152">
        <f t="shared" si="2"/>
        <v>31.049999999999997</v>
      </c>
      <c r="L17" s="153">
        <f t="shared" si="3"/>
        <v>95.846774193548384</v>
      </c>
      <c r="M17" s="153">
        <f t="shared" si="4"/>
        <v>95.826612903225808</v>
      </c>
      <c r="N17" s="152" t="e">
        <f>J17+'July ANXII'!N17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54"/>
      <c r="S17" s="154" t="e">
        <f>L17-P17</f>
        <v>#REF!</v>
      </c>
      <c r="T17" s="154" t="e">
        <f>M17-Q17</f>
        <v>#REF!</v>
      </c>
    </row>
    <row r="18" spans="1:20" s="155" customFormat="1" ht="24.95" customHeight="1">
      <c r="A18" s="149">
        <v>5</v>
      </c>
      <c r="B18" s="150" t="s">
        <v>79</v>
      </c>
      <c r="C18" s="151">
        <v>4</v>
      </c>
      <c r="D18" s="151">
        <v>4</v>
      </c>
      <c r="E18" s="152">
        <v>1.2</v>
      </c>
      <c r="F18" s="152" t="e">
        <f>E18+'July ANXII'!F18</f>
        <v>#REF!</v>
      </c>
      <c r="G18" s="152">
        <v>11.55</v>
      </c>
      <c r="H18" s="152">
        <v>1.05</v>
      </c>
      <c r="I18" s="152">
        <f t="shared" si="0"/>
        <v>12.600000000000001</v>
      </c>
      <c r="J18" s="152">
        <f t="shared" si="1"/>
        <v>13.8</v>
      </c>
      <c r="K18" s="152">
        <f t="shared" si="2"/>
        <v>3.45</v>
      </c>
      <c r="L18" s="153">
        <f t="shared" si="3"/>
        <v>99.576612903225808</v>
      </c>
      <c r="M18" s="153">
        <f t="shared" si="4"/>
        <v>99.536290322580641</v>
      </c>
      <c r="N18" s="152" t="e">
        <f>J18+'July ANXII'!N18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54"/>
      <c r="S18" s="154" t="e">
        <f>L18-P18</f>
        <v>#REF!</v>
      </c>
      <c r="T18" s="154" t="e">
        <f>M18-Q18</f>
        <v>#REF!</v>
      </c>
    </row>
    <row r="19" spans="1:20" s="155" customFormat="1" ht="24.95" customHeight="1">
      <c r="A19" s="149">
        <v>6</v>
      </c>
      <c r="B19" s="150" t="s">
        <v>80</v>
      </c>
      <c r="C19" s="151">
        <v>1</v>
      </c>
      <c r="D19" s="151">
        <v>1</v>
      </c>
      <c r="E19" s="152">
        <v>3.25</v>
      </c>
      <c r="F19" s="152" t="e">
        <f>E19+'July ANXII'!F19</f>
        <v>#REF!</v>
      </c>
      <c r="G19" s="152">
        <v>20.77</v>
      </c>
      <c r="H19" s="152">
        <v>10.91</v>
      </c>
      <c r="I19" s="152">
        <f t="shared" si="0"/>
        <v>31.68</v>
      </c>
      <c r="J19" s="152">
        <f t="shared" si="1"/>
        <v>34.93</v>
      </c>
      <c r="K19" s="152">
        <f t="shared" si="2"/>
        <v>34.93</v>
      </c>
      <c r="L19" s="153">
        <f t="shared" si="3"/>
        <v>95.741935483870961</v>
      </c>
      <c r="M19" s="153">
        <f t="shared" si="4"/>
        <v>95.305107526881727</v>
      </c>
      <c r="N19" s="152" t="e">
        <f>J19+'July ANXII'!N19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54"/>
      <c r="S19" s="154" t="e">
        <f t="shared" si="8"/>
        <v>#REF!</v>
      </c>
      <c r="T19" s="154" t="e">
        <f t="shared" si="8"/>
        <v>#REF!</v>
      </c>
    </row>
    <row r="20" spans="1:20" s="155" customFormat="1" ht="24.95" customHeight="1">
      <c r="A20" s="149">
        <v>7</v>
      </c>
      <c r="B20" s="150" t="s">
        <v>74</v>
      </c>
      <c r="C20" s="151">
        <v>2</v>
      </c>
      <c r="D20" s="151">
        <v>2</v>
      </c>
      <c r="E20" s="152">
        <v>5.4</v>
      </c>
      <c r="F20" s="152" t="e">
        <f>E20+'July ANXII'!F20</f>
        <v>#REF!</v>
      </c>
      <c r="G20" s="152">
        <v>45.33</v>
      </c>
      <c r="H20" s="152">
        <v>34.24</v>
      </c>
      <c r="I20" s="152">
        <f t="shared" si="0"/>
        <v>79.569999999999993</v>
      </c>
      <c r="J20" s="152">
        <f t="shared" si="1"/>
        <v>84.97</v>
      </c>
      <c r="K20" s="152">
        <f t="shared" si="2"/>
        <v>42.484999999999999</v>
      </c>
      <c r="L20" s="153">
        <f t="shared" si="3"/>
        <v>94.652553763440864</v>
      </c>
      <c r="M20" s="153">
        <f t="shared" si="4"/>
        <v>94.289650537634415</v>
      </c>
      <c r="N20" s="152" t="e">
        <f>J20+'July ANXII'!N20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54"/>
      <c r="S20" s="154" t="e">
        <f t="shared" si="8"/>
        <v>#REF!</v>
      </c>
      <c r="T20" s="154" t="e">
        <f t="shared" si="8"/>
        <v>#REF!</v>
      </c>
    </row>
    <row r="21" spans="1:20" s="155" customFormat="1" ht="24.95" customHeight="1">
      <c r="A21" s="149">
        <v>8</v>
      </c>
      <c r="B21" s="150" t="s">
        <v>44</v>
      </c>
      <c r="C21" s="151">
        <v>3</v>
      </c>
      <c r="D21" s="151">
        <v>3</v>
      </c>
      <c r="E21" s="152">
        <v>11.245093823242186</v>
      </c>
      <c r="F21" s="152" t="e">
        <f>E21+'July ANXII'!F21</f>
        <v>#REF!</v>
      </c>
      <c r="G21" s="152">
        <v>47.67</v>
      </c>
      <c r="H21" s="152">
        <v>18.149999999999999</v>
      </c>
      <c r="I21" s="152">
        <f t="shared" si="0"/>
        <v>65.819999999999993</v>
      </c>
      <c r="J21" s="152">
        <f t="shared" si="1"/>
        <v>77.065093823242179</v>
      </c>
      <c r="K21" s="152">
        <f t="shared" si="2"/>
        <v>25.688364607747392</v>
      </c>
      <c r="L21" s="153">
        <f t="shared" si="3"/>
        <v>97.051075268817186</v>
      </c>
      <c r="M21" s="153">
        <f t="shared" si="4"/>
        <v>96.547262821539334</v>
      </c>
      <c r="N21" s="152" t="e">
        <f>J21+'July ANXII'!N21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54"/>
      <c r="S21" s="154" t="e">
        <f t="shared" si="8"/>
        <v>#REF!</v>
      </c>
      <c r="T21" s="154" t="e">
        <f t="shared" si="8"/>
        <v>#REF!</v>
      </c>
    </row>
    <row r="22" spans="1:20" s="155" customFormat="1" ht="24.95" customHeight="1">
      <c r="A22" s="149">
        <v>9</v>
      </c>
      <c r="B22" s="150" t="s">
        <v>75</v>
      </c>
      <c r="C22" s="151">
        <v>5</v>
      </c>
      <c r="D22" s="151">
        <v>5</v>
      </c>
      <c r="E22" s="152">
        <v>13.038789770507812</v>
      </c>
      <c r="F22" s="152" t="e">
        <f>E22+'July ANXII'!F22</f>
        <v>#REF!</v>
      </c>
      <c r="G22" s="152">
        <v>19.45</v>
      </c>
      <c r="H22" s="152">
        <v>40.369999999999997</v>
      </c>
      <c r="I22" s="152">
        <f t="shared" si="0"/>
        <v>59.819999999999993</v>
      </c>
      <c r="J22" s="152">
        <f t="shared" si="1"/>
        <v>72.858789770507798</v>
      </c>
      <c r="K22" s="152">
        <f t="shared" si="2"/>
        <v>14.57175795410156</v>
      </c>
      <c r="L22" s="153">
        <f t="shared" si="3"/>
        <v>98.391935483870967</v>
      </c>
      <c r="M22" s="153">
        <f t="shared" si="4"/>
        <v>98.041430382513227</v>
      </c>
      <c r="N22" s="152" t="e">
        <f>J22+'July ANXII'!N22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54"/>
      <c r="S22" s="154" t="e">
        <f t="shared" si="8"/>
        <v>#REF!</v>
      </c>
      <c r="T22" s="154" t="e">
        <f t="shared" si="8"/>
        <v>#REF!</v>
      </c>
    </row>
    <row r="23" spans="1:20" s="155" customFormat="1" ht="24.95" customHeight="1">
      <c r="A23" s="149">
        <v>10</v>
      </c>
      <c r="B23" s="150" t="s">
        <v>76</v>
      </c>
      <c r="C23" s="151">
        <v>1</v>
      </c>
      <c r="D23" s="151">
        <v>1</v>
      </c>
      <c r="E23" s="152">
        <v>1.78387136230469</v>
      </c>
      <c r="F23" s="152" t="e">
        <f>E23+'July ANXII'!F23</f>
        <v>#REF!</v>
      </c>
      <c r="G23" s="152">
        <v>17.45</v>
      </c>
      <c r="H23" s="152">
        <v>5.05</v>
      </c>
      <c r="I23" s="152">
        <f t="shared" si="0"/>
        <v>22.5</v>
      </c>
      <c r="J23" s="152">
        <f t="shared" si="1"/>
        <v>24.283871362304691</v>
      </c>
      <c r="K23" s="152">
        <f t="shared" si="2"/>
        <v>24.283871362304691</v>
      </c>
      <c r="L23" s="153">
        <f t="shared" si="3"/>
        <v>96.975806451612897</v>
      </c>
      <c r="M23" s="153">
        <f t="shared" si="4"/>
        <v>96.736038795389163</v>
      </c>
      <c r="N23" s="152" t="e">
        <f>J23+'July ANXII'!N23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54"/>
      <c r="S23" s="154" t="e">
        <f t="shared" si="8"/>
        <v>#REF!</v>
      </c>
      <c r="T23" s="154" t="e">
        <f t="shared" si="8"/>
        <v>#REF!</v>
      </c>
    </row>
    <row r="24" spans="1:20" s="1" customFormat="1" ht="24.95" customHeight="1">
      <c r="A24" s="149">
        <v>11</v>
      </c>
      <c r="B24" s="150" t="s">
        <v>28</v>
      </c>
      <c r="C24" s="156">
        <v>7</v>
      </c>
      <c r="D24" s="156">
        <v>7</v>
      </c>
      <c r="E24" s="153">
        <v>8</v>
      </c>
      <c r="F24" s="152" t="e">
        <f>E24+'July ANXII'!F24</f>
        <v>#REF!</v>
      </c>
      <c r="G24" s="153">
        <f>114+185</f>
        <v>299</v>
      </c>
      <c r="H24" s="153">
        <f>40+51</f>
        <v>91</v>
      </c>
      <c r="I24" s="152">
        <f t="shared" si="0"/>
        <v>390</v>
      </c>
      <c r="J24" s="152">
        <f t="shared" si="1"/>
        <v>398</v>
      </c>
      <c r="K24" s="152">
        <f t="shared" si="2"/>
        <v>56.857142857142854</v>
      </c>
      <c r="L24" s="153">
        <f t="shared" si="3"/>
        <v>92.511520737327189</v>
      </c>
      <c r="M24" s="153">
        <f t="shared" si="4"/>
        <v>92.357910906298002</v>
      </c>
      <c r="N24" s="152" t="e">
        <f>J24+'July ANXII'!N24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54"/>
      <c r="S24" s="154" t="e">
        <f t="shared" si="8"/>
        <v>#REF!</v>
      </c>
      <c r="T24" s="154" t="e">
        <f t="shared" si="8"/>
        <v>#REF!</v>
      </c>
    </row>
    <row r="25" spans="1:20" s="1" customFormat="1" ht="24.95" customHeight="1">
      <c r="A25" s="149">
        <v>12</v>
      </c>
      <c r="B25" s="150" t="s">
        <v>45</v>
      </c>
      <c r="C25" s="156">
        <v>11</v>
      </c>
      <c r="D25" s="156">
        <v>11</v>
      </c>
      <c r="E25" s="153">
        <v>14</v>
      </c>
      <c r="F25" s="152" t="e">
        <f>E25+'July ANXII'!F25</f>
        <v>#REF!</v>
      </c>
      <c r="G25" s="153">
        <f>125+19.15+21.5</f>
        <v>165.65</v>
      </c>
      <c r="H25" s="153">
        <f>60.2+4.45+17.5</f>
        <v>82.15</v>
      </c>
      <c r="I25" s="152">
        <f>G25+H25</f>
        <v>247.8</v>
      </c>
      <c r="J25" s="152">
        <f t="shared" si="1"/>
        <v>261.8</v>
      </c>
      <c r="K25" s="152">
        <f t="shared" si="2"/>
        <v>23.8</v>
      </c>
      <c r="L25" s="153">
        <f t="shared" si="3"/>
        <v>96.97214076246334</v>
      </c>
      <c r="M25" s="153">
        <f t="shared" si="4"/>
        <v>96.8010752688172</v>
      </c>
      <c r="N25" s="152" t="e">
        <f>J25+'July ANXII'!N25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54"/>
      <c r="S25" s="154" t="e">
        <f t="shared" si="8"/>
        <v>#REF!</v>
      </c>
      <c r="T25" s="154" t="e">
        <f t="shared" si="8"/>
        <v>#REF!</v>
      </c>
    </row>
    <row r="26" spans="1:20" s="1" customFormat="1" ht="24.95" customHeight="1">
      <c r="A26" s="149">
        <v>13</v>
      </c>
      <c r="B26" s="150" t="s">
        <v>46</v>
      </c>
      <c r="C26" s="156">
        <v>8</v>
      </c>
      <c r="D26" s="156">
        <v>8</v>
      </c>
      <c r="E26" s="153">
        <v>7</v>
      </c>
      <c r="F26" s="152" t="e">
        <f>E26+'July ANXII'!F26</f>
        <v>#REF!</v>
      </c>
      <c r="G26" s="153">
        <f>30+58+30+42</f>
        <v>160</v>
      </c>
      <c r="H26" s="153">
        <f>18+30+18+21</f>
        <v>87</v>
      </c>
      <c r="I26" s="152">
        <f t="shared" si="0"/>
        <v>247</v>
      </c>
      <c r="J26" s="152">
        <f t="shared" si="1"/>
        <v>254</v>
      </c>
      <c r="K26" s="152">
        <f t="shared" si="2"/>
        <v>31.75</v>
      </c>
      <c r="L26" s="153">
        <f t="shared" si="3"/>
        <v>95.850134408602145</v>
      </c>
      <c r="M26" s="153">
        <f t="shared" si="4"/>
        <v>95.732526881720432</v>
      </c>
      <c r="N26" s="152" t="e">
        <f>J26+'July ANXII'!N26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54"/>
      <c r="S26" s="154" t="e">
        <f t="shared" si="8"/>
        <v>#REF!</v>
      </c>
      <c r="T26" s="154" t="e">
        <f t="shared" si="8"/>
        <v>#REF!</v>
      </c>
    </row>
    <row r="27" spans="1:20" s="1" customFormat="1" ht="24.95" customHeight="1">
      <c r="A27" s="149">
        <v>14</v>
      </c>
      <c r="B27" s="150" t="s">
        <v>77</v>
      </c>
      <c r="C27" s="156">
        <v>4</v>
      </c>
      <c r="D27" s="156">
        <v>4</v>
      </c>
      <c r="E27" s="153">
        <v>1.43</v>
      </c>
      <c r="F27" s="152" t="e">
        <f>E27+'July ANXII'!F27</f>
        <v>#REF!</v>
      </c>
      <c r="G27" s="153">
        <v>25.67</v>
      </c>
      <c r="H27" s="153">
        <v>20.86</v>
      </c>
      <c r="I27" s="152">
        <f t="shared" si="0"/>
        <v>46.53</v>
      </c>
      <c r="J27" s="152">
        <f t="shared" si="1"/>
        <v>47.96</v>
      </c>
      <c r="K27" s="152">
        <f t="shared" si="2"/>
        <v>11.99</v>
      </c>
      <c r="L27" s="153">
        <f t="shared" si="3"/>
        <v>98.436491935483872</v>
      </c>
      <c r="M27" s="153">
        <f t="shared" si="4"/>
        <v>98.388440860215056</v>
      </c>
      <c r="N27" s="152" t="e">
        <f>J27+'July ANXII'!N27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54"/>
      <c r="S27" s="154" t="e">
        <f>L27-P27</f>
        <v>#REF!</v>
      </c>
      <c r="T27" s="154" t="e">
        <f>M27-Q27</f>
        <v>#REF!</v>
      </c>
    </row>
    <row r="28" spans="1:20" s="1" customFormat="1" ht="24.95" customHeight="1">
      <c r="A28" s="149">
        <v>15</v>
      </c>
      <c r="B28" s="150" t="s">
        <v>47</v>
      </c>
      <c r="C28" s="156">
        <v>30</v>
      </c>
      <c r="D28" s="156">
        <v>30</v>
      </c>
      <c r="E28" s="153">
        <v>136</v>
      </c>
      <c r="F28" s="152" t="e">
        <f>E28+'July ANXII'!F28</f>
        <v>#REF!</v>
      </c>
      <c r="G28" s="153">
        <v>106.05</v>
      </c>
      <c r="H28" s="153">
        <v>86</v>
      </c>
      <c r="I28" s="152">
        <f t="shared" si="0"/>
        <v>192.05</v>
      </c>
      <c r="J28" s="152">
        <f t="shared" si="1"/>
        <v>328.05</v>
      </c>
      <c r="K28" s="152">
        <f t="shared" si="2"/>
        <v>10.935</v>
      </c>
      <c r="L28" s="153">
        <f t="shared" si="3"/>
        <v>99.139560931899638</v>
      </c>
      <c r="M28" s="153">
        <f t="shared" si="4"/>
        <v>98.530241935483872</v>
      </c>
      <c r="N28" s="152" t="e">
        <f>J28+'July ANXII'!N28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54"/>
      <c r="S28" s="154" t="e">
        <f t="shared" si="8"/>
        <v>#REF!</v>
      </c>
      <c r="T28" s="154" t="e">
        <f t="shared" si="8"/>
        <v>#REF!</v>
      </c>
    </row>
    <row r="29" spans="1:20" s="1" customFormat="1" ht="24.95" customHeight="1">
      <c r="A29" s="149">
        <v>16</v>
      </c>
      <c r="B29" s="150" t="s">
        <v>48</v>
      </c>
      <c r="C29" s="156">
        <v>15</v>
      </c>
      <c r="D29" s="156">
        <v>15</v>
      </c>
      <c r="E29" s="153">
        <v>98.1</v>
      </c>
      <c r="F29" s="152" t="e">
        <f>E29+'July ANXII'!F29</f>
        <v>#REF!</v>
      </c>
      <c r="G29" s="153">
        <v>65.17</v>
      </c>
      <c r="H29" s="153">
        <v>45.38</v>
      </c>
      <c r="I29" s="152">
        <f t="shared" si="0"/>
        <v>110.55000000000001</v>
      </c>
      <c r="J29" s="152">
        <f t="shared" si="1"/>
        <v>208.65</v>
      </c>
      <c r="K29" s="152">
        <f t="shared" si="2"/>
        <v>13.91</v>
      </c>
      <c r="L29" s="153">
        <f t="shared" si="3"/>
        <v>99.009408602150543</v>
      </c>
      <c r="M29" s="153">
        <f t="shared" si="4"/>
        <v>98.130376344086017</v>
      </c>
      <c r="N29" s="152" t="e">
        <f>J29+'July ANXII'!N29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54"/>
      <c r="S29" s="154" t="e">
        <f t="shared" si="8"/>
        <v>#REF!</v>
      </c>
      <c r="T29" s="154" t="e">
        <f t="shared" si="8"/>
        <v>#REF!</v>
      </c>
    </row>
    <row r="30" spans="1:20" s="1" customFormat="1" ht="24.95" customHeight="1">
      <c r="A30" s="149">
        <v>17</v>
      </c>
      <c r="B30" s="150" t="s">
        <v>63</v>
      </c>
      <c r="C30" s="156">
        <v>12</v>
      </c>
      <c r="D30" s="156">
        <v>12</v>
      </c>
      <c r="E30" s="153">
        <v>53.24</v>
      </c>
      <c r="F30" s="152" t="e">
        <f>E30+'July ANXII'!F30</f>
        <v>#REF!</v>
      </c>
      <c r="G30" s="153">
        <v>62.3</v>
      </c>
      <c r="H30" s="153">
        <v>46.29</v>
      </c>
      <c r="I30" s="152">
        <f t="shared" si="0"/>
        <v>108.59</v>
      </c>
      <c r="J30" s="152">
        <f t="shared" si="1"/>
        <v>161.83000000000001</v>
      </c>
      <c r="K30" s="152">
        <f t="shared" si="2"/>
        <v>13.485833333333334</v>
      </c>
      <c r="L30" s="153">
        <f t="shared" si="3"/>
        <v>98.783714157706086</v>
      </c>
      <c r="M30" s="153">
        <f t="shared" si="4"/>
        <v>98.187387992831546</v>
      </c>
      <c r="N30" s="152" t="e">
        <f>J30+'July ANXII'!N30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54"/>
      <c r="S30" s="154" t="e">
        <f t="shared" si="8"/>
        <v>#REF!</v>
      </c>
      <c r="T30" s="154" t="e">
        <f t="shared" si="8"/>
        <v>#REF!</v>
      </c>
    </row>
    <row r="31" spans="1:20" s="1" customFormat="1" ht="24.95" customHeight="1">
      <c r="A31" s="149">
        <v>18</v>
      </c>
      <c r="B31" s="150" t="s">
        <v>50</v>
      </c>
      <c r="C31" s="156">
        <v>49</v>
      </c>
      <c r="D31" s="156">
        <v>49</v>
      </c>
      <c r="E31" s="153">
        <v>0</v>
      </c>
      <c r="F31" s="152" t="e">
        <f>E31+'July ANXII'!F31</f>
        <v>#REF!</v>
      </c>
      <c r="G31" s="153">
        <v>1641.7</v>
      </c>
      <c r="H31" s="153">
        <v>2777.5</v>
      </c>
      <c r="I31" s="152">
        <f>G31+H31</f>
        <v>4419.2</v>
      </c>
      <c r="J31" s="152">
        <f>E31+I31</f>
        <v>4419.2</v>
      </c>
      <c r="K31" s="152">
        <f>J31/C31</f>
        <v>90.187755102040811</v>
      </c>
      <c r="L31" s="153">
        <f>+(((C31*24)*31)-I31)*100/((C31*24)*31)</f>
        <v>87.87798990563968</v>
      </c>
      <c r="M31" s="153">
        <f>+(((C31*24)*31)-J31)*100/((C31*24)*31)</f>
        <v>87.87798990563968</v>
      </c>
      <c r="N31" s="152" t="e">
        <f>J31+'July ANXII'!N31</f>
        <v>#REF!</v>
      </c>
      <c r="O31" s="153" t="e">
        <f t="shared" si="5"/>
        <v>#REF!</v>
      </c>
      <c r="P31" s="153" t="e">
        <f t="shared" si="6"/>
        <v>#REF!</v>
      </c>
      <c r="Q31" s="153" t="e">
        <f t="shared" si="7"/>
        <v>#REF!</v>
      </c>
      <c r="R31" s="154" t="str">
        <f>'[2]Annexure II'!B8</f>
        <v>Devanahalli</v>
      </c>
      <c r="S31" s="154" t="e">
        <f t="shared" si="8"/>
        <v>#REF!</v>
      </c>
      <c r="T31" s="154" t="e">
        <f t="shared" si="8"/>
        <v>#REF!</v>
      </c>
    </row>
    <row r="32" spans="1:20" s="1" customFormat="1" ht="24.95" customHeight="1">
      <c r="A32" s="149">
        <v>19</v>
      </c>
      <c r="B32" s="157" t="s">
        <v>51</v>
      </c>
      <c r="C32" s="156">
        <v>59</v>
      </c>
      <c r="D32" s="156">
        <v>59</v>
      </c>
      <c r="E32" s="156">
        <v>133.80000000000001</v>
      </c>
      <c r="F32" s="156" t="e">
        <f>E32+'July ANXII'!F32</f>
        <v>#REF!</v>
      </c>
      <c r="G32" s="153">
        <v>2744.7</v>
      </c>
      <c r="H32" s="153">
        <v>3320.1</v>
      </c>
      <c r="I32" s="152">
        <f t="shared" si="0"/>
        <v>6064.7999999999993</v>
      </c>
      <c r="J32" s="152">
        <f t="shared" si="1"/>
        <v>6198.5999999999995</v>
      </c>
      <c r="K32" s="152">
        <f t="shared" si="2"/>
        <v>105.06101694915253</v>
      </c>
      <c r="L32" s="153">
        <f t="shared" si="3"/>
        <v>86.183706943685067</v>
      </c>
      <c r="M32" s="153">
        <f>+(((C32*24)*31)-J32)*100/((C32*24)*31)</f>
        <v>85.878895571350469</v>
      </c>
      <c r="N32" s="152" t="e">
        <f>J32+'July ANXII'!N32</f>
        <v>#REF!</v>
      </c>
      <c r="O32" s="153" t="e">
        <f t="shared" si="5"/>
        <v>#REF!</v>
      </c>
      <c r="P32" s="153" t="e">
        <f t="shared" si="6"/>
        <v>#REF!</v>
      </c>
      <c r="Q32" s="153" t="e">
        <f t="shared" si="7"/>
        <v>#REF!</v>
      </c>
      <c r="R32" s="154" t="str">
        <f>'[2]Annexure II'!B9</f>
        <v>Hosakote</v>
      </c>
      <c r="S32" s="154" t="e">
        <f t="shared" si="8"/>
        <v>#REF!</v>
      </c>
      <c r="T32" s="154" t="e">
        <f t="shared" si="8"/>
        <v>#REF!</v>
      </c>
    </row>
    <row r="33" spans="1:20" s="1" customFormat="1" ht="24.95" customHeight="1">
      <c r="A33" s="149">
        <v>20</v>
      </c>
      <c r="B33" s="157" t="s">
        <v>52</v>
      </c>
      <c r="C33" s="156">
        <v>48</v>
      </c>
      <c r="D33" s="156">
        <v>48</v>
      </c>
      <c r="E33" s="156">
        <v>55.4</v>
      </c>
      <c r="F33" s="156" t="e">
        <f>E33+'July ANXII'!F33</f>
        <v>#REF!</v>
      </c>
      <c r="G33" s="153">
        <v>680.7</v>
      </c>
      <c r="H33" s="153">
        <v>377</v>
      </c>
      <c r="I33" s="152">
        <f t="shared" si="0"/>
        <v>1057.7</v>
      </c>
      <c r="J33" s="152">
        <f t="shared" si="1"/>
        <v>1113.1000000000001</v>
      </c>
      <c r="K33" s="152">
        <f t="shared" si="2"/>
        <v>23.189583333333335</v>
      </c>
      <c r="L33" s="153">
        <f t="shared" si="3"/>
        <v>97.038250448028691</v>
      </c>
      <c r="M33" s="153">
        <f t="shared" si="4"/>
        <v>96.883120519713259</v>
      </c>
      <c r="N33" s="152" t="e">
        <f>J33+'July ANXII'!N33</f>
        <v>#REF!</v>
      </c>
      <c r="O33" s="153" t="e">
        <f t="shared" si="5"/>
        <v>#REF!</v>
      </c>
      <c r="P33" s="153" t="e">
        <f t="shared" si="6"/>
        <v>#REF!</v>
      </c>
      <c r="Q33" s="153" t="e">
        <f t="shared" si="7"/>
        <v>#REF!</v>
      </c>
      <c r="R33" s="154" t="str">
        <f>'[2]Annexure II'!B10</f>
        <v>Nelamangala</v>
      </c>
      <c r="S33" s="154" t="e">
        <f t="shared" si="8"/>
        <v>#REF!</v>
      </c>
      <c r="T33" s="154" t="e">
        <f t="shared" si="8"/>
        <v>#REF!</v>
      </c>
    </row>
    <row r="34" spans="1:20" s="1" customFormat="1" ht="28.5" customHeight="1">
      <c r="A34" s="149">
        <v>21</v>
      </c>
      <c r="B34" s="150" t="s">
        <v>53</v>
      </c>
      <c r="C34" s="156">
        <v>36</v>
      </c>
      <c r="D34" s="156">
        <v>36</v>
      </c>
      <c r="E34" s="153">
        <v>22.2</v>
      </c>
      <c r="F34" s="152" t="e">
        <f>E34+'July ANXII'!F34</f>
        <v>#REF!</v>
      </c>
      <c r="G34" s="153">
        <v>300</v>
      </c>
      <c r="H34" s="153">
        <v>160.69999999999999</v>
      </c>
      <c r="I34" s="152">
        <f t="shared" si="0"/>
        <v>460.7</v>
      </c>
      <c r="J34" s="152">
        <f t="shared" si="1"/>
        <v>482.9</v>
      </c>
      <c r="K34" s="152">
        <f t="shared" si="2"/>
        <v>13.413888888888888</v>
      </c>
      <c r="L34" s="153">
        <f t="shared" si="3"/>
        <v>98.279943249701319</v>
      </c>
      <c r="M34" s="153">
        <f t="shared" si="4"/>
        <v>98.19705794504182</v>
      </c>
      <c r="N34" s="152" t="e">
        <f>J34+'July ANXII'!N34</f>
        <v>#REF!</v>
      </c>
      <c r="O34" s="153" t="e">
        <f t="shared" si="5"/>
        <v>#REF!</v>
      </c>
      <c r="P34" s="153" t="e">
        <f t="shared" si="6"/>
        <v>#REF!</v>
      </c>
      <c r="Q34" s="153" t="e">
        <f t="shared" si="7"/>
        <v>#REF!</v>
      </c>
      <c r="R34" s="154" t="str">
        <f>'[2]Annexure II'!B11</f>
        <v>Doddaballapura</v>
      </c>
      <c r="S34" s="154" t="e">
        <f t="shared" si="8"/>
        <v>#REF!</v>
      </c>
      <c r="T34" s="154" t="e">
        <f t="shared" si="8"/>
        <v>#REF!</v>
      </c>
    </row>
    <row r="35" spans="1:20" s="1" customFormat="1" ht="24.95" customHeight="1">
      <c r="A35" s="149">
        <v>22</v>
      </c>
      <c r="B35" s="150" t="s">
        <v>54</v>
      </c>
      <c r="C35" s="156">
        <f>14+12</f>
        <v>26</v>
      </c>
      <c r="D35" s="156">
        <v>26</v>
      </c>
      <c r="E35" s="153">
        <f>17.5+169.45</f>
        <v>186.95</v>
      </c>
      <c r="F35" s="152" t="e">
        <f>E35+'July ANXII'!F35</f>
        <v>#REF!</v>
      </c>
      <c r="G35" s="153">
        <f>91+35.15</f>
        <v>126.15</v>
      </c>
      <c r="H35" s="153">
        <f>1.78+52.6</f>
        <v>54.38</v>
      </c>
      <c r="I35" s="152">
        <f t="shared" si="0"/>
        <v>180.53</v>
      </c>
      <c r="J35" s="152">
        <f t="shared" si="1"/>
        <v>367.48</v>
      </c>
      <c r="K35" s="152">
        <f t="shared" si="2"/>
        <v>14.133846153846154</v>
      </c>
      <c r="L35" s="153">
        <f t="shared" si="3"/>
        <v>99.06673904052937</v>
      </c>
      <c r="M35" s="153">
        <f t="shared" si="4"/>
        <v>98.100289495450781</v>
      </c>
      <c r="N35" s="152" t="e">
        <f>J35+'July ANXII'!N35</f>
        <v>#REF!</v>
      </c>
      <c r="O35" s="153" t="e">
        <f t="shared" si="5"/>
        <v>#REF!</v>
      </c>
      <c r="P35" s="153" t="e">
        <f t="shared" si="6"/>
        <v>#REF!</v>
      </c>
      <c r="Q35" s="153" t="e">
        <f t="shared" si="7"/>
        <v>#REF!</v>
      </c>
      <c r="R35" s="154" t="str">
        <f>'[2]Annexure II'!B12</f>
        <v>Magadi</v>
      </c>
      <c r="S35" s="154" t="e">
        <f t="shared" si="8"/>
        <v>#REF!</v>
      </c>
      <c r="T35" s="154" t="e">
        <f t="shared" si="8"/>
        <v>#REF!</v>
      </c>
    </row>
    <row r="36" spans="1:20" s="1" customFormat="1" ht="24.95" customHeight="1">
      <c r="A36" s="149">
        <v>23</v>
      </c>
      <c r="B36" s="150" t="s">
        <v>49</v>
      </c>
      <c r="C36" s="156">
        <v>127</v>
      </c>
      <c r="D36" s="156">
        <v>127</v>
      </c>
      <c r="E36" s="153">
        <v>70.010000000000005</v>
      </c>
      <c r="F36" s="152" t="e">
        <f>E36+'July ANXII'!F36</f>
        <v>#REF!</v>
      </c>
      <c r="G36" s="153">
        <v>70.010000000000005</v>
      </c>
      <c r="H36" s="153">
        <v>27.16</v>
      </c>
      <c r="I36" s="152">
        <f t="shared" si="0"/>
        <v>97.17</v>
      </c>
      <c r="J36" s="152">
        <f t="shared" si="1"/>
        <v>167.18</v>
      </c>
      <c r="K36" s="152">
        <f t="shared" si="2"/>
        <v>1.3163779527559056</v>
      </c>
      <c r="L36" s="153">
        <f t="shared" si="3"/>
        <v>99.897161544323083</v>
      </c>
      <c r="M36" s="153">
        <f t="shared" si="4"/>
        <v>99.823067479468293</v>
      </c>
      <c r="N36" s="152" t="e">
        <f>J36+'July ANXII'!N36</f>
        <v>#REF!</v>
      </c>
      <c r="O36" s="153" t="e">
        <f t="shared" si="5"/>
        <v>#REF!</v>
      </c>
      <c r="P36" s="153" t="e">
        <f t="shared" si="6"/>
        <v>#REF!</v>
      </c>
      <c r="Q36" s="153" t="e">
        <f t="shared" si="7"/>
        <v>#REF!</v>
      </c>
      <c r="R36" s="154" t="str">
        <f>'[2]Annexure II'!B7</f>
        <v>Anekal</v>
      </c>
      <c r="S36" s="154" t="e">
        <f>L36-P36</f>
        <v>#REF!</v>
      </c>
      <c r="T36" s="154" t="e">
        <f>M36-Q36</f>
        <v>#REF!</v>
      </c>
    </row>
    <row r="37" spans="1:20" s="1" customFormat="1" ht="24.95" customHeight="1">
      <c r="A37" s="149">
        <v>24</v>
      </c>
      <c r="B37" s="150" t="s">
        <v>32</v>
      </c>
      <c r="C37" s="156">
        <v>24</v>
      </c>
      <c r="D37" s="156">
        <v>24</v>
      </c>
      <c r="E37" s="153">
        <v>22.81</v>
      </c>
      <c r="F37" s="152" t="e">
        <f>E37+'July ANXII'!F37</f>
        <v>#REF!</v>
      </c>
      <c r="G37" s="153">
        <v>50.91</v>
      </c>
      <c r="H37" s="153">
        <v>27.25</v>
      </c>
      <c r="I37" s="152">
        <f t="shared" si="0"/>
        <v>78.16</v>
      </c>
      <c r="J37" s="152">
        <f t="shared" si="1"/>
        <v>100.97</v>
      </c>
      <c r="K37" s="152">
        <f t="shared" si="2"/>
        <v>4.2070833333333333</v>
      </c>
      <c r="L37" s="153">
        <f t="shared" si="3"/>
        <v>99.562275985663078</v>
      </c>
      <c r="M37" s="153">
        <f t="shared" si="4"/>
        <v>99.434531810035836</v>
      </c>
      <c r="N37" s="152" t="e">
        <f>J37+'July ANXII'!N37</f>
        <v>#REF!</v>
      </c>
      <c r="O37" s="153" t="e">
        <f t="shared" si="5"/>
        <v>#REF!</v>
      </c>
      <c r="P37" s="153" t="e">
        <f t="shared" si="6"/>
        <v>#REF!</v>
      </c>
      <c r="Q37" s="153" t="e">
        <f t="shared" si="7"/>
        <v>#REF!</v>
      </c>
      <c r="R37" s="154" t="str">
        <f>'[2]Annexure II'!B13</f>
        <v>Ramanagara</v>
      </c>
      <c r="S37" s="154" t="e">
        <f t="shared" si="8"/>
        <v>#REF!</v>
      </c>
      <c r="T37" s="154" t="e">
        <f t="shared" si="8"/>
        <v>#REF!</v>
      </c>
    </row>
    <row r="38" spans="1:20" s="1" customFormat="1" ht="24.95" customHeight="1">
      <c r="A38" s="149">
        <v>25</v>
      </c>
      <c r="B38" s="150" t="s">
        <v>55</v>
      </c>
      <c r="C38" s="156">
        <v>7</v>
      </c>
      <c r="D38" s="156">
        <v>7</v>
      </c>
      <c r="E38" s="153">
        <v>14.25</v>
      </c>
      <c r="F38" s="152" t="e">
        <f>E38+'July ANXII'!F38</f>
        <v>#REF!</v>
      </c>
      <c r="G38" s="153">
        <v>130.43</v>
      </c>
      <c r="H38" s="153">
        <v>55.84</v>
      </c>
      <c r="I38" s="152">
        <f t="shared" si="0"/>
        <v>186.27</v>
      </c>
      <c r="J38" s="152">
        <f t="shared" si="1"/>
        <v>200.52</v>
      </c>
      <c r="K38" s="152">
        <f t="shared" si="2"/>
        <v>28.645714285714288</v>
      </c>
      <c r="L38" s="153">
        <f t="shared" si="3"/>
        <v>96.423387096774178</v>
      </c>
      <c r="M38" s="153">
        <f t="shared" si="4"/>
        <v>96.149769585253452</v>
      </c>
      <c r="N38" s="152" t="e">
        <f>J38+'July ANXII'!N38</f>
        <v>#REF!</v>
      </c>
      <c r="O38" s="153" t="e">
        <f t="shared" si="5"/>
        <v>#REF!</v>
      </c>
      <c r="P38" s="153" t="e">
        <f t="shared" si="6"/>
        <v>#REF!</v>
      </c>
      <c r="Q38" s="153" t="e">
        <f t="shared" si="7"/>
        <v>#REF!</v>
      </c>
      <c r="R38" s="154" t="str">
        <f>'[2]Annexure II'!B14</f>
        <v>Channapatna</v>
      </c>
      <c r="S38" s="154" t="e">
        <f t="shared" si="8"/>
        <v>#REF!</v>
      </c>
      <c r="T38" s="154" t="e">
        <f t="shared" si="8"/>
        <v>#REF!</v>
      </c>
    </row>
    <row r="39" spans="1:20" s="1" customFormat="1" ht="24.95" customHeight="1">
      <c r="A39" s="149">
        <v>26</v>
      </c>
      <c r="B39" s="150" t="s">
        <v>56</v>
      </c>
      <c r="C39" s="156">
        <v>22</v>
      </c>
      <c r="D39" s="156">
        <v>22</v>
      </c>
      <c r="E39" s="153">
        <v>0.39</v>
      </c>
      <c r="F39" s="153" t="e">
        <f>E39+'July ANXII'!F39</f>
        <v>#REF!</v>
      </c>
      <c r="G39" s="153">
        <v>6.79</v>
      </c>
      <c r="H39" s="153">
        <v>1.78</v>
      </c>
      <c r="I39" s="152">
        <f t="shared" si="0"/>
        <v>8.57</v>
      </c>
      <c r="J39" s="152">
        <f t="shared" si="1"/>
        <v>8.9600000000000009</v>
      </c>
      <c r="K39" s="152">
        <f t="shared" si="2"/>
        <v>0.40727272727272729</v>
      </c>
      <c r="L39" s="153">
        <f t="shared" si="3"/>
        <v>99.947641739980455</v>
      </c>
      <c r="M39" s="153">
        <f t="shared" si="4"/>
        <v>99.945259042033229</v>
      </c>
      <c r="N39" s="152" t="e">
        <f>J39+'July ANXII'!N39</f>
        <v>#REF!</v>
      </c>
      <c r="O39" s="153" t="e">
        <f t="shared" si="5"/>
        <v>#REF!</v>
      </c>
      <c r="P39" s="153" t="e">
        <f t="shared" si="6"/>
        <v>#REF!</v>
      </c>
      <c r="Q39" s="153" t="e">
        <f t="shared" si="7"/>
        <v>#REF!</v>
      </c>
      <c r="R39" s="154" t="str">
        <f>'[2]Annexure II'!B15</f>
        <v>Kanakapura</v>
      </c>
      <c r="S39" s="154" t="e">
        <f t="shared" si="8"/>
        <v>#REF!</v>
      </c>
      <c r="T39" s="154" t="e">
        <f t="shared" si="8"/>
        <v>#REF!</v>
      </c>
    </row>
    <row r="40" spans="1:20" s="1" customFormat="1" ht="24.95" customHeight="1">
      <c r="A40" s="177"/>
      <c r="B40"/>
      <c r="C40">
        <f>SUM(C14:C39)</f>
        <v>516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s="154"/>
      <c r="S40" s="154"/>
      <c r="T40" s="154"/>
    </row>
    <row r="41" spans="1:20" s="1" customFormat="1" ht="24.95" customHeight="1">
      <c r="A41" s="865" t="s">
        <v>116</v>
      </c>
      <c r="B41" s="865"/>
      <c r="C41" s="865"/>
      <c r="D41" s="865"/>
      <c r="E41" s="865"/>
      <c r="F41" s="865"/>
      <c r="G41" s="865"/>
      <c r="H41" s="865"/>
      <c r="I41" s="865"/>
      <c r="J41" s="865"/>
      <c r="K41" s="865"/>
      <c r="L41" s="865"/>
      <c r="M41" s="865"/>
      <c r="N41" s="865"/>
      <c r="O41" s="865"/>
      <c r="P41" s="865"/>
      <c r="Q41" s="865"/>
      <c r="R41" s="154"/>
      <c r="S41" s="154"/>
      <c r="T41" s="154"/>
    </row>
    <row r="42" spans="1:20" ht="18.75" customHeight="1" thickBot="1">
      <c r="B42" s="159"/>
      <c r="C42" s="160">
        <f>SUM(C14:C39)</f>
        <v>516</v>
      </c>
      <c r="D42" s="160">
        <f t="shared" ref="D42:O42" si="9">SUM(D14:D39)</f>
        <v>516</v>
      </c>
      <c r="E42" s="160">
        <f t="shared" si="9"/>
        <v>866.70469940049918</v>
      </c>
      <c r="F42" s="160" t="e">
        <f t="shared" si="9"/>
        <v>#REF!</v>
      </c>
      <c r="G42" s="160">
        <f t="shared" si="9"/>
        <v>6931.07</v>
      </c>
      <c r="H42" s="160">
        <f t="shared" si="9"/>
        <v>7405.5599999999995</v>
      </c>
      <c r="I42" s="160">
        <f t="shared" si="9"/>
        <v>14336.630000000001</v>
      </c>
      <c r="J42" s="160">
        <f t="shared" si="9"/>
        <v>15203.334699400499</v>
      </c>
      <c r="K42" s="160">
        <f t="shared" si="9"/>
        <v>675.12468560864465</v>
      </c>
      <c r="L42" s="64">
        <f>+(((C42*24)*30)-I42)*100/((C42*24)*30)</f>
        <v>96.141087962962956</v>
      </c>
      <c r="M42" s="64">
        <f>+(((C42*24)*30)-J42)*100/((C42*24)*30)</f>
        <v>95.907801814330185</v>
      </c>
      <c r="N42" s="160" t="e">
        <f t="shared" si="9"/>
        <v>#REF!</v>
      </c>
      <c r="O42" s="160" t="e">
        <f t="shared" si="9"/>
        <v>#REF!</v>
      </c>
      <c r="P42" s="64" t="e">
        <f>((C42*24*30)-(N42-E42))*100/(C42*24*30)</f>
        <v>#REF!</v>
      </c>
      <c r="Q42" s="64" t="e">
        <f>((C42*24*30)-(N42))*100/(C42*24*30)</f>
        <v>#REF!</v>
      </c>
    </row>
    <row r="43" spans="1:20" s="175" customFormat="1" ht="63" customHeight="1" thickBot="1">
      <c r="A43" s="846" t="s">
        <v>100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s="175" customFormat="1" ht="80.25" customHeight="1">
      <c r="A44" s="846" t="s">
        <v>101</v>
      </c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/>
      <c r="O44" s="847"/>
      <c r="P44" s="847"/>
      <c r="Q44" s="848"/>
    </row>
    <row r="45" spans="1:20" ht="20.25" hidden="1" customHeight="1">
      <c r="A45" s="839" t="s">
        <v>36</v>
      </c>
      <c r="B45" s="840"/>
      <c r="C45" s="840"/>
      <c r="D45" s="840"/>
      <c r="E45" s="840"/>
      <c r="F45" s="840"/>
      <c r="G45" s="840"/>
      <c r="H45" s="840"/>
      <c r="I45" s="840"/>
      <c r="J45" s="840"/>
      <c r="K45" s="840"/>
      <c r="L45" s="840"/>
      <c r="M45" s="840"/>
      <c r="N45" s="840"/>
      <c r="O45" s="840"/>
      <c r="P45" s="840"/>
      <c r="Q45" s="841"/>
    </row>
    <row r="46" spans="1:20" ht="27" hidden="1" customHeight="1" thickBot="1">
      <c r="A46" s="842"/>
      <c r="B46" s="843"/>
      <c r="C46" s="843"/>
      <c r="D46" s="843"/>
      <c r="E46" s="843"/>
      <c r="F46" s="843"/>
      <c r="G46" s="843"/>
      <c r="H46" s="843"/>
      <c r="I46" s="843"/>
      <c r="J46" s="843"/>
      <c r="K46" s="843"/>
      <c r="L46" s="843"/>
      <c r="M46" s="843"/>
      <c r="N46" s="843"/>
      <c r="O46" s="843"/>
      <c r="P46" s="843"/>
      <c r="Q46" s="844"/>
    </row>
    <row r="47" spans="1:20" hidden="1"/>
    <row r="54" spans="3:17">
      <c r="C54" s="146" t="e">
        <f>su</f>
        <v>#NAME?</v>
      </c>
      <c r="P54" s="161"/>
      <c r="Q54" s="161"/>
    </row>
    <row r="55" spans="3:17">
      <c r="C55" s="160"/>
      <c r="N55" s="161"/>
    </row>
    <row r="56" spans="3:17">
      <c r="N56" s="161"/>
    </row>
    <row r="58" spans="3:17">
      <c r="H58" s="146">
        <f>4667/89</f>
        <v>52.438202247191015</v>
      </c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>
      <c r="G70" s="162"/>
      <c r="H70" s="162"/>
      <c r="I70" s="162"/>
      <c r="J70" s="162"/>
      <c r="K70" s="162"/>
      <c r="L70" s="162"/>
      <c r="M70" s="162"/>
    </row>
    <row r="71" spans="7:18" ht="20.25">
      <c r="G71" s="162"/>
      <c r="H71" s="162"/>
      <c r="I71" s="163">
        <f>20000</f>
        <v>20000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5000</v>
      </c>
      <c r="J73" s="162"/>
      <c r="K73" s="162"/>
      <c r="L73" s="162"/>
      <c r="M73" s="162"/>
    </row>
    <row r="74" spans="7:18" ht="20.25">
      <c r="G74" s="162"/>
      <c r="H74" s="162"/>
      <c r="I74" s="163">
        <v>8000</v>
      </c>
      <c r="J74" s="162"/>
      <c r="K74" s="162"/>
      <c r="L74" s="162"/>
      <c r="M74" s="162"/>
    </row>
    <row r="75" spans="7:18" ht="20.25">
      <c r="G75" s="162"/>
      <c r="H75" s="162"/>
      <c r="I75" s="163">
        <f>SUM(I72:I74)</f>
        <v>18000</v>
      </c>
      <c r="J75" s="162"/>
      <c r="K75" s="162"/>
      <c r="L75" s="162"/>
      <c r="M75" s="162"/>
    </row>
    <row r="76" spans="7:18" ht="20.25">
      <c r="G76" s="162"/>
      <c r="H76" s="162"/>
      <c r="I76" s="163">
        <f>I71-I75</f>
        <v>2000</v>
      </c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2"/>
      <c r="M77" s="162"/>
    </row>
    <row r="78" spans="7:18" ht="20.25">
      <c r="G78" s="162"/>
      <c r="H78" s="162"/>
      <c r="I78" s="163"/>
      <c r="J78" s="162"/>
      <c r="K78" s="162"/>
      <c r="L78" s="161">
        <f>L14+L15+L16+L18+L17+L19+L20+L21+L22+L23+L24+L25+L26+L27+L28+L29+L30+L36+L31+L32+L33+L34+L35+L37+L38+L39</f>
        <v>2516.6708177343376</v>
      </c>
      <c r="M78" s="161">
        <f>M14+M15+M16+M18+M17+M19+M20+M21+M22+M23+M24+M25+M26+M27+M28+M29+M30+M36+M31+M32+M33+M34+M35+M37+M38+M39</f>
        <v>2509.257434730021</v>
      </c>
      <c r="P78" s="161" t="e">
        <f>P14+P15+P16+P18+P17+P19+P20+P21+P22+P23+P24+P25+P26+P27+P28+P29+P30+P36+P31+P32+P33+P34+P35+P37+P38+P39</f>
        <v>#REF!</v>
      </c>
      <c r="Q78" s="161" t="e">
        <f>Q14+Q15+Q16+Q18+Q17+Q19+Q20+Q21+Q22+Q23+Q24+Q25+Q26+Q27+Q28+Q29+Q30+Q36+Q31+Q32+Q33+Q34+Q35+Q37+Q38+Q39</f>
        <v>#REF!</v>
      </c>
      <c r="R78" s="161" t="e">
        <f>R14+R15+R16+R18+R17+R19+R20+R23+R24+R25+R26+R27+R28+R29+R30+R36+R31+R32+R33+R34+R35+R37+R38+R39</f>
        <v>#VALUE!</v>
      </c>
    </row>
    <row r="79" spans="7:18">
      <c r="G79" s="162"/>
      <c r="H79" s="162"/>
      <c r="I79" s="162"/>
      <c r="J79" s="162"/>
      <c r="K79" s="162"/>
      <c r="L79" s="146">
        <f>L78/26</f>
        <v>96.795031451320682</v>
      </c>
      <c r="M79" s="146">
        <f>M78/26</f>
        <v>96.509901335770039</v>
      </c>
      <c r="P79" s="146" t="e">
        <f>P78/26</f>
        <v>#REF!</v>
      </c>
      <c r="Q79" s="146" t="e">
        <f>Q78/26</f>
        <v>#REF!</v>
      </c>
    </row>
    <row r="80" spans="7:18">
      <c r="G80" s="162"/>
      <c r="H80" s="162"/>
      <c r="I80" s="162"/>
      <c r="J80" s="162"/>
      <c r="K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  <row r="88" spans="7:13">
      <c r="G88" s="162"/>
      <c r="H88" s="162"/>
      <c r="I88" s="162"/>
      <c r="J88" s="162"/>
      <c r="K88" s="162"/>
      <c r="L88" s="162"/>
      <c r="M88" s="162"/>
    </row>
  </sheetData>
  <mergeCells count="17">
    <mergeCell ref="A45:Q46"/>
    <mergeCell ref="G11:I11"/>
    <mergeCell ref="J11:M11"/>
    <mergeCell ref="N11:Q11"/>
    <mergeCell ref="A41:Q41"/>
    <mergeCell ref="A43:Q43"/>
    <mergeCell ref="A44:Q44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1" manualBreakCount="1">
    <brk id="41" max="16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zoomScale="85" zoomScaleSheetLayoutView="85" workbookViewId="0">
      <selection activeCell="I34" activeCellId="1" sqref="I34 L36"/>
    </sheetView>
  </sheetViews>
  <sheetFormatPr defaultRowHeight="12.75"/>
  <cols>
    <col min="1" max="1" width="5.85546875" style="146" customWidth="1"/>
    <col min="2" max="2" width="19.85546875" style="146" customWidth="1"/>
    <col min="3" max="3" width="8" style="146" customWidth="1"/>
    <col min="4" max="4" width="7.5703125" style="146" customWidth="1"/>
    <col min="5" max="5" width="11.28515625" style="146" customWidth="1"/>
    <col min="6" max="6" width="11" style="146" customWidth="1"/>
    <col min="7" max="7" width="14.5703125" style="146" customWidth="1"/>
    <col min="8" max="8" width="12.7109375" style="146" customWidth="1"/>
    <col min="9" max="9" width="12.5703125" style="146" customWidth="1"/>
    <col min="10" max="10" width="12.7109375" style="146" customWidth="1"/>
    <col min="11" max="11" width="12.28515625" style="146" customWidth="1"/>
    <col min="12" max="12" width="14" style="146" customWidth="1"/>
    <col min="13" max="13" width="18.5703125" style="146" customWidth="1"/>
    <col min="14" max="14" width="13.28515625" style="146" customWidth="1"/>
    <col min="15" max="15" width="13.140625" style="146" customWidth="1"/>
    <col min="16" max="16" width="11.42578125" style="146" customWidth="1"/>
    <col min="17" max="17" width="14.85546875" style="146" customWidth="1"/>
    <col min="18" max="16384" width="9.140625" style="146"/>
  </cols>
  <sheetData>
    <row r="1" spans="1:20" ht="24.75" customHeight="1">
      <c r="A1" s="827" t="s">
        <v>0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</row>
    <row r="2" spans="1:20" ht="17.25" customHeight="1">
      <c r="A2" s="866" t="s">
        <v>57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</row>
    <row r="3" spans="1:20" s="2" customFormat="1" ht="18.75" customHeight="1">
      <c r="A3" s="867" t="s">
        <v>114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</row>
    <row r="4" spans="1:20" ht="14.25" customHeight="1">
      <c r="A4" s="868"/>
      <c r="B4" s="868"/>
      <c r="C4" s="868"/>
      <c r="D4" s="868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</row>
    <row r="5" spans="1:20" s="3" customFormat="1" ht="23.25" customHeight="1">
      <c r="A5" s="869" t="s">
        <v>2</v>
      </c>
      <c r="B5" s="869" t="s">
        <v>58</v>
      </c>
      <c r="C5" s="869" t="s">
        <v>4</v>
      </c>
      <c r="D5" s="869" t="s">
        <v>5</v>
      </c>
      <c r="E5" s="869" t="s">
        <v>6</v>
      </c>
      <c r="F5" s="869" t="s">
        <v>7</v>
      </c>
      <c r="G5" s="872" t="s">
        <v>39</v>
      </c>
      <c r="H5" s="872"/>
      <c r="I5" s="872"/>
      <c r="J5" s="872" t="s">
        <v>115</v>
      </c>
      <c r="K5" s="872"/>
      <c r="L5" s="872"/>
      <c r="M5" s="872"/>
      <c r="N5" s="872" t="s">
        <v>72</v>
      </c>
      <c r="O5" s="872"/>
      <c r="P5" s="872"/>
      <c r="Q5" s="872"/>
    </row>
    <row r="6" spans="1:20" s="3" customFormat="1" ht="87.75" customHeight="1">
      <c r="A6" s="869"/>
      <c r="B6" s="869"/>
      <c r="C6" s="869"/>
      <c r="D6" s="869"/>
      <c r="E6" s="869"/>
      <c r="F6" s="869"/>
      <c r="G6" s="165" t="s">
        <v>9</v>
      </c>
      <c r="H6" s="165" t="s">
        <v>10</v>
      </c>
      <c r="I6" s="165" t="s">
        <v>11</v>
      </c>
      <c r="J6" s="165" t="s">
        <v>12</v>
      </c>
      <c r="K6" s="165" t="s">
        <v>13</v>
      </c>
      <c r="L6" s="165" t="s">
        <v>78</v>
      </c>
      <c r="M6" s="165" t="s">
        <v>14</v>
      </c>
      <c r="N6" s="165" t="s">
        <v>59</v>
      </c>
      <c r="O6" s="165" t="s">
        <v>16</v>
      </c>
      <c r="P6" s="165" t="s">
        <v>17</v>
      </c>
      <c r="Q6" s="165" t="s">
        <v>18</v>
      </c>
    </row>
    <row r="7" spans="1:20" ht="18" customHeight="1">
      <c r="A7" s="147">
        <v>1</v>
      </c>
      <c r="B7" s="147" t="s">
        <v>40</v>
      </c>
      <c r="C7" s="147">
        <v>3</v>
      </c>
      <c r="D7" s="147">
        <v>4</v>
      </c>
      <c r="E7" s="147">
        <v>5</v>
      </c>
      <c r="F7" s="147" t="s">
        <v>19</v>
      </c>
      <c r="G7" s="147">
        <v>6</v>
      </c>
      <c r="H7" s="147">
        <v>7</v>
      </c>
      <c r="I7" s="147" t="s">
        <v>20</v>
      </c>
      <c r="J7" s="147" t="s">
        <v>21</v>
      </c>
      <c r="K7" s="148" t="s">
        <v>22</v>
      </c>
      <c r="L7" s="147" t="s">
        <v>23</v>
      </c>
      <c r="M7" s="147" t="s">
        <v>24</v>
      </c>
      <c r="N7" s="147">
        <v>13</v>
      </c>
      <c r="O7" s="147" t="s">
        <v>25</v>
      </c>
      <c r="P7" s="147">
        <v>15</v>
      </c>
      <c r="Q7" s="147">
        <v>16</v>
      </c>
    </row>
    <row r="8" spans="1:20" ht="24.95" customHeight="1">
      <c r="A8" s="149">
        <v>1</v>
      </c>
      <c r="B8" s="166" t="s">
        <v>60</v>
      </c>
      <c r="C8">
        <v>229</v>
      </c>
      <c r="D8" s="151">
        <v>226</v>
      </c>
      <c r="E8" s="152">
        <v>180.2</v>
      </c>
      <c r="F8" s="152" t="e">
        <f>E8+'July ANXIII'!F8</f>
        <v>#REF!</v>
      </c>
      <c r="G8" s="152">
        <v>4354.0000000000018</v>
      </c>
      <c r="H8" s="152">
        <v>2826.5200000000009</v>
      </c>
      <c r="I8" s="152">
        <f>G8+H8</f>
        <v>7180.5200000000023</v>
      </c>
      <c r="J8" s="152">
        <f>E8+I8</f>
        <v>7360.7200000000021</v>
      </c>
      <c r="K8" s="152">
        <f>J8/C8</f>
        <v>32.142882096069876</v>
      </c>
      <c r="L8" s="153">
        <f>+(((C8*18)*31)-I8)*100/((C8*18)*31)</f>
        <v>94.380648291621668</v>
      </c>
      <c r="M8" s="153">
        <f>+(((C8*18)*31)-J8)*100/((C8*18)*31)</f>
        <v>94.239626864503606</v>
      </c>
      <c r="N8" s="152" t="e">
        <f>J8+'July ANXIII'!N8</f>
        <v>#REF!</v>
      </c>
      <c r="O8" s="153" t="e">
        <f>N8/C8</f>
        <v>#REF!</v>
      </c>
      <c r="P8" s="153" t="e">
        <f>((C8*18*153)-(N8-E8))*100/(C8*18*153)</f>
        <v>#REF!</v>
      </c>
      <c r="Q8" s="153" t="e">
        <f>((C8*18*153)-(N8))*100/(C8*18*153)</f>
        <v>#REF!</v>
      </c>
      <c r="R8" s="161" t="e">
        <f>L8-P8</f>
        <v>#REF!</v>
      </c>
      <c r="S8" s="161" t="e">
        <f>M8-Q8</f>
        <v>#REF!</v>
      </c>
    </row>
    <row r="9" spans="1:20" ht="24.95" customHeight="1">
      <c r="A9" s="149">
        <v>2</v>
      </c>
      <c r="B9" s="166" t="s">
        <v>43</v>
      </c>
      <c r="C9">
        <v>167</v>
      </c>
      <c r="D9" s="151">
        <v>167</v>
      </c>
      <c r="E9" s="152">
        <v>43</v>
      </c>
      <c r="F9" s="152" t="e">
        <f>E9+'July ANXIII'!F9</f>
        <v>#REF!</v>
      </c>
      <c r="G9" s="152">
        <v>5850.67</v>
      </c>
      <c r="H9" s="152">
        <v>2942.9</v>
      </c>
      <c r="I9" s="152">
        <f t="shared" ref="I9:I30" si="0">G9+H9</f>
        <v>8793.57</v>
      </c>
      <c r="J9" s="152">
        <f t="shared" ref="J9:J30" si="1">E9+I9</f>
        <v>8836.57</v>
      </c>
      <c r="K9" s="152">
        <f t="shared" ref="K9:K30" si="2">J9/C9</f>
        <v>52.913592814371256</v>
      </c>
      <c r="L9" s="153">
        <f t="shared" ref="L9:L30" si="3">+(((C9*18)*31)-I9)*100/((C9*18)*31)</f>
        <v>90.563421544008762</v>
      </c>
      <c r="M9" s="153">
        <f t="shared" ref="M9:M30" si="4">+(((C9*18)*31)-J9)*100/((C9*18)*31)</f>
        <v>90.517277273410173</v>
      </c>
      <c r="N9" s="152" t="e">
        <f>J9+'July ANXIII'!N9</f>
        <v>#REF!</v>
      </c>
      <c r="O9" s="153" t="e">
        <f t="shared" ref="O9:O30" si="5">N9/C9</f>
        <v>#REF!</v>
      </c>
      <c r="P9" s="153" t="e">
        <f t="shared" ref="P9:P30" si="6">((C9*18*153)-(N9-E9))*100/(C9*18*153)</f>
        <v>#REF!</v>
      </c>
      <c r="Q9" s="153" t="e">
        <f t="shared" ref="Q9:Q30" si="7">((C9*18*153)-(N9))*100/(C9*18*153)</f>
        <v>#REF!</v>
      </c>
      <c r="R9" s="161" t="e">
        <f t="shared" ref="R9:S55" si="8">L9-P9</f>
        <v>#REF!</v>
      </c>
      <c r="S9" s="161" t="e">
        <f t="shared" si="8"/>
        <v>#REF!</v>
      </c>
    </row>
    <row r="10" spans="1:20" ht="24.95" customHeight="1">
      <c r="A10" s="149">
        <v>3</v>
      </c>
      <c r="B10" s="166" t="s">
        <v>27</v>
      </c>
      <c r="C10">
        <v>178</v>
      </c>
      <c r="D10" s="151">
        <v>178</v>
      </c>
      <c r="E10" s="152">
        <v>125.4</v>
      </c>
      <c r="F10" s="152" t="e">
        <f>E10+'July ANXIII'!F10</f>
        <v>#REF!</v>
      </c>
      <c r="G10" s="152">
        <v>3339.33</v>
      </c>
      <c r="H10" s="152">
        <v>3378.57</v>
      </c>
      <c r="I10" s="152">
        <f t="shared" si="0"/>
        <v>6717.9</v>
      </c>
      <c r="J10" s="152">
        <f t="shared" si="1"/>
        <v>6843.2999999999993</v>
      </c>
      <c r="K10" s="152">
        <f t="shared" si="2"/>
        <v>38.445505617977524</v>
      </c>
      <c r="L10" s="153">
        <f t="shared" si="3"/>
        <v>93.236377914703397</v>
      </c>
      <c r="M10" s="153">
        <f t="shared" si="4"/>
        <v>93.110124441222666</v>
      </c>
      <c r="N10" s="152" t="e">
        <f>J10+'July ANXIII'!N10</f>
        <v>#REF!</v>
      </c>
      <c r="O10" s="153" t="e">
        <f t="shared" si="5"/>
        <v>#REF!</v>
      </c>
      <c r="P10" s="153" t="e">
        <f t="shared" si="6"/>
        <v>#REF!</v>
      </c>
      <c r="Q10" s="153" t="e">
        <f t="shared" si="7"/>
        <v>#REF!</v>
      </c>
      <c r="R10" s="161" t="e">
        <f t="shared" si="8"/>
        <v>#REF!</v>
      </c>
      <c r="S10" s="161" t="e">
        <f t="shared" si="8"/>
        <v>#REF!</v>
      </c>
    </row>
    <row r="11" spans="1:20" ht="24.95" customHeight="1">
      <c r="A11" s="149">
        <v>4</v>
      </c>
      <c r="B11" s="166" t="s">
        <v>44</v>
      </c>
      <c r="C11">
        <v>190</v>
      </c>
      <c r="D11" s="151">
        <v>190</v>
      </c>
      <c r="E11" s="152">
        <v>45.280195163999998</v>
      </c>
      <c r="F11" s="152" t="e">
        <f>E11+'July ANXIII'!F11</f>
        <v>#REF!</v>
      </c>
      <c r="G11" s="152">
        <v>2763.17</v>
      </c>
      <c r="H11" s="152">
        <v>1045.3599999999999</v>
      </c>
      <c r="I11" s="152">
        <f t="shared" si="0"/>
        <v>3808.5299999999997</v>
      </c>
      <c r="J11" s="152">
        <f t="shared" si="1"/>
        <v>3853.8101951639997</v>
      </c>
      <c r="K11" s="152">
        <f t="shared" si="2"/>
        <v>20.283211553494734</v>
      </c>
      <c r="L11" s="153">
        <f t="shared" si="3"/>
        <v>96.407724957555175</v>
      </c>
      <c r="M11" s="153">
        <f t="shared" si="4"/>
        <v>96.365015850628197</v>
      </c>
      <c r="N11" s="152" t="e">
        <f>J11+'July ANXIII'!N11</f>
        <v>#REF!</v>
      </c>
      <c r="O11" s="153" t="e">
        <f t="shared" si="5"/>
        <v>#REF!</v>
      </c>
      <c r="P11" s="153" t="e">
        <f t="shared" si="6"/>
        <v>#REF!</v>
      </c>
      <c r="Q11" s="153" t="e">
        <f t="shared" si="7"/>
        <v>#REF!</v>
      </c>
      <c r="R11" s="161" t="e">
        <f t="shared" si="8"/>
        <v>#REF!</v>
      </c>
      <c r="S11" s="161" t="e">
        <f t="shared" si="8"/>
        <v>#REF!</v>
      </c>
    </row>
    <row r="12" spans="1:20" s="167" customFormat="1" ht="25.5" customHeight="1">
      <c r="A12" s="149">
        <v>5</v>
      </c>
      <c r="B12" s="166" t="s">
        <v>28</v>
      </c>
      <c r="C12">
        <v>385</v>
      </c>
      <c r="D12" s="156">
        <v>365</v>
      </c>
      <c r="E12" s="152">
        <v>65</v>
      </c>
      <c r="F12" s="152" t="e">
        <f>E12+'July ANXIII'!F12</f>
        <v>#REF!</v>
      </c>
      <c r="G12" s="152">
        <v>4534</v>
      </c>
      <c r="H12" s="152">
        <v>6472</v>
      </c>
      <c r="I12" s="152">
        <f t="shared" si="0"/>
        <v>11006</v>
      </c>
      <c r="J12" s="152">
        <f t="shared" si="1"/>
        <v>11071</v>
      </c>
      <c r="K12" s="152">
        <f t="shared" si="2"/>
        <v>28.755844155844155</v>
      </c>
      <c r="L12" s="153">
        <f t="shared" si="3"/>
        <v>94.876879393008423</v>
      </c>
      <c r="M12" s="153">
        <f t="shared" si="4"/>
        <v>94.846622911139036</v>
      </c>
      <c r="N12" s="152" t="e">
        <f>J12+'July ANXIII'!N12</f>
        <v>#REF!</v>
      </c>
      <c r="O12" s="153" t="e">
        <f t="shared" si="5"/>
        <v>#REF!</v>
      </c>
      <c r="P12" s="153" t="e">
        <f t="shared" si="6"/>
        <v>#REF!</v>
      </c>
      <c r="Q12" s="153" t="e">
        <f t="shared" si="7"/>
        <v>#REF!</v>
      </c>
      <c r="R12" s="161" t="e">
        <f t="shared" si="8"/>
        <v>#REF!</v>
      </c>
      <c r="S12" s="161" t="e">
        <f t="shared" si="8"/>
        <v>#REF!</v>
      </c>
      <c r="T12" s="167">
        <f>E12/60</f>
        <v>1.0833333333333333</v>
      </c>
    </row>
    <row r="13" spans="1:20" s="167" customFormat="1" ht="25.5" customHeight="1">
      <c r="A13" s="149">
        <v>6</v>
      </c>
      <c r="B13" s="168" t="s">
        <v>45</v>
      </c>
      <c r="C13">
        <v>187</v>
      </c>
      <c r="D13" s="156">
        <v>187</v>
      </c>
      <c r="E13" s="152">
        <v>84</v>
      </c>
      <c r="F13" s="152" t="e">
        <f>E13+'July ANXIII'!F13</f>
        <v>#REF!</v>
      </c>
      <c r="G13" s="152">
        <v>3125.35</v>
      </c>
      <c r="H13" s="152">
        <v>2146.35</v>
      </c>
      <c r="I13" s="152">
        <f t="shared" si="0"/>
        <v>5271.7</v>
      </c>
      <c r="J13" s="152">
        <f t="shared" si="1"/>
        <v>5355.7</v>
      </c>
      <c r="K13" s="152">
        <f t="shared" si="2"/>
        <v>28.640106951871658</v>
      </c>
      <c r="L13" s="153">
        <f t="shared" si="3"/>
        <v>94.947865754317363</v>
      </c>
      <c r="M13" s="153">
        <f t="shared" si="4"/>
        <v>94.867364345542711</v>
      </c>
      <c r="N13" s="152" t="e">
        <f>J13+'July ANXIII'!N13</f>
        <v>#REF!</v>
      </c>
      <c r="O13" s="153" t="e">
        <f t="shared" si="5"/>
        <v>#REF!</v>
      </c>
      <c r="P13" s="153" t="e">
        <f t="shared" si="6"/>
        <v>#REF!</v>
      </c>
      <c r="Q13" s="153" t="e">
        <f t="shared" si="7"/>
        <v>#REF!</v>
      </c>
      <c r="R13" s="161" t="e">
        <f t="shared" si="8"/>
        <v>#REF!</v>
      </c>
      <c r="S13" s="161" t="e">
        <f t="shared" si="8"/>
        <v>#REF!</v>
      </c>
      <c r="T13" s="167">
        <f>E13/60</f>
        <v>1.4</v>
      </c>
    </row>
    <row r="14" spans="1:20" s="167" customFormat="1" ht="25.5" customHeight="1">
      <c r="A14" s="149">
        <v>7</v>
      </c>
      <c r="B14" s="168" t="s">
        <v>88</v>
      </c>
      <c r="C14">
        <v>272</v>
      </c>
      <c r="D14" s="156">
        <v>272</v>
      </c>
      <c r="E14" s="152">
        <v>38</v>
      </c>
      <c r="F14" s="152" t="e">
        <f>E14+'July ANXIII'!F14</f>
        <v>#REF!</v>
      </c>
      <c r="G14" s="152">
        <v>4360</v>
      </c>
      <c r="H14" s="152">
        <v>2767</v>
      </c>
      <c r="I14" s="152">
        <f t="shared" si="0"/>
        <v>7127</v>
      </c>
      <c r="J14" s="152">
        <f t="shared" si="1"/>
        <v>7165</v>
      </c>
      <c r="K14" s="152">
        <f t="shared" si="2"/>
        <v>26.341911764705884</v>
      </c>
      <c r="L14" s="153">
        <f t="shared" si="3"/>
        <v>95.304264178789794</v>
      </c>
      <c r="M14" s="153">
        <f t="shared" si="4"/>
        <v>95.279227282310771</v>
      </c>
      <c r="N14" s="152" t="e">
        <f>J14+'July ANXIII'!N14</f>
        <v>#REF!</v>
      </c>
      <c r="O14" s="153" t="e">
        <f t="shared" si="5"/>
        <v>#REF!</v>
      </c>
      <c r="P14" s="153" t="e">
        <f t="shared" si="6"/>
        <v>#REF!</v>
      </c>
      <c r="Q14" s="153" t="e">
        <f t="shared" si="7"/>
        <v>#REF!</v>
      </c>
      <c r="R14" s="161" t="e">
        <f t="shared" si="8"/>
        <v>#REF!</v>
      </c>
      <c r="S14" s="161" t="e">
        <f t="shared" si="8"/>
        <v>#REF!</v>
      </c>
      <c r="T14" s="167">
        <f>E14/60</f>
        <v>0.6333333333333333</v>
      </c>
    </row>
    <row r="15" spans="1:20" s="167" customFormat="1" ht="25.5" customHeight="1">
      <c r="A15" s="149">
        <v>8</v>
      </c>
      <c r="B15" s="168" t="s">
        <v>30</v>
      </c>
      <c r="C15">
        <v>134</v>
      </c>
      <c r="D15" s="169">
        <v>134</v>
      </c>
      <c r="E15" s="170">
        <v>38.700000000000003</v>
      </c>
      <c r="F15" s="152" t="e">
        <f>E15+'July ANXIII'!F15</f>
        <v>#REF!</v>
      </c>
      <c r="G15" s="152">
        <v>726.23</v>
      </c>
      <c r="H15" s="152">
        <v>398.1</v>
      </c>
      <c r="I15" s="152">
        <f t="shared" si="0"/>
        <v>1124.33</v>
      </c>
      <c r="J15" s="152">
        <f t="shared" si="1"/>
        <v>1163.03</v>
      </c>
      <c r="K15" s="152">
        <f t="shared" si="2"/>
        <v>8.6793283582089558</v>
      </c>
      <c r="L15" s="153">
        <f t="shared" si="3"/>
        <v>98.496322152677479</v>
      </c>
      <c r="M15" s="153">
        <f t="shared" si="4"/>
        <v>98.444564810356823</v>
      </c>
      <c r="N15" s="152" t="e">
        <f>J15+'July ANXIII'!N15</f>
        <v>#REF!</v>
      </c>
      <c r="O15" s="153" t="e">
        <f t="shared" si="5"/>
        <v>#REF!</v>
      </c>
      <c r="P15" s="153" t="e">
        <f t="shared" si="6"/>
        <v>#REF!</v>
      </c>
      <c r="Q15" s="153" t="e">
        <f t="shared" si="7"/>
        <v>#REF!</v>
      </c>
      <c r="R15" s="161" t="e">
        <f t="shared" si="8"/>
        <v>#REF!</v>
      </c>
      <c r="S15" s="161" t="e">
        <f t="shared" si="8"/>
        <v>#REF!</v>
      </c>
    </row>
    <row r="16" spans="1:20" s="167" customFormat="1" ht="25.5" customHeight="1">
      <c r="A16" s="149">
        <v>9</v>
      </c>
      <c r="B16" s="168" t="s">
        <v>47</v>
      </c>
      <c r="C16">
        <v>161</v>
      </c>
      <c r="D16" s="169">
        <v>161</v>
      </c>
      <c r="E16" s="170">
        <v>215</v>
      </c>
      <c r="F16" s="152" t="e">
        <f>E16+'July ANXIII'!F16</f>
        <v>#REF!</v>
      </c>
      <c r="G16" s="170">
        <v>368</v>
      </c>
      <c r="H16" s="170">
        <v>136.80000000000001</v>
      </c>
      <c r="I16" s="152">
        <f t="shared" si="0"/>
        <v>504.8</v>
      </c>
      <c r="J16" s="152">
        <f t="shared" si="1"/>
        <v>719.8</v>
      </c>
      <c r="K16" s="152">
        <f t="shared" si="2"/>
        <v>4.4708074534161488</v>
      </c>
      <c r="L16" s="153">
        <f t="shared" si="3"/>
        <v>99.438099690554111</v>
      </c>
      <c r="M16" s="153">
        <f t="shared" si="4"/>
        <v>99.198780026269503</v>
      </c>
      <c r="N16" s="152" t="e">
        <f>J16+'July ANXIII'!N16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61" t="e">
        <f t="shared" si="8"/>
        <v>#REF!</v>
      </c>
      <c r="S16" s="161" t="e">
        <f t="shared" si="8"/>
        <v>#REF!</v>
      </c>
      <c r="T16" s="167">
        <f>E16/60</f>
        <v>3.5833333333333335</v>
      </c>
    </row>
    <row r="17" spans="1:20" s="167" customFormat="1" ht="25.5" customHeight="1">
      <c r="A17" s="149">
        <v>10</v>
      </c>
      <c r="B17" s="168" t="s">
        <v>48</v>
      </c>
      <c r="C17">
        <v>173</v>
      </c>
      <c r="D17" s="169">
        <v>173</v>
      </c>
      <c r="E17" s="170">
        <v>194.2</v>
      </c>
      <c r="F17" s="152" t="e">
        <f>E17+'July ANXIII'!F17</f>
        <v>#REF!</v>
      </c>
      <c r="G17" s="170">
        <v>313.35000000000002</v>
      </c>
      <c r="H17" s="170">
        <v>242.11</v>
      </c>
      <c r="I17" s="152">
        <f t="shared" si="0"/>
        <v>555.46</v>
      </c>
      <c r="J17" s="152">
        <f t="shared" si="1"/>
        <v>749.66000000000008</v>
      </c>
      <c r="K17" s="152">
        <f t="shared" si="2"/>
        <v>4.333294797687862</v>
      </c>
      <c r="L17" s="153">
        <f t="shared" si="3"/>
        <v>99.424596515217431</v>
      </c>
      <c r="M17" s="153">
        <f t="shared" si="4"/>
        <v>99.22342387138211</v>
      </c>
      <c r="N17" s="152" t="e">
        <f>J17+'July ANXIII'!N17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61" t="e">
        <f t="shared" si="8"/>
        <v>#REF!</v>
      </c>
      <c r="S17" s="161" t="e">
        <f t="shared" si="8"/>
        <v>#REF!</v>
      </c>
      <c r="T17" s="167">
        <f>E17/60</f>
        <v>3.2366666666666664</v>
      </c>
    </row>
    <row r="18" spans="1:20" s="167" customFormat="1" ht="25.5" customHeight="1">
      <c r="A18" s="149">
        <v>11</v>
      </c>
      <c r="B18" s="168" t="s">
        <v>63</v>
      </c>
      <c r="C18">
        <v>120</v>
      </c>
      <c r="D18" s="169">
        <v>120</v>
      </c>
      <c r="E18" s="170">
        <v>56.3</v>
      </c>
      <c r="F18" s="152" t="e">
        <f>E18+'July ANXIII'!F18</f>
        <v>#REF!</v>
      </c>
      <c r="G18" s="170">
        <v>572.45000000000005</v>
      </c>
      <c r="H18" s="170">
        <v>407.5</v>
      </c>
      <c r="I18" s="152">
        <f t="shared" si="0"/>
        <v>979.95</v>
      </c>
      <c r="J18" s="152">
        <f t="shared" si="1"/>
        <v>1036.25</v>
      </c>
      <c r="K18" s="152">
        <f t="shared" si="2"/>
        <v>8.6354166666666661</v>
      </c>
      <c r="L18" s="153">
        <f t="shared" si="3"/>
        <v>98.536514336917563</v>
      </c>
      <c r="M18" s="153">
        <f t="shared" si="4"/>
        <v>98.452434289127837</v>
      </c>
      <c r="N18" s="152" t="e">
        <f>J18+'July ANXIII'!N18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61" t="e">
        <f t="shared" si="8"/>
        <v>#REF!</v>
      </c>
      <c r="S18" s="161" t="e">
        <f t="shared" si="8"/>
        <v>#REF!</v>
      </c>
    </row>
    <row r="19" spans="1:20" s="167" customFormat="1" ht="25.5" hidden="1" customHeight="1">
      <c r="A19" s="149">
        <v>12</v>
      </c>
      <c r="B19" s="168" t="s">
        <v>50</v>
      </c>
      <c r="C19">
        <v>33</v>
      </c>
      <c r="D19" s="169">
        <f>C19</f>
        <v>33</v>
      </c>
      <c r="E19" s="170">
        <v>35.25</v>
      </c>
      <c r="F19" s="152" t="e">
        <f>E19+'July ANXIII'!F19</f>
        <v>#REF!</v>
      </c>
      <c r="G19" s="170">
        <v>529.16</v>
      </c>
      <c r="H19" s="170">
        <v>519.20000000000005</v>
      </c>
      <c r="I19" s="152">
        <f t="shared" si="0"/>
        <v>1048.3600000000001</v>
      </c>
      <c r="J19" s="152">
        <f t="shared" si="1"/>
        <v>1083.6100000000001</v>
      </c>
      <c r="K19" s="152">
        <f t="shared" si="2"/>
        <v>32.836666666666673</v>
      </c>
      <c r="L19" s="153">
        <f t="shared" si="3"/>
        <v>94.306723145432827</v>
      </c>
      <c r="M19" s="153">
        <f t="shared" si="4"/>
        <v>94.115292712066903</v>
      </c>
      <c r="N19" s="152" t="e">
        <f>J19+'July ANXIII'!N19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61" t="e">
        <f t="shared" si="8"/>
        <v>#REF!</v>
      </c>
      <c r="S19" s="161" t="e">
        <f t="shared" si="8"/>
        <v>#REF!</v>
      </c>
    </row>
    <row r="20" spans="1:20" s="167" customFormat="1" ht="25.5" hidden="1" customHeight="1">
      <c r="A20" s="149">
        <v>13</v>
      </c>
      <c r="B20" s="168" t="s">
        <v>51</v>
      </c>
      <c r="C20">
        <v>31</v>
      </c>
      <c r="D20" s="169">
        <f>C20</f>
        <v>31</v>
      </c>
      <c r="E20" s="170">
        <v>89.85</v>
      </c>
      <c r="F20" s="152" t="e">
        <f>E20+'July ANXIII'!F20</f>
        <v>#REF!</v>
      </c>
      <c r="G20" s="170">
        <v>936.7</v>
      </c>
      <c r="H20" s="170">
        <v>1287.5</v>
      </c>
      <c r="I20" s="152">
        <f t="shared" si="0"/>
        <v>2224.1999999999998</v>
      </c>
      <c r="J20" s="152">
        <f t="shared" si="1"/>
        <v>2314.0499999999997</v>
      </c>
      <c r="K20" s="152">
        <f t="shared" si="2"/>
        <v>74.646774193548382</v>
      </c>
      <c r="L20" s="153">
        <f t="shared" si="3"/>
        <v>87.141866111689211</v>
      </c>
      <c r="M20" s="153">
        <f t="shared" si="4"/>
        <v>86.622441900797781</v>
      </c>
      <c r="N20" s="152" t="e">
        <f>J20+'July ANXIII'!N20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61" t="e">
        <f t="shared" si="8"/>
        <v>#REF!</v>
      </c>
      <c r="S20" s="161" t="e">
        <f t="shared" si="8"/>
        <v>#REF!</v>
      </c>
    </row>
    <row r="21" spans="1:20" s="173" customFormat="1" ht="25.5" customHeight="1">
      <c r="A21" s="44">
        <v>12</v>
      </c>
      <c r="B21" s="168" t="s">
        <v>99</v>
      </c>
      <c r="C21">
        <f>C19+C20</f>
        <v>64</v>
      </c>
      <c r="D21" s="169">
        <f>D19+D20</f>
        <v>64</v>
      </c>
      <c r="E21" s="170">
        <f>E19+E20</f>
        <v>125.1</v>
      </c>
      <c r="F21" s="152" t="e">
        <f>E21+'July ANXIII'!F21</f>
        <v>#REF!</v>
      </c>
      <c r="G21" s="60">
        <f>SUM(G19:G20)</f>
        <v>1465.8600000000001</v>
      </c>
      <c r="H21" s="60">
        <f>SUM(H19:H20)</f>
        <v>1806.7</v>
      </c>
      <c r="I21" s="152">
        <f t="shared" si="0"/>
        <v>3272.5600000000004</v>
      </c>
      <c r="J21" s="152">
        <f t="shared" si="1"/>
        <v>3397.6600000000003</v>
      </c>
      <c r="K21" s="152">
        <f t="shared" si="2"/>
        <v>53.088437500000005</v>
      </c>
      <c r="L21" s="153">
        <f t="shared" si="3"/>
        <v>90.836245519713259</v>
      </c>
      <c r="M21" s="153">
        <f t="shared" si="4"/>
        <v>90.485943100358426</v>
      </c>
      <c r="N21" s="152" t="e">
        <f>J21+'July ANXIII'!N21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72"/>
      <c r="S21" s="172"/>
    </row>
    <row r="22" spans="1:20" s="167" customFormat="1" ht="25.5" hidden="1" customHeight="1">
      <c r="A22" s="44">
        <v>14</v>
      </c>
      <c r="B22" s="168" t="s">
        <v>52</v>
      </c>
      <c r="C22">
        <v>14</v>
      </c>
      <c r="D22" s="59">
        <v>14</v>
      </c>
      <c r="E22" s="170">
        <v>12.07</v>
      </c>
      <c r="F22" s="152" t="e">
        <f>E22+'July ANXIII'!F22</f>
        <v>#REF!</v>
      </c>
      <c r="G22" s="60">
        <v>80.319999999999993</v>
      </c>
      <c r="H22" s="60">
        <v>122.83</v>
      </c>
      <c r="I22" s="152">
        <f t="shared" si="0"/>
        <v>203.14999999999998</v>
      </c>
      <c r="J22" s="152">
        <f t="shared" si="1"/>
        <v>215.21999999999997</v>
      </c>
      <c r="K22" s="152">
        <f t="shared" si="2"/>
        <v>15.372857142857141</v>
      </c>
      <c r="L22" s="153">
        <f t="shared" si="3"/>
        <v>97.399513568868414</v>
      </c>
      <c r="M22" s="153">
        <f t="shared" si="4"/>
        <v>97.245007680491554</v>
      </c>
      <c r="N22" s="152" t="e">
        <f>J22+'July ANXIII'!N22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61" t="e">
        <f t="shared" si="8"/>
        <v>#REF!</v>
      </c>
      <c r="S22" s="161" t="e">
        <f t="shared" si="8"/>
        <v>#REF!</v>
      </c>
    </row>
    <row r="23" spans="1:20" s="167" customFormat="1" ht="30" hidden="1" customHeight="1">
      <c r="A23" s="44">
        <v>15</v>
      </c>
      <c r="B23" s="46" t="s">
        <v>53</v>
      </c>
      <c r="C23">
        <v>35</v>
      </c>
      <c r="D23" s="59">
        <v>35</v>
      </c>
      <c r="E23" s="170">
        <v>3.6</v>
      </c>
      <c r="F23" s="152" t="e">
        <f>E23+'July ANXIII'!F23</f>
        <v>#REF!</v>
      </c>
      <c r="G23" s="60">
        <v>160.5</v>
      </c>
      <c r="H23" s="60">
        <v>401.5</v>
      </c>
      <c r="I23" s="152">
        <f t="shared" si="0"/>
        <v>562</v>
      </c>
      <c r="J23" s="152">
        <f t="shared" si="1"/>
        <v>565.6</v>
      </c>
      <c r="K23" s="152">
        <f t="shared" si="2"/>
        <v>16.16</v>
      </c>
      <c r="L23" s="153">
        <f t="shared" si="3"/>
        <v>97.122375832053251</v>
      </c>
      <c r="M23" s="153">
        <f t="shared" si="4"/>
        <v>97.103942652329764</v>
      </c>
      <c r="N23" s="152" t="e">
        <f>J23+'July ANXIII'!N23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61" t="e">
        <f t="shared" si="8"/>
        <v>#REF!</v>
      </c>
      <c r="S23" s="161" t="e">
        <f t="shared" si="8"/>
        <v>#REF!</v>
      </c>
    </row>
    <row r="24" spans="1:20" s="167" customFormat="1" ht="25.5" hidden="1" customHeight="1">
      <c r="A24" s="44">
        <v>16</v>
      </c>
      <c r="B24" s="46" t="s">
        <v>54</v>
      </c>
      <c r="C24">
        <v>40</v>
      </c>
      <c r="D24" s="59">
        <v>40</v>
      </c>
      <c r="E24" s="170">
        <f>36+603.98</f>
        <v>639.98</v>
      </c>
      <c r="F24" s="152" t="e">
        <f>E24+'July ANXIII'!F24</f>
        <v>#REF!</v>
      </c>
      <c r="G24" s="60">
        <f>409.7+109.8</f>
        <v>519.5</v>
      </c>
      <c r="H24" s="60">
        <f>324.6+71.35</f>
        <v>395.95000000000005</v>
      </c>
      <c r="I24" s="152">
        <f t="shared" si="0"/>
        <v>915.45</v>
      </c>
      <c r="J24" s="152">
        <f t="shared" si="1"/>
        <v>1555.43</v>
      </c>
      <c r="K24" s="152">
        <f t="shared" si="2"/>
        <v>38.885750000000002</v>
      </c>
      <c r="L24" s="153">
        <f t="shared" si="3"/>
        <v>95.898521505376351</v>
      </c>
      <c r="M24" s="153">
        <f t="shared" si="4"/>
        <v>93.031227598566304</v>
      </c>
      <c r="N24" s="152" t="e">
        <f>J24+'July ANXIII'!N24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61" t="e">
        <f t="shared" si="8"/>
        <v>#REF!</v>
      </c>
      <c r="S24" s="161" t="e">
        <f t="shared" si="8"/>
        <v>#REF!</v>
      </c>
    </row>
    <row r="25" spans="1:20" s="173" customFormat="1" ht="25.5" customHeight="1">
      <c r="A25" s="44">
        <v>13</v>
      </c>
      <c r="B25" s="46" t="s">
        <v>52</v>
      </c>
      <c r="C25">
        <f>C22+C23+C24</f>
        <v>89</v>
      </c>
      <c r="D25" s="59">
        <f>D22+D23+D24</f>
        <v>89</v>
      </c>
      <c r="E25" s="170">
        <f>E22+E23+E24</f>
        <v>655.65</v>
      </c>
      <c r="F25" s="152" t="e">
        <f>E25+'July ANXIII'!F25</f>
        <v>#REF!</v>
      </c>
      <c r="G25" s="60">
        <f>G22+G23+G24</f>
        <v>760.31999999999994</v>
      </c>
      <c r="H25" s="60">
        <f>H22+H23+H24</f>
        <v>920.28000000000009</v>
      </c>
      <c r="I25" s="152">
        <f t="shared" si="0"/>
        <v>1680.6</v>
      </c>
      <c r="J25" s="152">
        <f t="shared" si="1"/>
        <v>2336.25</v>
      </c>
      <c r="K25" s="152">
        <f t="shared" si="2"/>
        <v>26.25</v>
      </c>
      <c r="L25" s="153">
        <f t="shared" si="3"/>
        <v>96.615923643832303</v>
      </c>
      <c r="M25" s="153">
        <f t="shared" si="4"/>
        <v>95.295698924731184</v>
      </c>
      <c r="N25" s="152" t="e">
        <f>J25+'July ANXIII'!N25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72"/>
      <c r="S25" s="172"/>
    </row>
    <row r="26" spans="1:20" s="167" customFormat="1" ht="25.5" customHeight="1">
      <c r="A26" s="44">
        <v>14</v>
      </c>
      <c r="B26" s="46" t="s">
        <v>94</v>
      </c>
      <c r="C26">
        <v>19</v>
      </c>
      <c r="D26" s="59">
        <v>19</v>
      </c>
      <c r="E26" s="170">
        <v>0.52</v>
      </c>
      <c r="F26" s="152" t="e">
        <f>E26+'July ANXIII'!F26</f>
        <v>#REF!</v>
      </c>
      <c r="G26" s="152">
        <v>6.6</v>
      </c>
      <c r="H26" s="152">
        <v>4.8</v>
      </c>
      <c r="I26" s="152">
        <f t="shared" si="0"/>
        <v>11.399999999999999</v>
      </c>
      <c r="J26" s="152">
        <f t="shared" si="1"/>
        <v>11.919999999999998</v>
      </c>
      <c r="K26" s="152">
        <f t="shared" si="2"/>
        <v>0.62736842105263146</v>
      </c>
      <c r="L26" s="153">
        <f t="shared" si="3"/>
        <v>99.892473118279568</v>
      </c>
      <c r="M26" s="153">
        <f t="shared" si="4"/>
        <v>99.887568383323895</v>
      </c>
      <c r="N26" s="152" t="e">
        <f>J26+'July ANXIII'!N26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61" t="e">
        <f>L26-P26</f>
        <v>#REF!</v>
      </c>
      <c r="S26" s="161" t="e">
        <f>M26-Q26</f>
        <v>#REF!</v>
      </c>
    </row>
    <row r="27" spans="1:20" s="167" customFormat="1" ht="25.5" hidden="1" customHeight="1">
      <c r="A27" s="44">
        <v>18</v>
      </c>
      <c r="B27" s="46" t="s">
        <v>32</v>
      </c>
      <c r="C27">
        <v>34</v>
      </c>
      <c r="D27" s="59">
        <v>34</v>
      </c>
      <c r="E27" s="170">
        <v>43.27</v>
      </c>
      <c r="F27" s="152" t="e">
        <f>E27+'July ANXIII'!F27</f>
        <v>#REF!</v>
      </c>
      <c r="G27" s="152">
        <v>81.099999999999994</v>
      </c>
      <c r="H27" s="152">
        <v>38</v>
      </c>
      <c r="I27" s="152">
        <f t="shared" si="0"/>
        <v>119.1</v>
      </c>
      <c r="J27" s="152">
        <f t="shared" si="1"/>
        <v>162.37</v>
      </c>
      <c r="K27" s="152">
        <f t="shared" si="2"/>
        <v>4.7755882352941175</v>
      </c>
      <c r="L27" s="153">
        <f t="shared" si="3"/>
        <v>99.372232764073388</v>
      </c>
      <c r="M27" s="153">
        <f t="shared" si="4"/>
        <v>99.144159814463421</v>
      </c>
      <c r="N27" s="152" t="e">
        <f>J27+'July ANXIII'!N27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61" t="e">
        <f t="shared" si="8"/>
        <v>#REF!</v>
      </c>
      <c r="S27" s="161" t="e">
        <f t="shared" si="8"/>
        <v>#REF!</v>
      </c>
    </row>
    <row r="28" spans="1:20" s="167" customFormat="1" ht="25.5" hidden="1" customHeight="1">
      <c r="A28" s="44">
        <v>19</v>
      </c>
      <c r="B28" s="46" t="s">
        <v>55</v>
      </c>
      <c r="C28">
        <v>47</v>
      </c>
      <c r="D28" s="59">
        <v>47</v>
      </c>
      <c r="E28" s="170">
        <v>26.17</v>
      </c>
      <c r="F28" s="152" t="e">
        <f>E28+'July ANXIII'!F28</f>
        <v>#REF!</v>
      </c>
      <c r="G28" s="152">
        <v>363.1</v>
      </c>
      <c r="H28" s="152">
        <v>243.8</v>
      </c>
      <c r="I28" s="152">
        <f t="shared" si="0"/>
        <v>606.90000000000009</v>
      </c>
      <c r="J28" s="152">
        <f t="shared" si="1"/>
        <v>633.07000000000005</v>
      </c>
      <c r="K28" s="152">
        <f t="shared" si="2"/>
        <v>13.469574468085108</v>
      </c>
      <c r="L28" s="153">
        <f t="shared" si="3"/>
        <v>97.685884237016694</v>
      </c>
      <c r="M28" s="153">
        <f t="shared" si="4"/>
        <v>97.586097765576142</v>
      </c>
      <c r="N28" s="152" t="e">
        <f>J28+'July ANXIII'!N28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61" t="e">
        <f t="shared" si="8"/>
        <v>#REF!</v>
      </c>
      <c r="S28" s="161" t="e">
        <f t="shared" si="8"/>
        <v>#REF!</v>
      </c>
    </row>
    <row r="29" spans="1:20" s="173" customFormat="1" ht="25.5" customHeight="1">
      <c r="A29" s="44">
        <v>15</v>
      </c>
      <c r="B29" s="46" t="s">
        <v>32</v>
      </c>
      <c r="C29">
        <f>C27+C28</f>
        <v>81</v>
      </c>
      <c r="D29" s="59">
        <f>D27+D28</f>
        <v>81</v>
      </c>
      <c r="E29" s="170">
        <f>E27+E28</f>
        <v>69.44</v>
      </c>
      <c r="F29" s="152" t="e">
        <f>E29+'July ANXIII'!F29</f>
        <v>#REF!</v>
      </c>
      <c r="G29" s="152">
        <f>SUM(G27:G28)</f>
        <v>444.20000000000005</v>
      </c>
      <c r="H29" s="152">
        <f>SUM(H27:H28)</f>
        <v>281.8</v>
      </c>
      <c r="I29" s="152">
        <f t="shared" si="0"/>
        <v>726</v>
      </c>
      <c r="J29" s="152">
        <f t="shared" si="1"/>
        <v>795.44</v>
      </c>
      <c r="K29" s="152">
        <f t="shared" si="2"/>
        <v>9.820246913580247</v>
      </c>
      <c r="L29" s="153">
        <f t="shared" si="3"/>
        <v>98.393734236028138</v>
      </c>
      <c r="M29" s="153">
        <f t="shared" si="4"/>
        <v>98.24009911943007</v>
      </c>
      <c r="N29" s="152" t="e">
        <f>J29+'July ANXIII'!N29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72"/>
      <c r="S29" s="172"/>
    </row>
    <row r="30" spans="1:20" s="167" customFormat="1" ht="25.5" customHeight="1">
      <c r="A30" s="44">
        <v>16</v>
      </c>
      <c r="B30" s="46" t="s">
        <v>56</v>
      </c>
      <c r="C30">
        <v>64</v>
      </c>
      <c r="D30" s="59">
        <v>64</v>
      </c>
      <c r="E30" s="170">
        <v>6.66</v>
      </c>
      <c r="F30" s="152" t="e">
        <f>E30+'July ANXIII'!F30</f>
        <v>#REF!</v>
      </c>
      <c r="G30" s="60">
        <v>61.4</v>
      </c>
      <c r="H30" s="152">
        <v>39.799999999999997</v>
      </c>
      <c r="I30" s="152">
        <f t="shared" si="0"/>
        <v>101.19999999999999</v>
      </c>
      <c r="J30" s="152">
        <f t="shared" si="1"/>
        <v>107.85999999999999</v>
      </c>
      <c r="K30" s="152">
        <f t="shared" si="2"/>
        <v>1.6853124999999998</v>
      </c>
      <c r="L30" s="153">
        <f t="shared" si="3"/>
        <v>99.71662186379929</v>
      </c>
      <c r="M30" s="153">
        <f t="shared" si="4"/>
        <v>99.697972670250891</v>
      </c>
      <c r="N30" s="152" t="e">
        <f>J30+'July ANXIII'!N30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61" t="e">
        <f t="shared" si="8"/>
        <v>#REF!</v>
      </c>
      <c r="S30" s="161" t="e">
        <f t="shared" si="8"/>
        <v>#REF!</v>
      </c>
    </row>
    <row r="31" spans="1:20" ht="13.5" thickBot="1">
      <c r="C31" s="160">
        <f>SUM(C8:C30)</f>
        <v>2747</v>
      </c>
      <c r="D31">
        <f t="shared" ref="D31:K31" si="9">SUM(D12:D30)+D8</f>
        <v>2189</v>
      </c>
      <c r="E31">
        <f t="shared" si="9"/>
        <v>2578.96</v>
      </c>
      <c r="F31" t="e">
        <f t="shared" si="9"/>
        <v>#REF!</v>
      </c>
      <c r="G31">
        <f t="shared" si="9"/>
        <v>23762.14</v>
      </c>
      <c r="H31">
        <f t="shared" si="9"/>
        <v>21458.54</v>
      </c>
      <c r="I31">
        <f t="shared" si="9"/>
        <v>45220.68</v>
      </c>
      <c r="J31">
        <f t="shared" si="9"/>
        <v>47799.640000000007</v>
      </c>
      <c r="K31">
        <f t="shared" si="9"/>
        <v>429.61816828555544</v>
      </c>
      <c r="L31">
        <f>+(((D31*24)*30)-I31)*100/((D31*24)*30)</f>
        <v>97.130813156692554</v>
      </c>
      <c r="M31">
        <f>+(((D31*24)*30)-J31)*100/((D31*24)*30)</f>
        <v>96.967181868940656</v>
      </c>
      <c r="N31" t="e">
        <f>SUM(N12:N30)+N8</f>
        <v>#REF!</v>
      </c>
      <c r="O31" t="e">
        <f>SUM(O12:O30)+O8</f>
        <v>#REF!</v>
      </c>
      <c r="P31" t="e">
        <f>((C31*24*30)-(N31-E31))*100/(C31*24*30)</f>
        <v>#REF!</v>
      </c>
      <c r="Q31" t="e">
        <f>((D31*24*30)-(N31))*100/(D31*24*30)</f>
        <v>#REF!</v>
      </c>
      <c r="R31" s="161" t="e">
        <f t="shared" si="8"/>
        <v>#REF!</v>
      </c>
    </row>
    <row r="32" spans="1:20" ht="12.75" customHeight="1">
      <c r="A32" s="839" t="s">
        <v>33</v>
      </c>
      <c r="B32" s="840"/>
      <c r="C32" s="840"/>
      <c r="D32" s="840"/>
      <c r="E32" s="840"/>
      <c r="F32" s="840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1"/>
      <c r="R32" s="161">
        <f t="shared" si="8"/>
        <v>0</v>
      </c>
    </row>
    <row r="33" spans="1:18" ht="28.5" customHeight="1" thickBot="1">
      <c r="A33" s="842"/>
      <c r="B33" s="843"/>
      <c r="C33" s="843"/>
      <c r="D33" s="843"/>
      <c r="E33" s="843"/>
      <c r="F33" s="843"/>
      <c r="G33" s="843"/>
      <c r="H33" s="843"/>
      <c r="I33" s="843"/>
      <c r="J33" s="843"/>
      <c r="K33" s="843"/>
      <c r="L33" s="843"/>
      <c r="M33" s="843"/>
      <c r="N33" s="843"/>
      <c r="O33" s="843"/>
      <c r="P33" s="843"/>
      <c r="Q33" s="844"/>
      <c r="R33" s="161">
        <f t="shared" si="8"/>
        <v>0</v>
      </c>
    </row>
    <row r="34" spans="1:18" ht="12.75" customHeight="1">
      <c r="A34" s="853" t="s">
        <v>34</v>
      </c>
      <c r="B34" s="854"/>
      <c r="C34" s="854"/>
      <c r="D34" s="854"/>
      <c r="E34" s="854"/>
      <c r="F34" s="854"/>
      <c r="G34" s="854"/>
      <c r="H34" s="854"/>
      <c r="I34" s="854"/>
      <c r="J34" s="854"/>
      <c r="K34" s="854"/>
      <c r="L34" s="854"/>
      <c r="M34" s="854"/>
      <c r="N34" s="854"/>
      <c r="O34" s="854"/>
      <c r="P34" s="854"/>
      <c r="Q34" s="855"/>
      <c r="R34" s="161">
        <f t="shared" si="8"/>
        <v>0</v>
      </c>
    </row>
    <row r="35" spans="1:18" ht="12.75" customHeight="1">
      <c r="A35" s="856"/>
      <c r="B35" s="857"/>
      <c r="C35" s="857"/>
      <c r="D35" s="857"/>
      <c r="E35" s="857"/>
      <c r="F35" s="857"/>
      <c r="G35" s="857"/>
      <c r="H35" s="857"/>
      <c r="I35" s="857"/>
      <c r="J35" s="857"/>
      <c r="K35" s="857"/>
      <c r="L35" s="857"/>
      <c r="M35" s="857"/>
      <c r="N35" s="857"/>
      <c r="O35" s="857"/>
      <c r="P35" s="857"/>
      <c r="Q35" s="858"/>
      <c r="R35" s="161">
        <f t="shared" si="8"/>
        <v>0</v>
      </c>
    </row>
    <row r="36" spans="1:18" ht="13.5" customHeight="1" thickBot="1">
      <c r="A36" s="859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1"/>
      <c r="R36" s="161">
        <f t="shared" si="8"/>
        <v>0</v>
      </c>
    </row>
    <row r="37" spans="1:18">
      <c r="A37" s="839" t="s">
        <v>35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1"/>
      <c r="R37" s="161">
        <f t="shared" si="8"/>
        <v>0</v>
      </c>
    </row>
    <row r="38" spans="1:18" ht="20.25" customHeight="1" thickBot="1">
      <c r="A38" s="842"/>
      <c r="B38" s="843"/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  <c r="N38" s="843"/>
      <c r="O38" s="843"/>
      <c r="P38" s="843"/>
      <c r="Q38" s="844"/>
      <c r="R38" s="161">
        <f t="shared" si="8"/>
        <v>0</v>
      </c>
    </row>
    <row r="39" spans="1:18" ht="18.75" customHeight="1">
      <c r="A39" s="839" t="s">
        <v>36</v>
      </c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1"/>
      <c r="R39" s="161">
        <f t="shared" si="8"/>
        <v>0</v>
      </c>
    </row>
    <row r="40" spans="1:18" ht="29.25" customHeight="1" thickBot="1">
      <c r="A40" s="842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3"/>
      <c r="P40" s="843"/>
      <c r="Q40" s="844"/>
      <c r="R40" s="161">
        <f t="shared" si="8"/>
        <v>0</v>
      </c>
    </row>
    <row r="41" spans="1:18">
      <c r="R41" s="161">
        <f t="shared" si="8"/>
        <v>0</v>
      </c>
    </row>
    <row r="42" spans="1:18">
      <c r="R42" s="161">
        <f t="shared" si="8"/>
        <v>0</v>
      </c>
    </row>
    <row r="43" spans="1:18">
      <c r="R43" s="161">
        <f t="shared" si="8"/>
        <v>0</v>
      </c>
    </row>
    <row r="44" spans="1:18" ht="15" customHeight="1">
      <c r="P44" s="171"/>
      <c r="Q44" s="171"/>
      <c r="R44" s="161">
        <f t="shared" si="8"/>
        <v>0</v>
      </c>
    </row>
    <row r="45" spans="1:18" ht="15" customHeight="1">
      <c r="P45" s="171">
        <f>98.57</f>
        <v>98.57</v>
      </c>
      <c r="Q45" s="171">
        <f>97.92</f>
        <v>97.92</v>
      </c>
      <c r="R45" s="161">
        <f t="shared" si="8"/>
        <v>-98.57</v>
      </c>
    </row>
    <row r="46" spans="1:18" ht="15" customHeight="1">
      <c r="R46" s="161">
        <f t="shared" si="8"/>
        <v>0</v>
      </c>
    </row>
    <row r="47" spans="1:18" ht="15" customHeight="1">
      <c r="C47" s="160"/>
      <c r="R47" s="161">
        <f t="shared" si="8"/>
        <v>0</v>
      </c>
    </row>
    <row r="48" spans="1:18" ht="15" customHeight="1">
      <c r="C48" s="160"/>
      <c r="R48" s="161">
        <f t="shared" si="8"/>
        <v>0</v>
      </c>
    </row>
    <row r="49" spans="3:18" ht="15" customHeight="1">
      <c r="K49" s="146">
        <f>85+86+94</f>
        <v>265</v>
      </c>
      <c r="R49" s="161">
        <f t="shared" si="8"/>
        <v>0</v>
      </c>
    </row>
    <row r="50" spans="3:18" ht="15" customHeight="1">
      <c r="K50" s="146">
        <f>K49/3</f>
        <v>88.333333333333329</v>
      </c>
      <c r="R50" s="161">
        <f t="shared" si="8"/>
        <v>0</v>
      </c>
    </row>
    <row r="51" spans="3:18" ht="15" customHeight="1">
      <c r="R51" s="161">
        <f t="shared" si="8"/>
        <v>0</v>
      </c>
    </row>
    <row r="52" spans="3:18" ht="11.25" customHeight="1">
      <c r="R52" s="161">
        <f t="shared" si="8"/>
        <v>0</v>
      </c>
    </row>
    <row r="53" spans="3:18" ht="11.25" customHeight="1">
      <c r="R53" s="161">
        <f t="shared" si="8"/>
        <v>0</v>
      </c>
    </row>
    <row r="54" spans="3:18" ht="11.25" customHeight="1">
      <c r="R54" s="161">
        <f t="shared" si="8"/>
        <v>0</v>
      </c>
    </row>
    <row r="55" spans="3:18" ht="11.25" customHeight="1">
      <c r="R55" s="161">
        <f t="shared" si="8"/>
        <v>0</v>
      </c>
    </row>
    <row r="56" spans="3:18" ht="11.25" customHeight="1"/>
    <row r="57" spans="3:18" ht="11.25" customHeight="1">
      <c r="C57" s="160" t="e">
        <f>C8:C30</f>
        <v>#VALUE!</v>
      </c>
      <c r="L57" s="161">
        <f>L8+L9+L10+L11+L12+L13+L14+L15+L16+L17+L18+L26+L19+L20+L22+L23+L24+L27+L28+L30</f>
        <v>1924.1489268759603</v>
      </c>
      <c r="M57" s="161">
        <f>M8+M9+M10+M11+M12+M13+M14+M15+M16+M17+M18+M26+M19+M20+M22+M23+M24+M27+M28+M30</f>
        <v>1918.9781731437606</v>
      </c>
    </row>
    <row r="58" spans="3:18" ht="11.25" customHeight="1">
      <c r="C58" s="160">
        <f>C8+C9+C10+C11+C12+C13+C14+C15+C16+C17+C18+C19+C20+C22+C23+C24+C26+C27+C28+C30</f>
        <v>2513</v>
      </c>
      <c r="L58" s="146">
        <f>L57/20</f>
        <v>96.207446343798011</v>
      </c>
      <c r="M58" s="146">
        <f>M57/20</f>
        <v>95.948908657188028</v>
      </c>
    </row>
    <row r="59" spans="3:18">
      <c r="F59" s="146">
        <f>1013.5+118.24</f>
        <v>1131.74</v>
      </c>
      <c r="P59" s="161" t="e">
        <f>P8+P9+P10+P11+P12+P13+P14+P15+P16+P17+P18+P26+P19+P20+P22+P23+P24+P27+P28+P30</f>
        <v>#REF!</v>
      </c>
      <c r="Q59" s="161" t="e">
        <f>Q8+Q9+Q10+Q11+Q12+Q13+Q14+Q15+Q16+Q17+Q18+Q26+Q19+Q20+Q22+Q23+Q24+Q27+Q28+Q30</f>
        <v>#REF!</v>
      </c>
    </row>
    <row r="60" spans="3:18">
      <c r="C60" s="160">
        <f>C30+C29+C26+C25+C21+C18+C17+C16+C15+C14+C13+C12+C11+C10+C9+C8</f>
        <v>2513</v>
      </c>
    </row>
    <row r="61" spans="3:18">
      <c r="C61" s="146">
        <v>1420</v>
      </c>
      <c r="K61" s="161">
        <f>3258+J21</f>
        <v>6655.66</v>
      </c>
      <c r="P61" s="146" t="e">
        <f>P59/20</f>
        <v>#REF!</v>
      </c>
      <c r="Q61" s="146" t="e">
        <f>Q59/20</f>
        <v>#REF!</v>
      </c>
    </row>
    <row r="62" spans="3:18">
      <c r="C62" s="146">
        <v>529</v>
      </c>
    </row>
    <row r="63" spans="3:18">
      <c r="C63" s="160">
        <f>SUM(C60:C62)</f>
        <v>4462</v>
      </c>
    </row>
    <row r="64" spans="3:18">
      <c r="G64" s="146">
        <f>71.34+67.53</f>
        <v>138.87</v>
      </c>
    </row>
  </sheetData>
  <mergeCells count="17">
    <mergeCell ref="A39:Q40"/>
    <mergeCell ref="G5:I5"/>
    <mergeCell ref="J5:M5"/>
    <mergeCell ref="N5:Q5"/>
    <mergeCell ref="A32:Q33"/>
    <mergeCell ref="A34:Q36"/>
    <mergeCell ref="A37:Q38"/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</mergeCells>
  <printOptions horizontalCentered="1"/>
  <pageMargins left="0" right="0" top="0.5" bottom="0" header="0.19" footer="0.5"/>
  <pageSetup paperSize="9" scale="6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view="pageBreakPreview" zoomScale="60" workbookViewId="0">
      <selection activeCell="I34" activeCellId="1" sqref="I34 L36"/>
    </sheetView>
  </sheetViews>
  <sheetFormatPr defaultRowHeight="12.75"/>
  <cols>
    <col min="1" max="2" width="14.5703125" customWidth="1"/>
    <col min="3" max="3" width="15.5703125" customWidth="1"/>
    <col min="4" max="4" width="13.42578125" customWidth="1"/>
    <col min="5" max="5" width="16.42578125" customWidth="1"/>
    <col min="6" max="6" width="13.5703125" customWidth="1"/>
  </cols>
  <sheetData>
    <row r="1" spans="1:6">
      <c r="A1" t="s">
        <v>118</v>
      </c>
      <c r="B1" t="s">
        <v>121</v>
      </c>
      <c r="C1" t="s">
        <v>119</v>
      </c>
      <c r="D1" t="s">
        <v>121</v>
      </c>
      <c r="E1" t="s">
        <v>120</v>
      </c>
      <c r="F1" t="s">
        <v>121</v>
      </c>
    </row>
    <row r="2" spans="1:6" ht="15.75">
      <c r="A2" s="61" t="s">
        <v>26</v>
      </c>
      <c r="B2" s="61">
        <v>34</v>
      </c>
      <c r="C2" s="150" t="s">
        <v>41</v>
      </c>
      <c r="D2" s="151">
        <v>1</v>
      </c>
      <c r="E2" t="s">
        <v>60</v>
      </c>
      <c r="F2">
        <v>229</v>
      </c>
    </row>
    <row r="3" spans="1:6" ht="15.75">
      <c r="A3" s="61" t="s">
        <v>27</v>
      </c>
      <c r="B3" s="65">
        <v>11</v>
      </c>
      <c r="C3" s="150" t="s">
        <v>42</v>
      </c>
      <c r="D3" s="151">
        <v>1</v>
      </c>
      <c r="E3" t="s">
        <v>43</v>
      </c>
      <c r="F3">
        <v>167</v>
      </c>
    </row>
    <row r="4" spans="1:6" ht="15.75">
      <c r="A4" s="61" t="s">
        <v>28</v>
      </c>
      <c r="B4" s="66">
        <v>30</v>
      </c>
      <c r="C4" s="150" t="s">
        <v>43</v>
      </c>
      <c r="D4" s="151">
        <v>11</v>
      </c>
      <c r="E4" t="s">
        <v>27</v>
      </c>
      <c r="F4">
        <v>178</v>
      </c>
    </row>
    <row r="5" spans="1:6" ht="15.75">
      <c r="A5" s="61" t="s">
        <v>29</v>
      </c>
      <c r="B5" s="66">
        <v>1335</v>
      </c>
      <c r="C5" s="150" t="s">
        <v>73</v>
      </c>
      <c r="D5" s="151">
        <v>2</v>
      </c>
      <c r="E5" t="s">
        <v>44</v>
      </c>
      <c r="F5">
        <v>190</v>
      </c>
    </row>
    <row r="6" spans="1:6" ht="15.75">
      <c r="A6" s="61" t="s">
        <v>32</v>
      </c>
      <c r="B6" s="70">
        <v>4</v>
      </c>
      <c r="C6" s="150" t="s">
        <v>79</v>
      </c>
      <c r="D6" s="151">
        <v>4</v>
      </c>
      <c r="E6" t="s">
        <v>28</v>
      </c>
      <c r="F6">
        <v>385</v>
      </c>
    </row>
    <row r="7" spans="1:6" ht="15.75">
      <c r="A7" s="61" t="s">
        <v>30</v>
      </c>
      <c r="B7" s="66">
        <v>12</v>
      </c>
      <c r="C7" s="150" t="s">
        <v>80</v>
      </c>
      <c r="D7" s="151">
        <v>1</v>
      </c>
      <c r="E7" s="168" t="s">
        <v>45</v>
      </c>
      <c r="F7">
        <v>187</v>
      </c>
    </row>
    <row r="8" spans="1:6" ht="15.75">
      <c r="A8" s="61" t="s">
        <v>31</v>
      </c>
      <c r="B8">
        <v>9</v>
      </c>
      <c r="C8" s="150" t="s">
        <v>74</v>
      </c>
      <c r="D8" s="151">
        <v>2</v>
      </c>
      <c r="E8" s="168" t="s">
        <v>88</v>
      </c>
      <c r="F8">
        <v>272</v>
      </c>
    </row>
    <row r="9" spans="1:6" ht="15.75">
      <c r="B9">
        <f>SUM(B2:B8)</f>
        <v>1435</v>
      </c>
      <c r="C9" s="150" t="s">
        <v>44</v>
      </c>
      <c r="D9" s="151">
        <v>3</v>
      </c>
      <c r="E9" s="168" t="s">
        <v>30</v>
      </c>
      <c r="F9">
        <v>134</v>
      </c>
    </row>
    <row r="10" spans="1:6" ht="15.75">
      <c r="C10" s="150" t="s">
        <v>75</v>
      </c>
      <c r="D10" s="151">
        <v>5</v>
      </c>
      <c r="E10" s="168" t="s">
        <v>47</v>
      </c>
      <c r="F10">
        <v>161</v>
      </c>
    </row>
    <row r="11" spans="1:6" ht="15.75">
      <c r="C11" s="150" t="s">
        <v>76</v>
      </c>
      <c r="D11" s="151">
        <v>1</v>
      </c>
      <c r="E11" s="168" t="s">
        <v>48</v>
      </c>
      <c r="F11">
        <v>173</v>
      </c>
    </row>
    <row r="12" spans="1:6" ht="15.75">
      <c r="C12" s="150" t="s">
        <v>28</v>
      </c>
      <c r="D12" s="156">
        <v>7</v>
      </c>
      <c r="E12" s="168" t="s">
        <v>63</v>
      </c>
      <c r="F12">
        <v>120</v>
      </c>
    </row>
    <row r="13" spans="1:6" ht="15.75">
      <c r="C13" s="150" t="s">
        <v>45</v>
      </c>
      <c r="D13" s="156">
        <v>11</v>
      </c>
      <c r="E13" s="168" t="s">
        <v>50</v>
      </c>
      <c r="F13">
        <v>33</v>
      </c>
    </row>
    <row r="14" spans="1:6" ht="15.75">
      <c r="C14" s="150" t="s">
        <v>46</v>
      </c>
      <c r="D14" s="156">
        <v>8</v>
      </c>
      <c r="E14" s="168" t="s">
        <v>51</v>
      </c>
      <c r="F14">
        <v>31</v>
      </c>
    </row>
    <row r="15" spans="1:6" ht="15.75">
      <c r="C15" s="150" t="s">
        <v>77</v>
      </c>
      <c r="D15" s="156">
        <v>4</v>
      </c>
      <c r="E15" s="168" t="s">
        <v>99</v>
      </c>
      <c r="F15">
        <f>F13+F14</f>
        <v>64</v>
      </c>
    </row>
    <row r="16" spans="1:6" ht="15.75">
      <c r="C16" s="150" t="s">
        <v>47</v>
      </c>
      <c r="D16" s="156">
        <v>30</v>
      </c>
      <c r="E16" s="168" t="s">
        <v>52</v>
      </c>
      <c r="F16">
        <v>14</v>
      </c>
    </row>
    <row r="17" spans="1:7" ht="30">
      <c r="C17" s="150" t="s">
        <v>48</v>
      </c>
      <c r="D17" s="156">
        <v>15</v>
      </c>
      <c r="E17" s="46" t="s">
        <v>53</v>
      </c>
      <c r="F17">
        <v>35</v>
      </c>
    </row>
    <row r="18" spans="1:7" ht="15.75">
      <c r="C18" s="150" t="s">
        <v>63</v>
      </c>
      <c r="D18" s="156">
        <v>12</v>
      </c>
      <c r="E18" s="46" t="s">
        <v>54</v>
      </c>
      <c r="F18">
        <v>40</v>
      </c>
    </row>
    <row r="19" spans="1:7" ht="15.75">
      <c r="C19" s="150" t="s">
        <v>50</v>
      </c>
      <c r="D19" s="156">
        <v>49</v>
      </c>
      <c r="E19" s="46" t="s">
        <v>52</v>
      </c>
      <c r="F19">
        <f>F16+F17+F18</f>
        <v>89</v>
      </c>
    </row>
    <row r="20" spans="1:7" ht="15.75">
      <c r="C20" t="s">
        <v>51</v>
      </c>
      <c r="D20" s="156">
        <v>59</v>
      </c>
      <c r="E20" s="46" t="s">
        <v>94</v>
      </c>
      <c r="F20">
        <v>19</v>
      </c>
    </row>
    <row r="21" spans="1:7" ht="15.75">
      <c r="C21" t="s">
        <v>52</v>
      </c>
      <c r="D21" s="156">
        <v>48</v>
      </c>
      <c r="E21" s="46" t="s">
        <v>32</v>
      </c>
      <c r="F21">
        <v>34</v>
      </c>
    </row>
    <row r="22" spans="1:7" ht="15.75">
      <c r="C22" s="150" t="s">
        <v>53</v>
      </c>
      <c r="D22" s="156">
        <v>36</v>
      </c>
      <c r="E22" s="46" t="s">
        <v>55</v>
      </c>
      <c r="F22">
        <v>47</v>
      </c>
    </row>
    <row r="23" spans="1:7" ht="15.75">
      <c r="C23" s="150" t="s">
        <v>54</v>
      </c>
      <c r="D23" s="156">
        <f>14+12</f>
        <v>26</v>
      </c>
      <c r="E23" s="46" t="s">
        <v>32</v>
      </c>
      <c r="F23">
        <f>F21+F22</f>
        <v>81</v>
      </c>
    </row>
    <row r="24" spans="1:7" ht="15.75">
      <c r="C24" s="150" t="s">
        <v>49</v>
      </c>
      <c r="D24" s="156">
        <v>127</v>
      </c>
      <c r="E24" s="46" t="s">
        <v>56</v>
      </c>
      <c r="F24">
        <v>64</v>
      </c>
    </row>
    <row r="25" spans="1:7" ht="24" customHeight="1">
      <c r="C25" s="150" t="s">
        <v>32</v>
      </c>
      <c r="D25" s="156">
        <v>24</v>
      </c>
      <c r="F25">
        <f>SUM(F2:F24)</f>
        <v>2747</v>
      </c>
    </row>
    <row r="26" spans="1:7" ht="15.75">
      <c r="C26" s="150" t="s">
        <v>55</v>
      </c>
      <c r="D26" s="156">
        <v>7</v>
      </c>
    </row>
    <row r="27" spans="1:7" ht="15.75">
      <c r="C27" s="150" t="s">
        <v>56</v>
      </c>
      <c r="D27" s="156">
        <v>22</v>
      </c>
      <c r="G27">
        <f>B9+D28+F25</f>
        <v>4698</v>
      </c>
    </row>
    <row r="28" spans="1:7">
      <c r="D28">
        <f>SUM(D2:D27)</f>
        <v>516</v>
      </c>
    </row>
    <row r="29" spans="1:7" ht="39.75" customHeight="1">
      <c r="A29" s="865" t="s">
        <v>122</v>
      </c>
      <c r="B29" s="865"/>
      <c r="C29" s="865"/>
      <c r="D29" s="865"/>
      <c r="E29" s="865"/>
      <c r="F29" s="865"/>
    </row>
  </sheetData>
  <mergeCells count="1">
    <mergeCell ref="A29:F2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view="pageBreakPreview" zoomScale="60" workbookViewId="0">
      <selection activeCell="I34" activeCellId="1" sqref="I34 L36"/>
    </sheetView>
  </sheetViews>
  <sheetFormatPr defaultRowHeight="12.75"/>
  <cols>
    <col min="1" max="1" width="3.85546875" style="2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7.42578125" style="2" customWidth="1"/>
    <col min="8" max="8" width="22.5703125" style="2" customWidth="1"/>
    <col min="9" max="9" width="18.570312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5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5" ht="18" customHeight="1">
      <c r="A3" s="826" t="s">
        <v>123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5" ht="15" customHeight="1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5" s="5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23" t="s">
        <v>124</v>
      </c>
      <c r="K5" s="823"/>
      <c r="L5" s="823"/>
      <c r="M5" s="823"/>
      <c r="N5" s="823" t="s">
        <v>84</v>
      </c>
      <c r="O5" s="823"/>
      <c r="P5" s="823"/>
      <c r="Q5" s="823"/>
      <c r="V5" s="35">
        <v>42583</v>
      </c>
      <c r="W5" s="36">
        <v>31</v>
      </c>
      <c r="X5" s="36">
        <f t="shared" si="0"/>
        <v>31</v>
      </c>
      <c r="Y5" s="29"/>
    </row>
    <row r="6" spans="1:25" s="3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75" t="s">
        <v>11</v>
      </c>
      <c r="J6" s="75" t="s">
        <v>12</v>
      </c>
      <c r="K6" s="75" t="s">
        <v>13</v>
      </c>
      <c r="L6" s="75" t="s">
        <v>78</v>
      </c>
      <c r="M6" s="75" t="s">
        <v>14</v>
      </c>
      <c r="N6" s="75" t="s">
        <v>15</v>
      </c>
      <c r="O6" s="75" t="s">
        <v>16</v>
      </c>
      <c r="P6" s="75" t="s">
        <v>17</v>
      </c>
      <c r="Q6" s="75" t="s">
        <v>18</v>
      </c>
      <c r="V6" s="35">
        <v>42614</v>
      </c>
      <c r="W6" s="36">
        <v>30</v>
      </c>
      <c r="X6" s="36">
        <f t="shared" si="0"/>
        <v>30</v>
      </c>
      <c r="Y6" s="27"/>
    </row>
    <row r="7" spans="1:25" s="1" customFormat="1" ht="24" customHeigh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 t="s">
        <v>19</v>
      </c>
      <c r="G7" s="6">
        <v>6</v>
      </c>
      <c r="H7" s="6">
        <v>7</v>
      </c>
      <c r="I7" s="6" t="s">
        <v>20</v>
      </c>
      <c r="J7" s="6" t="s">
        <v>21</v>
      </c>
      <c r="K7" s="7" t="s">
        <v>22</v>
      </c>
      <c r="L7" s="6" t="s">
        <v>23</v>
      </c>
      <c r="M7" s="6" t="s">
        <v>24</v>
      </c>
      <c r="N7" s="6">
        <v>13</v>
      </c>
      <c r="O7" s="6" t="s">
        <v>64</v>
      </c>
      <c r="P7" s="6">
        <v>15</v>
      </c>
      <c r="Q7" s="6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5" s="10" customFormat="1" ht="42" customHeight="1">
      <c r="A8" s="78">
        <v>1</v>
      </c>
      <c r="B8" s="61" t="s">
        <v>26</v>
      </c>
      <c r="C8" s="61">
        <v>34</v>
      </c>
      <c r="D8" s="61">
        <v>31</v>
      </c>
      <c r="E8" s="62">
        <v>27.08</v>
      </c>
      <c r="F8" s="62" t="e">
        <f>E8+'Aug ANX I  '!F8</f>
        <v>#REF!</v>
      </c>
      <c r="G8" s="62">
        <v>98.961723856209147</v>
      </c>
      <c r="H8" s="62">
        <v>98.851102941176464</v>
      </c>
      <c r="I8" s="63">
        <f>G8+H8</f>
        <v>197.81282679738561</v>
      </c>
      <c r="J8" s="63">
        <f>E8+I8</f>
        <v>224.89282679738562</v>
      </c>
      <c r="K8" s="63">
        <f>J8/C8</f>
        <v>6.6144949058054596</v>
      </c>
      <c r="L8" s="64">
        <f>+(((C8*24)*30)-I8)*100/((C8*24)*30)</f>
        <v>99.191941067004151</v>
      </c>
      <c r="M8" s="64">
        <f>+(((C8*24)*30)-J8)*100/((C8*24)*30)</f>
        <v>99.081320151971468</v>
      </c>
      <c r="N8" s="63" t="e">
        <f>J8+'Aug ANX I  '!N8</f>
        <v>#REF!</v>
      </c>
      <c r="O8" s="64" t="e">
        <f>N8/C8</f>
        <v>#REF!</v>
      </c>
      <c r="P8" s="64" t="e">
        <f>((C8*24*183)-(N8-E8))*100/(C8*24*183)</f>
        <v>#REF!</v>
      </c>
      <c r="Q8" s="64" t="e">
        <f>((C8*24*183)-(N8))*100/(C8*24*183)</f>
        <v>#REF!</v>
      </c>
      <c r="R8" s="8"/>
      <c r="S8" s="43" t="e">
        <f>L8-P8</f>
        <v>#REF!</v>
      </c>
      <c r="T8" s="43" t="e">
        <f>M8-Q8</f>
        <v>#REF!</v>
      </c>
      <c r="V8" s="39">
        <v>42675</v>
      </c>
      <c r="W8" s="40">
        <v>30</v>
      </c>
      <c r="X8" s="40">
        <f t="shared" si="0"/>
        <v>30</v>
      </c>
      <c r="Y8" s="31">
        <f>122+31</f>
        <v>153</v>
      </c>
    </row>
    <row r="9" spans="1:25" s="10" customFormat="1" ht="42" customHeight="1">
      <c r="A9" s="78">
        <v>2</v>
      </c>
      <c r="B9" s="61" t="s">
        <v>27</v>
      </c>
      <c r="C9" s="65">
        <v>11</v>
      </c>
      <c r="D9" s="65">
        <v>11</v>
      </c>
      <c r="E9" s="62">
        <v>5.5</v>
      </c>
      <c r="F9" s="62" t="e">
        <f>E9+'Aug ANX I  '!F9</f>
        <v>#REF!</v>
      </c>
      <c r="G9" s="62">
        <v>200.76</v>
      </c>
      <c r="H9" s="62">
        <v>132.52000000000001</v>
      </c>
      <c r="I9" s="63">
        <f t="shared" ref="I9:I14" si="1">G9+H9</f>
        <v>333.28</v>
      </c>
      <c r="J9" s="63">
        <f t="shared" ref="J9:J14" si="2">E9+I9</f>
        <v>338.78</v>
      </c>
      <c r="K9" s="63">
        <f t="shared" ref="K9:K14" si="3">J9/C9</f>
        <v>30.798181818181817</v>
      </c>
      <c r="L9" s="64">
        <f t="shared" ref="L9:L14" si="4">+(((C9*24)*30)-I9)*100/((C9*24)*30)</f>
        <v>95.791919191919192</v>
      </c>
      <c r="M9" s="64">
        <f t="shared" ref="M9:M14" si="5">+(((C9*24)*30)-J9)*100/((C9*24)*30)</f>
        <v>95.722474747474749</v>
      </c>
      <c r="N9" s="63" t="e">
        <f>J9+'Aug ANX I  '!N9</f>
        <v>#REF!</v>
      </c>
      <c r="O9" s="64" t="e">
        <f t="shared" ref="O9:O14" si="6">N9/C9</f>
        <v>#REF!</v>
      </c>
      <c r="P9" s="64" t="e">
        <f t="shared" ref="P9:P14" si="7">((C9*24*183)-(N9-E9))*100/(C9*24*183)</f>
        <v>#REF!</v>
      </c>
      <c r="Q9" s="64" t="e">
        <f t="shared" ref="Q9:Q14" si="8">((C9*24*183)-(N9))*100/(C9*24*183)</f>
        <v>#REF!</v>
      </c>
      <c r="R9" s="8"/>
      <c r="S9" s="43" t="e">
        <f t="shared" ref="S9:T24" si="9">L9-P9</f>
        <v>#REF!</v>
      </c>
      <c r="T9" s="43" t="e">
        <f t="shared" si="9"/>
        <v>#REF!</v>
      </c>
      <c r="V9" s="39">
        <v>42705</v>
      </c>
      <c r="W9" s="40">
        <v>31</v>
      </c>
      <c r="X9" s="40">
        <v>31</v>
      </c>
      <c r="Y9" s="31"/>
    </row>
    <row r="10" spans="1:25" s="11" customFormat="1" ht="42" customHeight="1">
      <c r="A10" s="78">
        <v>3</v>
      </c>
      <c r="B10" s="61" t="s">
        <v>28</v>
      </c>
      <c r="C10" s="66">
        <v>30</v>
      </c>
      <c r="D10" s="66">
        <v>30</v>
      </c>
      <c r="E10" s="64">
        <v>62</v>
      </c>
      <c r="F10" s="62" t="e">
        <f>E10+'Aug ANX I  '!F10</f>
        <v>#REF!</v>
      </c>
      <c r="G10" s="62">
        <v>346</v>
      </c>
      <c r="H10" s="62">
        <v>144</v>
      </c>
      <c r="I10" s="63">
        <f t="shared" si="1"/>
        <v>490</v>
      </c>
      <c r="J10" s="63">
        <f t="shared" si="2"/>
        <v>552</v>
      </c>
      <c r="K10" s="63">
        <f t="shared" si="3"/>
        <v>18.399999999999999</v>
      </c>
      <c r="L10" s="64">
        <f t="shared" si="4"/>
        <v>97.731481481481481</v>
      </c>
      <c r="M10" s="64">
        <f t="shared" si="5"/>
        <v>97.444444444444443</v>
      </c>
      <c r="N10" s="63" t="e">
        <f>J10+'Aug ANX I  '!N10</f>
        <v>#REF!</v>
      </c>
      <c r="O10" s="64" t="e">
        <f t="shared" si="6"/>
        <v>#REF!</v>
      </c>
      <c r="P10" s="64" t="e">
        <f t="shared" si="7"/>
        <v>#REF!</v>
      </c>
      <c r="Q10" s="64" t="e">
        <f t="shared" si="8"/>
        <v>#REF!</v>
      </c>
      <c r="R10" s="9"/>
      <c r="S10" s="43" t="e">
        <f t="shared" si="9"/>
        <v>#REF!</v>
      </c>
      <c r="T10" s="43" t="e">
        <f t="shared" si="9"/>
        <v>#REF!</v>
      </c>
      <c r="V10" s="38">
        <v>42370</v>
      </c>
      <c r="W10" s="37">
        <v>31</v>
      </c>
      <c r="X10" s="37">
        <f t="shared" si="0"/>
        <v>31</v>
      </c>
      <c r="Y10" s="32"/>
    </row>
    <row r="11" spans="1:25" s="13" customFormat="1" ht="42" customHeight="1">
      <c r="A11" s="79">
        <v>4</v>
      </c>
      <c r="B11" s="61" t="s">
        <v>29</v>
      </c>
      <c r="C11" s="66">
        <v>1338</v>
      </c>
      <c r="D11" s="66">
        <v>1120</v>
      </c>
      <c r="E11" s="68">
        <v>517.41</v>
      </c>
      <c r="F11" s="62" t="e">
        <f>E11+'Aug ANX I  '!F11</f>
        <v>#REF!</v>
      </c>
      <c r="G11" s="62">
        <v>5064.26</v>
      </c>
      <c r="H11" s="62">
        <v>2953.05</v>
      </c>
      <c r="I11" s="63">
        <f>G11+H11</f>
        <v>8017.31</v>
      </c>
      <c r="J11" s="69">
        <f t="shared" si="2"/>
        <v>8534.7200000000012</v>
      </c>
      <c r="K11" s="69">
        <f t="shared" si="3"/>
        <v>6.3787144992526166</v>
      </c>
      <c r="L11" s="64">
        <f t="shared" si="4"/>
        <v>99.167776324530806</v>
      </c>
      <c r="M11" s="64">
        <f t="shared" si="5"/>
        <v>99.114067430659361</v>
      </c>
      <c r="N11" s="63" t="e">
        <f>J11+'Aug ANX I  '!N11</f>
        <v>#REF!</v>
      </c>
      <c r="O11" s="68" t="e">
        <f t="shared" si="6"/>
        <v>#REF!</v>
      </c>
      <c r="P11" s="64" t="e">
        <f t="shared" si="7"/>
        <v>#REF!</v>
      </c>
      <c r="Q11" s="64" t="e">
        <f t="shared" si="8"/>
        <v>#REF!</v>
      </c>
      <c r="R11" s="12"/>
      <c r="S11" s="43" t="e">
        <f t="shared" si="9"/>
        <v>#REF!</v>
      </c>
      <c r="T11" s="43" t="e">
        <f t="shared" si="9"/>
        <v>#REF!</v>
      </c>
      <c r="V11" s="41">
        <v>42401</v>
      </c>
      <c r="W11" s="42">
        <v>29</v>
      </c>
      <c r="X11" s="42">
        <f t="shared" si="0"/>
        <v>29</v>
      </c>
      <c r="Y11" s="33"/>
    </row>
    <row r="12" spans="1:25" s="14" customFormat="1" ht="42" customHeight="1">
      <c r="A12" s="78">
        <v>5</v>
      </c>
      <c r="B12" s="61" t="s">
        <v>32</v>
      </c>
      <c r="C12" s="70">
        <v>4</v>
      </c>
      <c r="D12" s="70">
        <v>4</v>
      </c>
      <c r="E12" s="68">
        <v>9.0399999999999991</v>
      </c>
      <c r="F12" s="62" t="e">
        <f>E12+'Aug ANX I  '!F12</f>
        <v>#REF!</v>
      </c>
      <c r="G12" s="62">
        <v>33.79</v>
      </c>
      <c r="H12" s="62">
        <v>24.27</v>
      </c>
      <c r="I12" s="63">
        <f>G12+H12</f>
        <v>58.06</v>
      </c>
      <c r="J12" s="63">
        <f t="shared" si="2"/>
        <v>67.099999999999994</v>
      </c>
      <c r="K12" s="63">
        <f t="shared" si="3"/>
        <v>16.774999999999999</v>
      </c>
      <c r="L12" s="64">
        <f t="shared" si="4"/>
        <v>97.984027777777783</v>
      </c>
      <c r="M12" s="64">
        <f t="shared" si="5"/>
        <v>97.670138888888886</v>
      </c>
      <c r="N12" s="63" t="e">
        <f>J12+'Aug ANX I  '!N12</f>
        <v>#REF!</v>
      </c>
      <c r="O12" s="64" t="e">
        <f t="shared" si="6"/>
        <v>#REF!</v>
      </c>
      <c r="P12" s="64" t="e">
        <f t="shared" si="7"/>
        <v>#REF!</v>
      </c>
      <c r="Q12" s="64" t="e">
        <f t="shared" si="8"/>
        <v>#REF!</v>
      </c>
      <c r="R12" s="9"/>
      <c r="S12" s="43" t="e">
        <f t="shared" si="9"/>
        <v>#REF!</v>
      </c>
      <c r="T12" s="43" t="e">
        <f t="shared" si="9"/>
        <v>#REF!</v>
      </c>
      <c r="V12" s="38">
        <v>42430</v>
      </c>
      <c r="W12" s="37">
        <v>31</v>
      </c>
      <c r="X12" s="37">
        <v>31</v>
      </c>
      <c r="Y12" s="34"/>
    </row>
    <row r="13" spans="1:25" s="14" customFormat="1" ht="42" customHeight="1">
      <c r="A13" s="78">
        <v>6</v>
      </c>
      <c r="B13" s="61" t="s">
        <v>30</v>
      </c>
      <c r="C13" s="66">
        <v>12</v>
      </c>
      <c r="D13" s="66">
        <v>12</v>
      </c>
      <c r="E13" s="62">
        <v>1.7</v>
      </c>
      <c r="F13" s="62" t="e">
        <f>E13+'Aug ANX I  '!F13</f>
        <v>#REF!</v>
      </c>
      <c r="G13" s="62">
        <v>98.23</v>
      </c>
      <c r="H13" s="62">
        <v>60.03</v>
      </c>
      <c r="I13" s="63">
        <f t="shared" si="1"/>
        <v>158.26</v>
      </c>
      <c r="J13" s="63">
        <f t="shared" si="2"/>
        <v>159.95999999999998</v>
      </c>
      <c r="K13" s="63">
        <f t="shared" si="3"/>
        <v>13.329999999999998</v>
      </c>
      <c r="L13" s="64">
        <f t="shared" si="4"/>
        <v>98.168287037037032</v>
      </c>
      <c r="M13" s="64">
        <f t="shared" si="5"/>
        <v>98.148611111111123</v>
      </c>
      <c r="N13" s="63" t="e">
        <f>J13+'Aug ANX I  '!N13</f>
        <v>#REF!</v>
      </c>
      <c r="O13" s="64" t="e">
        <f t="shared" si="6"/>
        <v>#REF!</v>
      </c>
      <c r="P13" s="64" t="e">
        <f t="shared" si="7"/>
        <v>#REF!</v>
      </c>
      <c r="Q13" s="64" t="e">
        <f t="shared" si="8"/>
        <v>#REF!</v>
      </c>
      <c r="R13" s="9"/>
      <c r="S13" s="43" t="e">
        <f>L14-P14</f>
        <v>#REF!</v>
      </c>
      <c r="T13" s="43" t="e">
        <f>M14-Q14</f>
        <v>#REF!</v>
      </c>
      <c r="V13" s="37"/>
      <c r="W13" s="37">
        <f>SUM(W1:W12)</f>
        <v>366</v>
      </c>
      <c r="X13" s="37">
        <f>SUM(W14)</f>
        <v>0</v>
      </c>
      <c r="Y13" s="34"/>
    </row>
    <row r="14" spans="1:25" s="14" customFormat="1" ht="42" customHeight="1">
      <c r="A14" s="78">
        <v>7</v>
      </c>
      <c r="B14" s="61" t="s">
        <v>31</v>
      </c>
      <c r="C14" s="145">
        <v>9</v>
      </c>
      <c r="D14" s="145">
        <v>9</v>
      </c>
      <c r="E14" s="72">
        <v>18.45</v>
      </c>
      <c r="F14" s="62" t="e">
        <f>E14+'Aug ANX I  '!F14</f>
        <v>#REF!</v>
      </c>
      <c r="G14" s="62">
        <v>55.25</v>
      </c>
      <c r="H14" s="62">
        <v>46.1</v>
      </c>
      <c r="I14" s="63">
        <f t="shared" si="1"/>
        <v>101.35</v>
      </c>
      <c r="J14" s="63">
        <f t="shared" si="2"/>
        <v>119.8</v>
      </c>
      <c r="K14" s="63">
        <f t="shared" si="3"/>
        <v>13.31111111111111</v>
      </c>
      <c r="L14" s="64">
        <f t="shared" si="4"/>
        <v>98.435956790123456</v>
      </c>
      <c r="M14" s="64">
        <f t="shared" si="5"/>
        <v>98.151234567901241</v>
      </c>
      <c r="N14" s="63" t="e">
        <f>J14+'Aug ANX I  '!N14</f>
        <v>#REF!</v>
      </c>
      <c r="O14" s="64" t="e">
        <f t="shared" si="6"/>
        <v>#REF!</v>
      </c>
      <c r="P14" s="64" t="e">
        <f t="shared" si="7"/>
        <v>#REF!</v>
      </c>
      <c r="Q14" s="64" t="e">
        <f t="shared" si="8"/>
        <v>#REF!</v>
      </c>
      <c r="R14" s="15"/>
      <c r="S14" s="43" t="e">
        <f t="shared" si="9"/>
        <v>#REF!</v>
      </c>
      <c r="T14" s="43" t="e">
        <f t="shared" si="9"/>
        <v>#REF!</v>
      </c>
      <c r="V14" s="34"/>
      <c r="W14" s="34"/>
      <c r="X14" s="34"/>
      <c r="Y14" s="34"/>
    </row>
    <row r="15" spans="1:25" ht="27.75" hidden="1" customHeight="1" thickBot="1">
      <c r="A15" s="16"/>
      <c r="B15" s="17"/>
      <c r="C15" s="18">
        <f t="shared" ref="C15:K15" si="10">C8+C9+C10+C11+C12+C14+C14</f>
        <v>1435</v>
      </c>
      <c r="D15" s="18">
        <f t="shared" si="10"/>
        <v>1214</v>
      </c>
      <c r="E15" s="18">
        <f t="shared" si="10"/>
        <v>657.93000000000006</v>
      </c>
      <c r="F15" s="62" t="e">
        <f>E15+'July ANX I '!F15</f>
        <v>#REF!</v>
      </c>
      <c r="G15" s="18">
        <f>G8+G9+G10+G11+G12+G14+G14</f>
        <v>5854.2717238562091</v>
      </c>
      <c r="H15" s="18">
        <f>H8+H9+H10+H11+H12+H14+H14</f>
        <v>3444.8911029411765</v>
      </c>
      <c r="I15" s="18">
        <f t="shared" si="10"/>
        <v>9299.1628267973865</v>
      </c>
      <c r="J15" s="18">
        <f t="shared" si="10"/>
        <v>9957.092826797385</v>
      </c>
      <c r="K15" s="18">
        <f t="shared" si="10"/>
        <v>105.5886134454621</v>
      </c>
      <c r="L15" s="64">
        <f>+(((C15*24)*30)-I15)*100/((C15*24)*30)</f>
        <v>99.099964883198083</v>
      </c>
      <c r="M15" s="9">
        <f>+(((D15*24)*30)-J15)*100/((D15*24)*30)</f>
        <v>98.860848797959292</v>
      </c>
      <c r="N15" s="18" t="e">
        <f>N8+N9+N10+N11+N12+N14+N14</f>
        <v>#REF!</v>
      </c>
      <c r="O15" s="18" t="e">
        <f>O8+O9+O10+O11+O12+O14+O14</f>
        <v>#REF!</v>
      </c>
      <c r="P15" s="64" t="e">
        <f>((C15*24*153)-(N15-E15))*100/(C15*24*153)</f>
        <v>#REF!</v>
      </c>
      <c r="Q15" s="9" t="e">
        <f>((D15*24*30)-(N15))*100/(D15*24*30)</f>
        <v>#REF!</v>
      </c>
      <c r="T15" s="43" t="e">
        <f t="shared" si="9"/>
        <v>#REF!</v>
      </c>
    </row>
    <row r="16" spans="1:25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4:20" ht="24.75" hidden="1" customHeight="1">
      <c r="P33" s="21"/>
      <c r="Q33" s="21"/>
      <c r="T33" s="43">
        <f t="shared" si="11"/>
        <v>0</v>
      </c>
    </row>
    <row r="34" spans="14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4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4:20" ht="18" hidden="1">
      <c r="T36" s="43">
        <f t="shared" si="11"/>
        <v>0</v>
      </c>
    </row>
    <row r="37" spans="14:20" ht="18" hidden="1">
      <c r="T37" s="43">
        <f t="shared" si="11"/>
        <v>0</v>
      </c>
    </row>
    <row r="38" spans="14:20" ht="18" hidden="1">
      <c r="N38" s="23"/>
      <c r="O38" s="23"/>
      <c r="P38" s="24"/>
      <c r="Q38" s="24"/>
      <c r="R38" s="21"/>
      <c r="T38" s="43">
        <f t="shared" si="11"/>
        <v>0</v>
      </c>
    </row>
    <row r="39" spans="14:20" ht="18" hidden="1">
      <c r="N39" s="23"/>
      <c r="O39" s="23"/>
      <c r="P39" s="23"/>
      <c r="Q39" s="23"/>
      <c r="T39" s="43">
        <f t="shared" si="11"/>
        <v>0</v>
      </c>
    </row>
    <row r="40" spans="14:20" ht="18" hidden="1">
      <c r="N40" s="23"/>
      <c r="O40" s="23"/>
      <c r="P40" s="23"/>
      <c r="Q40" s="23"/>
      <c r="T40" s="43">
        <f t="shared" si="11"/>
        <v>0</v>
      </c>
    </row>
    <row r="41" spans="14:20" ht="18" hidden="1">
      <c r="N41" s="23"/>
      <c r="O41" s="23"/>
      <c r="P41" s="23"/>
      <c r="Q41" s="23"/>
      <c r="T41" s="43">
        <f t="shared" si="11"/>
        <v>0</v>
      </c>
    </row>
    <row r="42" spans="14:20" ht="18" hidden="1">
      <c r="N42" s="23"/>
      <c r="O42" s="23"/>
      <c r="P42" s="23"/>
      <c r="Q42" s="23"/>
      <c r="T42" s="43">
        <f t="shared" si="11"/>
        <v>0</v>
      </c>
    </row>
    <row r="43" spans="14:20" ht="18" hidden="1">
      <c r="N43" s="23"/>
      <c r="O43" s="23"/>
      <c r="P43" s="23"/>
      <c r="Q43" s="23"/>
      <c r="T43" s="43">
        <f t="shared" si="11"/>
        <v>0</v>
      </c>
    </row>
    <row r="44" spans="14:20" ht="18" hidden="1">
      <c r="N44" s="23"/>
      <c r="O44" s="23"/>
      <c r="P44" s="23"/>
      <c r="Q44" s="23"/>
      <c r="T44" s="43">
        <f t="shared" si="11"/>
        <v>0</v>
      </c>
    </row>
    <row r="45" spans="14:20" s="25" customFormat="1" ht="18" hidden="1">
      <c r="T45" s="43">
        <f t="shared" si="11"/>
        <v>0</v>
      </c>
    </row>
    <row r="46" spans="14:20" s="25" customFormat="1" ht="18" hidden="1">
      <c r="P46" s="26"/>
      <c r="Q46" s="26"/>
      <c r="T46" s="43">
        <f t="shared" si="11"/>
        <v>0</v>
      </c>
    </row>
    <row r="47" spans="14:20" s="25" customFormat="1" ht="18" hidden="1">
      <c r="P47" s="26"/>
      <c r="Q47" s="26"/>
      <c r="T47" s="43">
        <f t="shared" si="11"/>
        <v>0</v>
      </c>
    </row>
    <row r="48" spans="14:20" s="25" customFormat="1" ht="18" hidden="1"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2:20" s="25" customFormat="1" ht="18" hidden="1"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2:20" s="25" customFormat="1" ht="18" hidden="1">
      <c r="T50" s="43">
        <f t="shared" si="11"/>
        <v>0</v>
      </c>
    </row>
    <row r="51" spans="2:20" s="25" customFormat="1" ht="18" hidden="1">
      <c r="T51" s="43">
        <f t="shared" si="11"/>
        <v>0</v>
      </c>
    </row>
    <row r="52" spans="2:20" ht="18" hidden="1">
      <c r="T52" s="43">
        <f t="shared" si="11"/>
        <v>0</v>
      </c>
    </row>
    <row r="53" spans="2:20" ht="18" hidden="1">
      <c r="T53" s="43">
        <f t="shared" si="11"/>
        <v>0</v>
      </c>
    </row>
    <row r="54" spans="2:20" ht="18" hidden="1">
      <c r="T54" s="43">
        <f t="shared" si="11"/>
        <v>0</v>
      </c>
    </row>
    <row r="55" spans="2:20" ht="18" hidden="1">
      <c r="T55" s="43">
        <f t="shared" si="11"/>
        <v>0</v>
      </c>
    </row>
    <row r="56" spans="2:20">
      <c r="C56"/>
    </row>
    <row r="57" spans="2:20">
      <c r="C57" s="144"/>
    </row>
    <row r="58" spans="2:20" ht="48.75" customHeight="1">
      <c r="C58" s="144"/>
      <c r="L58" s="21"/>
      <c r="M58" s="21"/>
    </row>
    <row r="59" spans="2:20" ht="18.75" customHeight="1">
      <c r="B59" s="819" t="s">
        <v>67</v>
      </c>
      <c r="C59" s="819"/>
      <c r="D59" s="819"/>
      <c r="E59" s="819"/>
      <c r="F59" s="819"/>
      <c r="G59" s="118"/>
      <c r="H59" s="118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2:20" ht="18.75" customHeight="1">
      <c r="B60" s="819" t="s">
        <v>69</v>
      </c>
      <c r="C60" s="819"/>
      <c r="D60" s="819"/>
      <c r="E60" s="819"/>
      <c r="F60" s="819"/>
      <c r="G60" s="118"/>
      <c r="H60" s="118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2:20" ht="18.75">
      <c r="B61" s="121"/>
      <c r="C61" s="122"/>
      <c r="D61" s="122"/>
      <c r="E61" s="118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2:20" ht="18.75">
      <c r="B62" s="121"/>
      <c r="C62" s="122"/>
      <c r="D62" s="122"/>
      <c r="E62" s="118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9" spans="10:10">
      <c r="J69" s="174">
        <f>686.1</f>
        <v>686.1</v>
      </c>
    </row>
    <row r="70" spans="10:10">
      <c r="J70" s="2">
        <f>J69/7</f>
        <v>98.01428571428572</v>
      </c>
    </row>
  </sheetData>
  <mergeCells count="25"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  <mergeCell ref="A23:Q24"/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view="pageBreakPreview" topLeftCell="A6" zoomScale="60" workbookViewId="0">
      <selection activeCell="I34" activeCellId="1" sqref="I34 L36"/>
    </sheetView>
  </sheetViews>
  <sheetFormatPr defaultRowHeight="12.75"/>
  <cols>
    <col min="1" max="1" width="7.140625" style="146" customWidth="1"/>
    <col min="2" max="2" width="24.140625" style="146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9.7109375" style="146" customWidth="1"/>
    <col min="13" max="13" width="10.7109375" style="146" customWidth="1"/>
    <col min="14" max="14" width="12.85546875" style="146" customWidth="1"/>
    <col min="15" max="15" width="11.85546875" style="146" customWidth="1"/>
    <col min="16" max="16" width="13.85546875" style="146" customWidth="1"/>
    <col min="17" max="17" width="11.7109375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117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125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3" customFormat="1" ht="14.25" customHeight="1">
      <c r="A11" s="821" t="s">
        <v>2</v>
      </c>
      <c r="B11" s="837" t="s">
        <v>38</v>
      </c>
      <c r="C11" s="821" t="s">
        <v>4</v>
      </c>
      <c r="D11" s="821" t="s">
        <v>5</v>
      </c>
      <c r="E11" s="821" t="s">
        <v>6</v>
      </c>
      <c r="F11" s="821" t="s">
        <v>7</v>
      </c>
      <c r="G11" s="845" t="s">
        <v>39</v>
      </c>
      <c r="H11" s="845"/>
      <c r="I11" s="845"/>
      <c r="J11" s="845" t="s">
        <v>124</v>
      </c>
      <c r="K11" s="845"/>
      <c r="L11" s="845"/>
      <c r="M11" s="845"/>
      <c r="N11" s="845" t="s">
        <v>84</v>
      </c>
      <c r="O11" s="845"/>
      <c r="P11" s="845"/>
      <c r="Q11" s="845"/>
    </row>
    <row r="12" spans="1:20" s="3" customFormat="1" ht="117.75" customHeight="1">
      <c r="A12" s="821"/>
      <c r="B12" s="838"/>
      <c r="C12" s="821"/>
      <c r="D12" s="821"/>
      <c r="E12" s="821"/>
      <c r="F12" s="821"/>
      <c r="G12" s="75" t="s">
        <v>9</v>
      </c>
      <c r="H12" s="75" t="s">
        <v>10</v>
      </c>
      <c r="I12" s="75" t="s">
        <v>11</v>
      </c>
      <c r="J12" s="75" t="s">
        <v>12</v>
      </c>
      <c r="K12" s="75" t="s">
        <v>13</v>
      </c>
      <c r="L12" s="75" t="s">
        <v>78</v>
      </c>
      <c r="M12" s="75" t="s">
        <v>14</v>
      </c>
      <c r="N12" s="75" t="s">
        <v>15</v>
      </c>
      <c r="O12" s="75" t="s">
        <v>16</v>
      </c>
      <c r="P12" s="75" t="s">
        <v>17</v>
      </c>
      <c r="Q12" s="75" t="s">
        <v>18</v>
      </c>
    </row>
    <row r="13" spans="1:20" ht="14.25" customHeight="1">
      <c r="A13" s="147">
        <v>1</v>
      </c>
      <c r="B13" s="147" t="s">
        <v>40</v>
      </c>
      <c r="C13" s="147">
        <v>3</v>
      </c>
      <c r="D13" s="147">
        <v>4</v>
      </c>
      <c r="E13" s="147">
        <v>5</v>
      </c>
      <c r="F13" s="147" t="s">
        <v>19</v>
      </c>
      <c r="G13" s="147">
        <v>6</v>
      </c>
      <c r="H13" s="147">
        <v>7</v>
      </c>
      <c r="I13" s="147" t="s">
        <v>20</v>
      </c>
      <c r="J13" s="147" t="s">
        <v>21</v>
      </c>
      <c r="K13" s="148" t="s">
        <v>22</v>
      </c>
      <c r="L13" s="147" t="s">
        <v>23</v>
      </c>
      <c r="M13" s="147" t="s">
        <v>24</v>
      </c>
      <c r="N13" s="147">
        <v>13</v>
      </c>
      <c r="O13" s="147" t="s">
        <v>25</v>
      </c>
      <c r="P13" s="147">
        <v>15</v>
      </c>
      <c r="Q13" s="147">
        <v>16</v>
      </c>
    </row>
    <row r="14" spans="1:20" s="155" customFormat="1" ht="24.95" customHeight="1">
      <c r="A14" s="149">
        <v>1</v>
      </c>
      <c r="B14" s="150" t="s">
        <v>41</v>
      </c>
      <c r="C14" s="151">
        <v>1</v>
      </c>
      <c r="D14" s="151">
        <v>1</v>
      </c>
      <c r="E14" s="152">
        <v>4.3099999999999996</v>
      </c>
      <c r="F14" s="152" t="e">
        <f>E14+'Aug ANXII'!F14</f>
        <v>#REF!</v>
      </c>
      <c r="G14" s="152">
        <v>8.35</v>
      </c>
      <c r="H14" s="152">
        <v>2.7</v>
      </c>
      <c r="I14" s="152">
        <f>G14+H14</f>
        <v>11.05</v>
      </c>
      <c r="J14" s="152">
        <f>E14+I14</f>
        <v>15.36</v>
      </c>
      <c r="K14" s="152">
        <f>J14/C14</f>
        <v>15.36</v>
      </c>
      <c r="L14" s="153">
        <f>+(((C14*24)*30)-I14)*100/((C14*24)*30)</f>
        <v>98.465277777777771</v>
      </c>
      <c r="M14" s="153">
        <f>+(((C14*24)*30)-J14)*100/((C14*24)*30)</f>
        <v>97.86666666666666</v>
      </c>
      <c r="N14" s="152" t="e">
        <f>J14+'Aug ANXII'!N14</f>
        <v>#REF!</v>
      </c>
      <c r="O14" s="153" t="e">
        <f>N14/C14</f>
        <v>#REF!</v>
      </c>
      <c r="P14" s="153" t="e">
        <f>((C14*24*183)-(N14-E14))*100/(C14*24*183)</f>
        <v>#REF!</v>
      </c>
      <c r="Q14" s="153" t="e">
        <f>((C14*24*153)-(N14))*100/(C14*24*153)</f>
        <v>#REF!</v>
      </c>
      <c r="R14" s="154"/>
      <c r="S14" s="154" t="e">
        <f>L14-P14</f>
        <v>#REF!</v>
      </c>
      <c r="T14" s="154" t="e">
        <f>M14-Q14</f>
        <v>#REF!</v>
      </c>
    </row>
    <row r="15" spans="1:20" s="155" customFormat="1" ht="24.95" customHeight="1">
      <c r="A15" s="149">
        <v>2</v>
      </c>
      <c r="B15" s="150" t="s">
        <v>42</v>
      </c>
      <c r="C15" s="151">
        <v>1</v>
      </c>
      <c r="D15" s="151">
        <v>1</v>
      </c>
      <c r="E15" s="152">
        <v>2</v>
      </c>
      <c r="F15" s="152" t="e">
        <f>E15+'Aug ANXII'!F15</f>
        <v>#REF!</v>
      </c>
      <c r="G15" s="152">
        <v>23</v>
      </c>
      <c r="H15" s="152">
        <v>1.45</v>
      </c>
      <c r="I15" s="152">
        <f t="shared" ref="I15:I39" si="0">G15+H15</f>
        <v>24.45</v>
      </c>
      <c r="J15" s="152">
        <f t="shared" ref="J15:J39" si="1">E15+I15</f>
        <v>26.45</v>
      </c>
      <c r="K15" s="152">
        <f t="shared" ref="K15:K39" si="2">J15/C15</f>
        <v>26.45</v>
      </c>
      <c r="L15" s="153">
        <f t="shared" ref="L15:L39" si="3">+(((C15*24)*30)-I15)*100/((C15*24)*30)</f>
        <v>96.604166666666671</v>
      </c>
      <c r="M15" s="153">
        <f t="shared" ref="M15:M39" si="4">+(((C15*24)*30)-J15)*100/((C15*24)*30)</f>
        <v>96.326388888888886</v>
      </c>
      <c r="N15" s="152" t="e">
        <f>J15+'Aug ANXII'!N15</f>
        <v>#REF!</v>
      </c>
      <c r="O15" s="153" t="e">
        <f t="shared" ref="O15:O39" si="5">N15/C15</f>
        <v>#REF!</v>
      </c>
      <c r="P15" s="153" t="e">
        <f t="shared" ref="P15:P39" si="6">((C15*24*183)-(N15-E15))*100/(C15*24*183)</f>
        <v>#REF!</v>
      </c>
      <c r="Q15" s="153" t="e">
        <f t="shared" ref="Q15:Q39" si="7">((C15*24*153)-(N15))*100/(C15*24*153)</f>
        <v>#REF!</v>
      </c>
      <c r="R15" s="154"/>
      <c r="S15" s="154" t="e">
        <f t="shared" ref="S15:T39" si="8">L15-P15</f>
        <v>#REF!</v>
      </c>
      <c r="T15" s="154" t="e">
        <f t="shared" si="8"/>
        <v>#REF!</v>
      </c>
    </row>
    <row r="16" spans="1:20" s="155" customFormat="1" ht="24.95" customHeight="1">
      <c r="A16" s="149">
        <v>3</v>
      </c>
      <c r="B16" s="150" t="s">
        <v>43</v>
      </c>
      <c r="C16" s="151">
        <v>11</v>
      </c>
      <c r="D16" s="151">
        <v>11</v>
      </c>
      <c r="E16" s="152">
        <v>9.3000000000000007</v>
      </c>
      <c r="F16" s="152" t="e">
        <f>E16+'Aug ANXII'!F16</f>
        <v>#REF!</v>
      </c>
      <c r="G16" s="152">
        <v>84.16</v>
      </c>
      <c r="H16" s="152">
        <v>30.45</v>
      </c>
      <c r="I16" s="152">
        <f t="shared" si="0"/>
        <v>114.61</v>
      </c>
      <c r="J16" s="152">
        <f t="shared" si="1"/>
        <v>123.91</v>
      </c>
      <c r="K16" s="152">
        <f t="shared" si="2"/>
        <v>11.264545454545454</v>
      </c>
      <c r="L16" s="153">
        <f t="shared" si="3"/>
        <v>98.552904040404044</v>
      </c>
      <c r="M16" s="153">
        <f t="shared" si="4"/>
        <v>98.435479797979795</v>
      </c>
      <c r="N16" s="152" t="e">
        <f>J16+'Aug ANXII'!N16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54"/>
      <c r="S16" s="154" t="e">
        <f t="shared" si="8"/>
        <v>#REF!</v>
      </c>
      <c r="T16" s="154" t="e">
        <f t="shared" si="8"/>
        <v>#REF!</v>
      </c>
    </row>
    <row r="17" spans="1:20" s="155" customFormat="1" ht="24.95" customHeight="1">
      <c r="A17" s="149">
        <v>4</v>
      </c>
      <c r="B17" s="150" t="s">
        <v>73</v>
      </c>
      <c r="C17" s="151">
        <v>2</v>
      </c>
      <c r="D17" s="151">
        <v>2</v>
      </c>
      <c r="E17" s="152">
        <v>7.05</v>
      </c>
      <c r="F17" s="152" t="e">
        <f>E17+'Aug ANXII'!F17</f>
        <v>#REF!</v>
      </c>
      <c r="G17" s="152">
        <v>48.6</v>
      </c>
      <c r="H17" s="152">
        <v>5.3</v>
      </c>
      <c r="I17" s="152">
        <f t="shared" si="0"/>
        <v>53.9</v>
      </c>
      <c r="J17" s="152">
        <f t="shared" si="1"/>
        <v>60.949999999999996</v>
      </c>
      <c r="K17" s="152">
        <f t="shared" si="2"/>
        <v>30.474999999999998</v>
      </c>
      <c r="L17" s="153">
        <f t="shared" si="3"/>
        <v>96.256944444444443</v>
      </c>
      <c r="M17" s="153">
        <f t="shared" si="4"/>
        <v>95.767361111111114</v>
      </c>
      <c r="N17" s="152" t="e">
        <f>J17+'Aug ANXII'!N17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54"/>
      <c r="S17" s="154" t="e">
        <f>L17-P17</f>
        <v>#REF!</v>
      </c>
      <c r="T17" s="154" t="e">
        <f>M17-Q17</f>
        <v>#REF!</v>
      </c>
    </row>
    <row r="18" spans="1:20" s="155" customFormat="1" ht="24.95" customHeight="1">
      <c r="A18" s="149">
        <v>5</v>
      </c>
      <c r="B18" s="150" t="s">
        <v>79</v>
      </c>
      <c r="C18" s="151">
        <v>4</v>
      </c>
      <c r="D18" s="151">
        <v>4</v>
      </c>
      <c r="E18" s="152">
        <v>1.4</v>
      </c>
      <c r="F18" s="152" t="e">
        <f>E18+'Aug ANXII'!F18</f>
        <v>#REF!</v>
      </c>
      <c r="G18" s="152">
        <v>21.750000000000004</v>
      </c>
      <c r="H18" s="152">
        <v>2.1</v>
      </c>
      <c r="I18" s="152">
        <f t="shared" si="0"/>
        <v>23.850000000000005</v>
      </c>
      <c r="J18" s="152">
        <f t="shared" si="1"/>
        <v>25.250000000000004</v>
      </c>
      <c r="K18" s="152">
        <f t="shared" si="2"/>
        <v>6.3125000000000009</v>
      </c>
      <c r="L18" s="153">
        <f t="shared" si="3"/>
        <v>99.171875</v>
      </c>
      <c r="M18" s="153">
        <f t="shared" si="4"/>
        <v>99.123263888888886</v>
      </c>
      <c r="N18" s="152" t="e">
        <f>J18+'Aug ANXII'!N18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54"/>
      <c r="S18" s="154" t="e">
        <f>L18-P18</f>
        <v>#REF!</v>
      </c>
      <c r="T18" s="154" t="e">
        <f>M18-Q18</f>
        <v>#REF!</v>
      </c>
    </row>
    <row r="19" spans="1:20" s="155" customFormat="1" ht="24.95" customHeight="1">
      <c r="A19" s="149">
        <v>6</v>
      </c>
      <c r="B19" s="150" t="s">
        <v>80</v>
      </c>
      <c r="C19" s="151">
        <v>1</v>
      </c>
      <c r="D19" s="151">
        <v>1</v>
      </c>
      <c r="E19" s="152">
        <v>4.2</v>
      </c>
      <c r="F19" s="152" t="e">
        <f>E19+'Aug ANXII'!F19</f>
        <v>#REF!</v>
      </c>
      <c r="G19" s="152">
        <v>20.71</v>
      </c>
      <c r="H19" s="152">
        <v>10.62</v>
      </c>
      <c r="I19" s="152">
        <f t="shared" si="0"/>
        <v>31.33</v>
      </c>
      <c r="J19" s="152">
        <f t="shared" si="1"/>
        <v>35.53</v>
      </c>
      <c r="K19" s="152">
        <f t="shared" si="2"/>
        <v>35.53</v>
      </c>
      <c r="L19" s="153">
        <f t="shared" si="3"/>
        <v>95.648611111111109</v>
      </c>
      <c r="M19" s="153">
        <f t="shared" si="4"/>
        <v>95.06527777777778</v>
      </c>
      <c r="N19" s="152" t="e">
        <f>J19+'Aug ANXII'!N19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54"/>
      <c r="S19" s="154" t="e">
        <f t="shared" si="8"/>
        <v>#REF!</v>
      </c>
      <c r="T19" s="154" t="e">
        <f t="shared" si="8"/>
        <v>#REF!</v>
      </c>
    </row>
    <row r="20" spans="1:20" s="155" customFormat="1" ht="24.95" customHeight="1">
      <c r="A20" s="149">
        <v>7</v>
      </c>
      <c r="B20" s="150" t="s">
        <v>74</v>
      </c>
      <c r="C20" s="151">
        <v>2</v>
      </c>
      <c r="D20" s="151">
        <v>2</v>
      </c>
      <c r="E20" s="152">
        <v>6.5</v>
      </c>
      <c r="F20" s="152" t="e">
        <f>E20+'Aug ANXII'!F20</f>
        <v>#REF!</v>
      </c>
      <c r="G20" s="152">
        <v>45.23</v>
      </c>
      <c r="H20" s="152">
        <v>33.68</v>
      </c>
      <c r="I20" s="152">
        <f t="shared" si="0"/>
        <v>78.91</v>
      </c>
      <c r="J20" s="152">
        <f t="shared" si="1"/>
        <v>85.41</v>
      </c>
      <c r="K20" s="152">
        <f t="shared" si="2"/>
        <v>42.704999999999998</v>
      </c>
      <c r="L20" s="153">
        <f t="shared" si="3"/>
        <v>94.520138888888894</v>
      </c>
      <c r="M20" s="153">
        <f t="shared" si="4"/>
        <v>94.068749999999994</v>
      </c>
      <c r="N20" s="152" t="e">
        <f>J20+'Aug ANXII'!N20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54"/>
      <c r="S20" s="154" t="e">
        <f t="shared" si="8"/>
        <v>#REF!</v>
      </c>
      <c r="T20" s="154" t="e">
        <f t="shared" si="8"/>
        <v>#REF!</v>
      </c>
    </row>
    <row r="21" spans="1:20" s="155" customFormat="1" ht="24.95" customHeight="1">
      <c r="A21" s="149">
        <v>8</v>
      </c>
      <c r="B21" s="150" t="s">
        <v>44</v>
      </c>
      <c r="C21" s="151">
        <v>3</v>
      </c>
      <c r="D21" s="151">
        <v>3</v>
      </c>
      <c r="E21" s="152">
        <v>11.526221168823255</v>
      </c>
      <c r="F21" s="152" t="e">
        <f>E21+'Aug ANXII'!F21</f>
        <v>#REF!</v>
      </c>
      <c r="G21" s="152">
        <v>26.63</v>
      </c>
      <c r="H21" s="152">
        <v>15.15</v>
      </c>
      <c r="I21" s="152">
        <f t="shared" si="0"/>
        <v>41.78</v>
      </c>
      <c r="J21" s="152">
        <f t="shared" si="1"/>
        <v>53.306221168823257</v>
      </c>
      <c r="K21" s="152">
        <f t="shared" si="2"/>
        <v>17.768740389607753</v>
      </c>
      <c r="L21" s="153">
        <f t="shared" si="3"/>
        <v>98.065740740740722</v>
      </c>
      <c r="M21" s="153">
        <f t="shared" si="4"/>
        <v>97.532119390332241</v>
      </c>
      <c r="N21" s="152" t="e">
        <f>J21+'Aug ANXII'!N21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54"/>
      <c r="S21" s="154" t="e">
        <f t="shared" si="8"/>
        <v>#REF!</v>
      </c>
      <c r="T21" s="154" t="e">
        <f t="shared" si="8"/>
        <v>#REF!</v>
      </c>
    </row>
    <row r="22" spans="1:20" s="155" customFormat="1" ht="24.95" customHeight="1">
      <c r="A22" s="149">
        <v>9</v>
      </c>
      <c r="B22" s="150" t="s">
        <v>75</v>
      </c>
      <c r="C22" s="151">
        <v>5</v>
      </c>
      <c r="D22" s="151">
        <v>5</v>
      </c>
      <c r="E22" s="152">
        <v>13.364759514770506</v>
      </c>
      <c r="F22" s="152" t="e">
        <f>E22+'Aug ANXII'!F22</f>
        <v>#REF!</v>
      </c>
      <c r="G22" s="152">
        <v>20.079999999999998</v>
      </c>
      <c r="H22" s="152">
        <v>21.97</v>
      </c>
      <c r="I22" s="152">
        <f t="shared" si="0"/>
        <v>42.05</v>
      </c>
      <c r="J22" s="152">
        <f t="shared" si="1"/>
        <v>55.414759514770502</v>
      </c>
      <c r="K22" s="152">
        <f t="shared" si="2"/>
        <v>11.0829519029541</v>
      </c>
      <c r="L22" s="153">
        <f t="shared" si="3"/>
        <v>98.831944444444446</v>
      </c>
      <c r="M22" s="153">
        <f t="shared" si="4"/>
        <v>98.460701124589704</v>
      </c>
      <c r="N22" s="152" t="e">
        <f>J22+'Aug ANXII'!N22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54"/>
      <c r="S22" s="154" t="e">
        <f t="shared" si="8"/>
        <v>#REF!</v>
      </c>
      <c r="T22" s="154" t="e">
        <f t="shared" si="8"/>
        <v>#REF!</v>
      </c>
    </row>
    <row r="23" spans="1:20" s="155" customFormat="1" ht="24.95" customHeight="1">
      <c r="A23" s="149">
        <v>10</v>
      </c>
      <c r="B23" s="150" t="s">
        <v>76</v>
      </c>
      <c r="C23" s="151">
        <v>1</v>
      </c>
      <c r="D23" s="151">
        <v>1</v>
      </c>
      <c r="E23" s="152">
        <v>1.8284681463623074</v>
      </c>
      <c r="F23" s="152" t="e">
        <f>E23+'Aug ANXII'!F23</f>
        <v>#REF!</v>
      </c>
      <c r="G23" s="152">
        <v>5.7</v>
      </c>
      <c r="H23" s="152">
        <v>2.5499999999999998</v>
      </c>
      <c r="I23" s="152">
        <f t="shared" si="0"/>
        <v>8.25</v>
      </c>
      <c r="J23" s="152">
        <f t="shared" si="1"/>
        <v>10.078468146362308</v>
      </c>
      <c r="K23" s="152">
        <f t="shared" si="2"/>
        <v>10.078468146362308</v>
      </c>
      <c r="L23" s="153">
        <f t="shared" si="3"/>
        <v>98.854166666666671</v>
      </c>
      <c r="M23" s="153">
        <f t="shared" si="4"/>
        <v>98.600212757449682</v>
      </c>
      <c r="N23" s="152" t="e">
        <f>J23+'Aug ANXII'!N23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54"/>
      <c r="S23" s="154" t="e">
        <f t="shared" si="8"/>
        <v>#REF!</v>
      </c>
      <c r="T23" s="154" t="e">
        <f t="shared" si="8"/>
        <v>#REF!</v>
      </c>
    </row>
    <row r="24" spans="1:20" s="1" customFormat="1" ht="24.95" customHeight="1">
      <c r="A24" s="149">
        <v>11</v>
      </c>
      <c r="B24" s="150" t="s">
        <v>28</v>
      </c>
      <c r="C24" s="156">
        <v>7</v>
      </c>
      <c r="D24" s="156">
        <v>7</v>
      </c>
      <c r="E24" s="153">
        <v>9.5</v>
      </c>
      <c r="F24" s="152" t="e">
        <f>E24+'Aug ANXII'!F24</f>
        <v>#REF!</v>
      </c>
      <c r="G24" s="153">
        <v>172.45</v>
      </c>
      <c r="H24" s="153">
        <v>70.400000000000006</v>
      </c>
      <c r="I24" s="152">
        <f t="shared" si="0"/>
        <v>242.85</v>
      </c>
      <c r="J24" s="152">
        <f t="shared" si="1"/>
        <v>252.35</v>
      </c>
      <c r="K24" s="152">
        <f t="shared" si="2"/>
        <v>36.049999999999997</v>
      </c>
      <c r="L24" s="153">
        <f t="shared" si="3"/>
        <v>95.181547619047606</v>
      </c>
      <c r="M24" s="153">
        <f t="shared" si="4"/>
        <v>94.993055555555543</v>
      </c>
      <c r="N24" s="152" t="e">
        <f>J24+'Aug ANXII'!N24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54"/>
      <c r="S24" s="154" t="e">
        <f t="shared" si="8"/>
        <v>#REF!</v>
      </c>
      <c r="T24" s="154" t="e">
        <f t="shared" si="8"/>
        <v>#REF!</v>
      </c>
    </row>
    <row r="25" spans="1:20" s="1" customFormat="1" ht="24.95" customHeight="1">
      <c r="A25" s="149">
        <v>12</v>
      </c>
      <c r="B25" s="150" t="s">
        <v>45</v>
      </c>
      <c r="C25" s="156">
        <v>11</v>
      </c>
      <c r="D25" s="156">
        <v>11</v>
      </c>
      <c r="E25" s="153">
        <v>15.3</v>
      </c>
      <c r="F25" s="152" t="e">
        <f>E25+'Aug ANXII'!F25</f>
        <v>#REF!</v>
      </c>
      <c r="G25" s="153">
        <v>151.85</v>
      </c>
      <c r="H25" s="153">
        <v>64.599999999999994</v>
      </c>
      <c r="I25" s="152">
        <f>G25+H25</f>
        <v>216.45</v>
      </c>
      <c r="J25" s="152">
        <f t="shared" si="1"/>
        <v>231.75</v>
      </c>
      <c r="K25" s="152">
        <f t="shared" si="2"/>
        <v>21.068181818181817</v>
      </c>
      <c r="L25" s="153">
        <f t="shared" si="3"/>
        <v>97.267045454545453</v>
      </c>
      <c r="M25" s="153">
        <f t="shared" si="4"/>
        <v>97.07386363636364</v>
      </c>
      <c r="N25" s="152" t="e">
        <f>J25+'Aug ANXII'!N25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54"/>
      <c r="S25" s="154" t="e">
        <f t="shared" si="8"/>
        <v>#REF!</v>
      </c>
      <c r="T25" s="154" t="e">
        <f t="shared" si="8"/>
        <v>#REF!</v>
      </c>
    </row>
    <row r="26" spans="1:20" s="1" customFormat="1" ht="24.95" customHeight="1">
      <c r="A26" s="149">
        <v>13</v>
      </c>
      <c r="B26" s="150" t="s">
        <v>46</v>
      </c>
      <c r="C26" s="156">
        <v>8</v>
      </c>
      <c r="D26" s="156">
        <v>8</v>
      </c>
      <c r="E26" s="153">
        <v>8.5</v>
      </c>
      <c r="F26" s="152" t="e">
        <f>E26+'Aug ANXII'!F26</f>
        <v>#REF!</v>
      </c>
      <c r="G26" s="153">
        <v>160</v>
      </c>
      <c r="H26" s="153">
        <v>87</v>
      </c>
      <c r="I26" s="152">
        <f t="shared" si="0"/>
        <v>247</v>
      </c>
      <c r="J26" s="152">
        <f t="shared" si="1"/>
        <v>255.5</v>
      </c>
      <c r="K26" s="152">
        <f t="shared" si="2"/>
        <v>31.9375</v>
      </c>
      <c r="L26" s="153">
        <f t="shared" si="3"/>
        <v>95.711805555555557</v>
      </c>
      <c r="M26" s="153">
        <f t="shared" si="4"/>
        <v>95.564236111111114</v>
      </c>
      <c r="N26" s="152" t="e">
        <f>J26+'Aug ANXII'!N26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54"/>
      <c r="S26" s="154" t="e">
        <f t="shared" si="8"/>
        <v>#REF!</v>
      </c>
      <c r="T26" s="154" t="e">
        <f t="shared" si="8"/>
        <v>#REF!</v>
      </c>
    </row>
    <row r="27" spans="1:20" s="1" customFormat="1" ht="24.95" customHeight="1">
      <c r="A27" s="149">
        <v>14</v>
      </c>
      <c r="B27" s="150" t="s">
        <v>77</v>
      </c>
      <c r="C27" s="156">
        <v>4</v>
      </c>
      <c r="D27" s="156">
        <v>4</v>
      </c>
      <c r="E27" s="153">
        <v>1.43</v>
      </c>
      <c r="F27" s="152" t="e">
        <f>E27+'Aug ANXII'!F27</f>
        <v>#REF!</v>
      </c>
      <c r="G27" s="153">
        <v>30.26</v>
      </c>
      <c r="H27" s="153">
        <v>25.43</v>
      </c>
      <c r="I27" s="152">
        <f t="shared" si="0"/>
        <v>55.69</v>
      </c>
      <c r="J27" s="152">
        <f t="shared" si="1"/>
        <v>57.12</v>
      </c>
      <c r="K27" s="152">
        <f t="shared" si="2"/>
        <v>14.28</v>
      </c>
      <c r="L27" s="153">
        <f t="shared" si="3"/>
        <v>98.066319444444446</v>
      </c>
      <c r="M27" s="153">
        <f t="shared" si="4"/>
        <v>98.016666666666666</v>
      </c>
      <c r="N27" s="152" t="e">
        <f>J27+'Aug ANXII'!N27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54"/>
      <c r="S27" s="154" t="e">
        <f>L27-P27</f>
        <v>#REF!</v>
      </c>
      <c r="T27" s="154" t="e">
        <f>M27-Q27</f>
        <v>#REF!</v>
      </c>
    </row>
    <row r="28" spans="1:20" s="1" customFormat="1" ht="24.95" customHeight="1">
      <c r="A28" s="149">
        <v>15</v>
      </c>
      <c r="B28" s="150" t="s">
        <v>47</v>
      </c>
      <c r="C28" s="156">
        <v>30</v>
      </c>
      <c r="D28" s="156">
        <v>30</v>
      </c>
      <c r="E28" s="153">
        <v>144</v>
      </c>
      <c r="F28" s="152" t="e">
        <f>E28+'Aug ANXII'!F28</f>
        <v>#REF!</v>
      </c>
      <c r="G28" s="153">
        <v>109</v>
      </c>
      <c r="H28" s="153">
        <v>94</v>
      </c>
      <c r="I28" s="152">
        <f t="shared" si="0"/>
        <v>203</v>
      </c>
      <c r="J28" s="152">
        <f t="shared" si="1"/>
        <v>347</v>
      </c>
      <c r="K28" s="152">
        <f t="shared" si="2"/>
        <v>11.566666666666666</v>
      </c>
      <c r="L28" s="153">
        <f t="shared" si="3"/>
        <v>99.06018518518519</v>
      </c>
      <c r="M28" s="153">
        <f t="shared" si="4"/>
        <v>98.393518518518519</v>
      </c>
      <c r="N28" s="152" t="e">
        <f>J28+'Aug ANXII'!N28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54"/>
      <c r="S28" s="154" t="e">
        <f t="shared" si="8"/>
        <v>#REF!</v>
      </c>
      <c r="T28" s="154" t="e">
        <f t="shared" si="8"/>
        <v>#REF!</v>
      </c>
    </row>
    <row r="29" spans="1:20" s="1" customFormat="1" ht="24.95" customHeight="1">
      <c r="A29" s="149">
        <v>16</v>
      </c>
      <c r="B29" s="150" t="s">
        <v>48</v>
      </c>
      <c r="C29" s="156">
        <v>15</v>
      </c>
      <c r="D29" s="156">
        <v>15</v>
      </c>
      <c r="E29" s="153">
        <v>83.05</v>
      </c>
      <c r="F29" s="152" t="e">
        <f>E29+'Aug ANXII'!F29</f>
        <v>#REF!</v>
      </c>
      <c r="G29" s="153">
        <v>64.25</v>
      </c>
      <c r="H29" s="153">
        <v>48.2</v>
      </c>
      <c r="I29" s="152">
        <f t="shared" si="0"/>
        <v>112.45</v>
      </c>
      <c r="J29" s="152">
        <f t="shared" si="1"/>
        <v>195.5</v>
      </c>
      <c r="K29" s="152">
        <f t="shared" si="2"/>
        <v>13.033333333333333</v>
      </c>
      <c r="L29" s="153">
        <f t="shared" si="3"/>
        <v>98.958796296296299</v>
      </c>
      <c r="M29" s="153">
        <f t="shared" si="4"/>
        <v>98.18981481481481</v>
      </c>
      <c r="N29" s="152" t="e">
        <f>J29+'Aug ANXII'!N29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54"/>
      <c r="S29" s="154" t="e">
        <f t="shared" si="8"/>
        <v>#REF!</v>
      </c>
      <c r="T29" s="154" t="e">
        <f t="shared" si="8"/>
        <v>#REF!</v>
      </c>
    </row>
    <row r="30" spans="1:20" s="1" customFormat="1" ht="24.95" customHeight="1">
      <c r="A30" s="149">
        <v>17</v>
      </c>
      <c r="B30" s="150" t="s">
        <v>63</v>
      </c>
      <c r="C30" s="156">
        <v>12</v>
      </c>
      <c r="D30" s="156">
        <v>12</v>
      </c>
      <c r="E30" s="153">
        <v>34.76</v>
      </c>
      <c r="F30" s="152" t="e">
        <f>E30+'Aug ANXII'!F30</f>
        <v>#REF!</v>
      </c>
      <c r="G30" s="153">
        <v>59.38</v>
      </c>
      <c r="H30" s="153">
        <v>54.22</v>
      </c>
      <c r="I30" s="152">
        <f t="shared" si="0"/>
        <v>113.6</v>
      </c>
      <c r="J30" s="152">
        <f t="shared" si="1"/>
        <v>148.35999999999999</v>
      </c>
      <c r="K30" s="152">
        <f t="shared" si="2"/>
        <v>12.363333333333332</v>
      </c>
      <c r="L30" s="153">
        <f t="shared" si="3"/>
        <v>98.68518518518519</v>
      </c>
      <c r="M30" s="153">
        <f t="shared" si="4"/>
        <v>98.282870370370375</v>
      </c>
      <c r="N30" s="152" t="e">
        <f>J30+'Aug ANXII'!N30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54"/>
      <c r="S30" s="154" t="e">
        <f t="shared" si="8"/>
        <v>#REF!</v>
      </c>
      <c r="T30" s="154" t="e">
        <f t="shared" si="8"/>
        <v>#REF!</v>
      </c>
    </row>
    <row r="31" spans="1:20" s="1" customFormat="1" ht="24.95" customHeight="1">
      <c r="A31" s="149">
        <v>18</v>
      </c>
      <c r="B31" s="150" t="s">
        <v>50</v>
      </c>
      <c r="C31" s="156">
        <v>49</v>
      </c>
      <c r="D31" s="156">
        <v>49</v>
      </c>
      <c r="E31" s="153">
        <v>174.4</v>
      </c>
      <c r="F31" s="152" t="e">
        <f>E31+'Aug ANXII'!F31</f>
        <v>#REF!</v>
      </c>
      <c r="G31" s="153">
        <v>1521.9</v>
      </c>
      <c r="H31" s="153">
        <v>2359.9</v>
      </c>
      <c r="I31" s="152">
        <f>G31+H31</f>
        <v>3881.8</v>
      </c>
      <c r="J31" s="152">
        <f>E31+I31</f>
        <v>4056.2000000000003</v>
      </c>
      <c r="K31" s="152">
        <f>J31/C31</f>
        <v>82.779591836734696</v>
      </c>
      <c r="L31" s="153">
        <f t="shared" si="3"/>
        <v>88.997165532879819</v>
      </c>
      <c r="M31" s="153">
        <f t="shared" si="4"/>
        <v>88.502834467120181</v>
      </c>
      <c r="N31" s="152" t="e">
        <f>J31+'Aug ANXII'!N31</f>
        <v>#REF!</v>
      </c>
      <c r="O31" s="153" t="e">
        <f t="shared" si="5"/>
        <v>#REF!</v>
      </c>
      <c r="P31" s="153" t="e">
        <f t="shared" si="6"/>
        <v>#REF!</v>
      </c>
      <c r="Q31" s="153" t="e">
        <f t="shared" si="7"/>
        <v>#REF!</v>
      </c>
      <c r="R31" s="154" t="str">
        <f>'[2]Annexure II'!B8</f>
        <v>Devanahalli</v>
      </c>
      <c r="S31" s="154" t="e">
        <f t="shared" si="8"/>
        <v>#REF!</v>
      </c>
      <c r="T31" s="154" t="e">
        <f t="shared" si="8"/>
        <v>#REF!</v>
      </c>
    </row>
    <row r="32" spans="1:20" s="1" customFormat="1" ht="24.95" customHeight="1">
      <c r="A32" s="149">
        <v>19</v>
      </c>
      <c r="B32" s="150" t="s">
        <v>51</v>
      </c>
      <c r="C32" s="156">
        <v>59</v>
      </c>
      <c r="D32" s="156">
        <v>59</v>
      </c>
      <c r="E32" s="156">
        <v>259.8</v>
      </c>
      <c r="F32" s="152" t="e">
        <f>E32+'Aug ANXII'!F32</f>
        <v>#REF!</v>
      </c>
      <c r="G32" s="153">
        <v>2115.6999999999998</v>
      </c>
      <c r="H32" s="153">
        <v>2719.9</v>
      </c>
      <c r="I32" s="152">
        <f t="shared" si="0"/>
        <v>4835.6000000000004</v>
      </c>
      <c r="J32" s="152">
        <f t="shared" si="1"/>
        <v>5095.4000000000005</v>
      </c>
      <c r="K32" s="152">
        <f t="shared" si="2"/>
        <v>86.362711864406791</v>
      </c>
      <c r="L32" s="153">
        <f t="shared" si="3"/>
        <v>88.616760828625232</v>
      </c>
      <c r="M32" s="153">
        <f t="shared" si="4"/>
        <v>88.005178907721287</v>
      </c>
      <c r="N32" s="152" t="e">
        <f>J32+'Aug ANXII'!N32</f>
        <v>#REF!</v>
      </c>
      <c r="O32" s="153" t="e">
        <f t="shared" si="5"/>
        <v>#REF!</v>
      </c>
      <c r="P32" s="153" t="e">
        <f t="shared" si="6"/>
        <v>#REF!</v>
      </c>
      <c r="Q32" s="153" t="e">
        <f t="shared" si="7"/>
        <v>#REF!</v>
      </c>
      <c r="R32" s="154" t="str">
        <f>'[2]Annexure II'!B9</f>
        <v>Hosakote</v>
      </c>
      <c r="S32" s="154" t="e">
        <f t="shared" si="8"/>
        <v>#REF!</v>
      </c>
      <c r="T32" s="154" t="e">
        <f t="shared" si="8"/>
        <v>#REF!</v>
      </c>
    </row>
    <row r="33" spans="1:20" s="1" customFormat="1" ht="24.95" customHeight="1">
      <c r="A33" s="149">
        <v>20</v>
      </c>
      <c r="B33" s="150" t="s">
        <v>52</v>
      </c>
      <c r="C33" s="156">
        <v>48</v>
      </c>
      <c r="D33" s="156">
        <v>48</v>
      </c>
      <c r="E33" s="156">
        <v>0.7</v>
      </c>
      <c r="F33" s="152" t="e">
        <f>E33+'Aug ANXII'!F33</f>
        <v>#REF!</v>
      </c>
      <c r="G33" s="153">
        <v>504.5</v>
      </c>
      <c r="H33" s="153">
        <v>269</v>
      </c>
      <c r="I33" s="152">
        <f t="shared" si="0"/>
        <v>773.5</v>
      </c>
      <c r="J33" s="152">
        <f t="shared" si="1"/>
        <v>774.2</v>
      </c>
      <c r="K33" s="152">
        <f t="shared" si="2"/>
        <v>16.129166666666666</v>
      </c>
      <c r="L33" s="153">
        <f t="shared" si="3"/>
        <v>97.761863425925924</v>
      </c>
      <c r="M33" s="153">
        <f t="shared" si="4"/>
        <v>97.759837962962976</v>
      </c>
      <c r="N33" s="152" t="e">
        <f>J33+'Aug ANXII'!N33</f>
        <v>#REF!</v>
      </c>
      <c r="O33" s="153" t="e">
        <f t="shared" si="5"/>
        <v>#REF!</v>
      </c>
      <c r="P33" s="153" t="e">
        <f t="shared" si="6"/>
        <v>#REF!</v>
      </c>
      <c r="Q33" s="153" t="e">
        <f t="shared" si="7"/>
        <v>#REF!</v>
      </c>
      <c r="R33" s="154" t="str">
        <f>'[2]Annexure II'!B10</f>
        <v>Nelamangala</v>
      </c>
      <c r="S33" s="154" t="e">
        <f t="shared" si="8"/>
        <v>#REF!</v>
      </c>
      <c r="T33" s="154" t="e">
        <f t="shared" si="8"/>
        <v>#REF!</v>
      </c>
    </row>
    <row r="34" spans="1:20" s="1" customFormat="1" ht="28.5" customHeight="1">
      <c r="A34" s="149">
        <v>21</v>
      </c>
      <c r="B34" s="150" t="s">
        <v>53</v>
      </c>
      <c r="C34" s="156">
        <v>36</v>
      </c>
      <c r="D34" s="156">
        <v>36</v>
      </c>
      <c r="E34" s="153">
        <v>73.7</v>
      </c>
      <c r="F34" s="152" t="e">
        <f>E34+'Aug ANXII'!F34</f>
        <v>#REF!</v>
      </c>
      <c r="G34" s="153">
        <v>330.8</v>
      </c>
      <c r="H34" s="153">
        <v>563.9</v>
      </c>
      <c r="I34" s="152">
        <f t="shared" si="0"/>
        <v>894.7</v>
      </c>
      <c r="J34" s="152">
        <f t="shared" si="1"/>
        <v>968.40000000000009</v>
      </c>
      <c r="K34" s="152">
        <f t="shared" si="2"/>
        <v>26.900000000000002</v>
      </c>
      <c r="L34" s="153">
        <f t="shared" si="3"/>
        <v>96.548225308641975</v>
      </c>
      <c r="M34" s="153">
        <f t="shared" si="4"/>
        <v>96.263888888888886</v>
      </c>
      <c r="N34" s="152" t="e">
        <f>J34+'Aug ANXII'!N34</f>
        <v>#REF!</v>
      </c>
      <c r="O34" s="153" t="e">
        <f t="shared" si="5"/>
        <v>#REF!</v>
      </c>
      <c r="P34" s="153" t="e">
        <f t="shared" si="6"/>
        <v>#REF!</v>
      </c>
      <c r="Q34" s="153" t="e">
        <f t="shared" si="7"/>
        <v>#REF!</v>
      </c>
      <c r="R34" s="154" t="str">
        <f>'[2]Annexure II'!B11</f>
        <v>Doddaballapura</v>
      </c>
      <c r="S34" s="154" t="e">
        <f t="shared" si="8"/>
        <v>#REF!</v>
      </c>
      <c r="T34" s="154" t="e">
        <f t="shared" si="8"/>
        <v>#REF!</v>
      </c>
    </row>
    <row r="35" spans="1:20" s="1" customFormat="1" ht="24.95" customHeight="1">
      <c r="A35" s="149">
        <v>22</v>
      </c>
      <c r="B35" s="150" t="s">
        <v>54</v>
      </c>
      <c r="C35" s="156">
        <f>14+12</f>
        <v>26</v>
      </c>
      <c r="D35" s="156">
        <v>26</v>
      </c>
      <c r="E35" s="153">
        <f>34.1+12.19</f>
        <v>46.29</v>
      </c>
      <c r="F35" s="152" t="e">
        <f>E35+'Aug ANXII'!F35</f>
        <v>#REF!</v>
      </c>
      <c r="G35" s="153">
        <f>119.5+11.64</f>
        <v>131.13999999999999</v>
      </c>
      <c r="H35" s="153">
        <f>29.3+1.92</f>
        <v>31.22</v>
      </c>
      <c r="I35" s="152">
        <f t="shared" si="0"/>
        <v>162.35999999999999</v>
      </c>
      <c r="J35" s="152">
        <f t="shared" si="1"/>
        <v>208.64999999999998</v>
      </c>
      <c r="K35" s="152">
        <f t="shared" si="2"/>
        <v>8.0249999999999986</v>
      </c>
      <c r="L35" s="153">
        <f t="shared" si="3"/>
        <v>99.132692307692309</v>
      </c>
      <c r="M35" s="153">
        <f t="shared" si="4"/>
        <v>98.885416666666657</v>
      </c>
      <c r="N35" s="152" t="e">
        <f>J35+'Aug ANXII'!N35</f>
        <v>#REF!</v>
      </c>
      <c r="O35" s="153" t="e">
        <f t="shared" si="5"/>
        <v>#REF!</v>
      </c>
      <c r="P35" s="153" t="e">
        <f t="shared" si="6"/>
        <v>#REF!</v>
      </c>
      <c r="Q35" s="153" t="e">
        <f t="shared" si="7"/>
        <v>#REF!</v>
      </c>
      <c r="R35" s="154" t="str">
        <f>'[2]Annexure II'!B12</f>
        <v>Magadi</v>
      </c>
      <c r="S35" s="154" t="e">
        <f t="shared" si="8"/>
        <v>#REF!</v>
      </c>
      <c r="T35" s="154" t="e">
        <f t="shared" si="8"/>
        <v>#REF!</v>
      </c>
    </row>
    <row r="36" spans="1:20" s="1" customFormat="1" ht="24.95" customHeight="1">
      <c r="A36" s="149">
        <v>23</v>
      </c>
      <c r="B36" s="150" t="s">
        <v>49</v>
      </c>
      <c r="C36" s="156">
        <v>127</v>
      </c>
      <c r="D36" s="156">
        <v>127</v>
      </c>
      <c r="E36" s="153">
        <v>51.27</v>
      </c>
      <c r="F36" s="153" t="e">
        <f>E36+'Aug ANXII'!F36</f>
        <v>#REF!</v>
      </c>
      <c r="G36" s="153">
        <v>51.270138888888866</v>
      </c>
      <c r="H36" s="153">
        <v>21.81111111111111</v>
      </c>
      <c r="I36" s="152">
        <f t="shared" si="0"/>
        <v>73.081249999999983</v>
      </c>
      <c r="J36" s="152">
        <f t="shared" si="1"/>
        <v>124.35124999999999</v>
      </c>
      <c r="K36" s="152">
        <f t="shared" si="2"/>
        <v>0.97914370078740154</v>
      </c>
      <c r="L36" s="153">
        <f t="shared" si="3"/>
        <v>99.920077373140856</v>
      </c>
      <c r="M36" s="153">
        <f t="shared" si="4"/>
        <v>99.864007819335086</v>
      </c>
      <c r="N36" s="152" t="e">
        <f>J36+'Aug ANXII'!N36</f>
        <v>#REF!</v>
      </c>
      <c r="O36" s="153" t="e">
        <f t="shared" si="5"/>
        <v>#REF!</v>
      </c>
      <c r="P36" s="153" t="e">
        <f t="shared" si="6"/>
        <v>#REF!</v>
      </c>
      <c r="Q36" s="153" t="e">
        <f t="shared" si="7"/>
        <v>#REF!</v>
      </c>
      <c r="R36" s="154" t="str">
        <f>'[2]Annexure II'!B7</f>
        <v>Anekal</v>
      </c>
      <c r="S36" s="154" t="e">
        <f>L36-P36</f>
        <v>#REF!</v>
      </c>
      <c r="T36" s="154" t="e">
        <f>M36-Q36</f>
        <v>#REF!</v>
      </c>
    </row>
    <row r="37" spans="1:20" s="1" customFormat="1" ht="24.95" customHeight="1">
      <c r="A37" s="149">
        <v>24</v>
      </c>
      <c r="B37" s="150" t="s">
        <v>32</v>
      </c>
      <c r="C37" s="156">
        <v>24</v>
      </c>
      <c r="D37" s="156">
        <v>24</v>
      </c>
      <c r="E37" s="153">
        <v>5.25</v>
      </c>
      <c r="F37" s="152" t="e">
        <f>E37+'Aug ANXII'!F37</f>
        <v>#REF!</v>
      </c>
      <c r="G37" s="153">
        <v>37.269999999999996</v>
      </c>
      <c r="H37" s="153">
        <v>18.759999999999998</v>
      </c>
      <c r="I37" s="152">
        <f t="shared" si="0"/>
        <v>56.029999999999994</v>
      </c>
      <c r="J37" s="152">
        <f t="shared" si="1"/>
        <v>61.279999999999994</v>
      </c>
      <c r="K37" s="152">
        <f t="shared" si="2"/>
        <v>2.5533333333333332</v>
      </c>
      <c r="L37" s="153">
        <f t="shared" si="3"/>
        <v>99.675752314814815</v>
      </c>
      <c r="M37" s="153">
        <f t="shared" si="4"/>
        <v>99.645370370370372</v>
      </c>
      <c r="N37" s="152" t="e">
        <f>J37+'Aug ANXII'!N37</f>
        <v>#REF!</v>
      </c>
      <c r="O37" s="153" t="e">
        <f t="shared" si="5"/>
        <v>#REF!</v>
      </c>
      <c r="P37" s="153" t="e">
        <f t="shared" si="6"/>
        <v>#REF!</v>
      </c>
      <c r="Q37" s="153" t="e">
        <f t="shared" si="7"/>
        <v>#REF!</v>
      </c>
      <c r="R37" s="154" t="str">
        <f>'[2]Annexure II'!B13</f>
        <v>Ramanagara</v>
      </c>
      <c r="S37" s="154" t="e">
        <f t="shared" si="8"/>
        <v>#REF!</v>
      </c>
      <c r="T37" s="154" t="e">
        <f t="shared" si="8"/>
        <v>#REF!</v>
      </c>
    </row>
    <row r="38" spans="1:20" s="1" customFormat="1" ht="24.95" customHeight="1">
      <c r="A38" s="149">
        <v>25</v>
      </c>
      <c r="B38" s="150" t="s">
        <v>55</v>
      </c>
      <c r="C38" s="156">
        <v>7</v>
      </c>
      <c r="D38" s="156">
        <v>7</v>
      </c>
      <c r="E38" s="153">
        <v>69.78</v>
      </c>
      <c r="F38" s="152" t="e">
        <f>E38+'Aug ANXII'!F38</f>
        <v>#REF!</v>
      </c>
      <c r="G38" s="153">
        <v>159.34</v>
      </c>
      <c r="H38" s="153">
        <v>17.850000000000001</v>
      </c>
      <c r="I38" s="152">
        <f t="shared" si="0"/>
        <v>177.19</v>
      </c>
      <c r="J38" s="152">
        <f t="shared" si="1"/>
        <v>246.97</v>
      </c>
      <c r="K38" s="152">
        <f t="shared" si="2"/>
        <v>35.28142857142857</v>
      </c>
      <c r="L38" s="153">
        <f t="shared" si="3"/>
        <v>96.484325396825412</v>
      </c>
      <c r="M38" s="153">
        <f t="shared" si="4"/>
        <v>95.099801587301585</v>
      </c>
      <c r="N38" s="152" t="e">
        <f>J38+'Aug ANXII'!N38</f>
        <v>#REF!</v>
      </c>
      <c r="O38" s="153" t="e">
        <f t="shared" si="5"/>
        <v>#REF!</v>
      </c>
      <c r="P38" s="153" t="e">
        <f t="shared" si="6"/>
        <v>#REF!</v>
      </c>
      <c r="Q38" s="153" t="e">
        <f t="shared" si="7"/>
        <v>#REF!</v>
      </c>
      <c r="R38" s="154" t="str">
        <f>'[2]Annexure II'!B14</f>
        <v>Channapatna</v>
      </c>
      <c r="S38" s="154" t="e">
        <f t="shared" si="8"/>
        <v>#REF!</v>
      </c>
      <c r="T38" s="154" t="e">
        <f t="shared" si="8"/>
        <v>#REF!</v>
      </c>
    </row>
    <row r="39" spans="1:20" s="1" customFormat="1" ht="24.95" customHeight="1">
      <c r="A39" s="149">
        <v>26</v>
      </c>
      <c r="B39" s="150" t="s">
        <v>56</v>
      </c>
      <c r="C39" s="156">
        <v>22</v>
      </c>
      <c r="D39" s="156">
        <v>22</v>
      </c>
      <c r="E39" s="153">
        <v>0.32638888888888884</v>
      </c>
      <c r="F39" s="152" t="e">
        <f>E39+'Aug ANXII'!F39</f>
        <v>#REF!</v>
      </c>
      <c r="G39" s="153">
        <v>5.7250000000000005</v>
      </c>
      <c r="H39" s="153">
        <v>1.9180555555555556</v>
      </c>
      <c r="I39" s="152">
        <f t="shared" si="0"/>
        <v>7.6430555555555557</v>
      </c>
      <c r="J39" s="152">
        <f t="shared" si="1"/>
        <v>7.969444444444445</v>
      </c>
      <c r="K39" s="152">
        <f t="shared" si="2"/>
        <v>0.36224747474747476</v>
      </c>
      <c r="L39" s="153">
        <f t="shared" si="3"/>
        <v>99.951748386644226</v>
      </c>
      <c r="M39" s="153">
        <f t="shared" si="4"/>
        <v>99.949687850729518</v>
      </c>
      <c r="N39" s="152" t="e">
        <f>J39+'Aug ANXII'!N39</f>
        <v>#REF!</v>
      </c>
      <c r="O39" s="153" t="e">
        <f t="shared" si="5"/>
        <v>#REF!</v>
      </c>
      <c r="P39" s="153" t="e">
        <f t="shared" si="6"/>
        <v>#REF!</v>
      </c>
      <c r="Q39" s="153" t="e">
        <f t="shared" si="7"/>
        <v>#REF!</v>
      </c>
      <c r="R39" s="154" t="str">
        <f>'[2]Annexure II'!B15</f>
        <v>Kanakapura</v>
      </c>
      <c r="S39" s="154" t="e">
        <f t="shared" si="8"/>
        <v>#REF!</v>
      </c>
      <c r="T39" s="154" t="e">
        <f t="shared" si="8"/>
        <v>#REF!</v>
      </c>
    </row>
    <row r="40" spans="1:20" s="1" customFormat="1" ht="24.95" customHeight="1">
      <c r="A40" s="177"/>
      <c r="B40"/>
      <c r="C40">
        <f>SUM(C14:C39)</f>
        <v>516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s="154"/>
      <c r="S40" s="154"/>
      <c r="T40" s="154"/>
    </row>
    <row r="41" spans="1:20" s="1" customFormat="1" ht="24.95" customHeight="1">
      <c r="A41" s="865" t="s">
        <v>116</v>
      </c>
      <c r="B41" s="865"/>
      <c r="C41" s="865"/>
      <c r="D41" s="865"/>
      <c r="E41" s="865"/>
      <c r="F41" s="865"/>
      <c r="G41" s="865"/>
      <c r="H41" s="865"/>
      <c r="I41" s="865"/>
      <c r="J41" s="865"/>
      <c r="K41" s="865"/>
      <c r="L41" s="865"/>
      <c r="M41" s="865"/>
      <c r="N41" s="865"/>
      <c r="O41" s="865"/>
      <c r="P41" s="865"/>
      <c r="Q41" s="865"/>
      <c r="R41" s="154"/>
      <c r="S41" s="154"/>
      <c r="T41" s="154"/>
    </row>
    <row r="42" spans="1:20" ht="18.75" customHeight="1" thickBot="1">
      <c r="B42" s="159"/>
      <c r="C42" s="160">
        <f>SUM(C14:C39)</f>
        <v>516</v>
      </c>
      <c r="D42" s="160">
        <f t="shared" ref="D42:O42" si="9">SUM(D14:D39)</f>
        <v>516</v>
      </c>
      <c r="E42" s="160">
        <f t="shared" si="9"/>
        <v>1039.535837718845</v>
      </c>
      <c r="F42" s="160" t="e">
        <f t="shared" si="9"/>
        <v>#REF!</v>
      </c>
      <c r="G42" s="160">
        <f t="shared" si="9"/>
        <v>5909.0451388888905</v>
      </c>
      <c r="H42" s="160">
        <f t="shared" si="9"/>
        <v>6574.0791666666682</v>
      </c>
      <c r="I42" s="160">
        <f t="shared" si="9"/>
        <v>12483.124305555559</v>
      </c>
      <c r="J42" s="160">
        <f t="shared" si="9"/>
        <v>13522.660143274401</v>
      </c>
      <c r="K42" s="160">
        <f t="shared" si="9"/>
        <v>606.69884449308972</v>
      </c>
      <c r="L42" s="64">
        <f>+(((C42*24)*30)-I42)*100/((C42*24)*30)</f>
        <v>96.639985921200605</v>
      </c>
      <c r="M42" s="64">
        <f>+(((C42*24)*30)-J42)*100/((C42*24)*30)</f>
        <v>96.360179763330521</v>
      </c>
      <c r="N42" s="160" t="e">
        <f t="shared" si="9"/>
        <v>#REF!</v>
      </c>
      <c r="O42" s="160" t="e">
        <f t="shared" si="9"/>
        <v>#REF!</v>
      </c>
      <c r="P42" s="64" t="e">
        <f>((C42*24*30)-(N42-E42))*100/(C42*24*30)</f>
        <v>#REF!</v>
      </c>
      <c r="Q42" s="64" t="e">
        <f>((C42*24*30)-(N42))*100/(C42*24*30)</f>
        <v>#REF!</v>
      </c>
    </row>
    <row r="43" spans="1:20" s="175" customFormat="1" ht="63" customHeight="1" thickBot="1">
      <c r="A43" s="846" t="s">
        <v>100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s="175" customFormat="1" ht="80.25" customHeight="1">
      <c r="A44" s="846" t="s">
        <v>101</v>
      </c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/>
      <c r="O44" s="847"/>
      <c r="P44" s="847"/>
      <c r="Q44" s="848"/>
    </row>
    <row r="45" spans="1:20" ht="20.25" hidden="1" customHeight="1">
      <c r="A45" s="839" t="s">
        <v>36</v>
      </c>
      <c r="B45" s="840"/>
      <c r="C45" s="840"/>
      <c r="D45" s="840"/>
      <c r="E45" s="840"/>
      <c r="F45" s="840"/>
      <c r="G45" s="840"/>
      <c r="H45" s="840"/>
      <c r="I45" s="840"/>
      <c r="J45" s="840"/>
      <c r="K45" s="840"/>
      <c r="L45" s="840"/>
      <c r="M45" s="840"/>
      <c r="N45" s="840"/>
      <c r="O45" s="840"/>
      <c r="P45" s="840"/>
      <c r="Q45" s="841"/>
    </row>
    <row r="46" spans="1:20" ht="27" hidden="1" customHeight="1" thickBot="1">
      <c r="A46" s="842"/>
      <c r="B46" s="843"/>
      <c r="C46" s="843"/>
      <c r="D46" s="843"/>
      <c r="E46" s="843"/>
      <c r="F46" s="843"/>
      <c r="G46" s="843"/>
      <c r="H46" s="843"/>
      <c r="I46" s="843"/>
      <c r="J46" s="843"/>
      <c r="K46" s="843"/>
      <c r="L46" s="843"/>
      <c r="M46" s="843"/>
      <c r="N46" s="843"/>
      <c r="O46" s="843"/>
      <c r="P46" s="843"/>
      <c r="Q46" s="844"/>
    </row>
    <row r="47" spans="1:20" hidden="1"/>
    <row r="54" spans="3:17">
      <c r="C54" s="146" t="e">
        <f>su</f>
        <v>#NAME?</v>
      </c>
      <c r="P54" s="161"/>
      <c r="Q54" s="161"/>
    </row>
    <row r="55" spans="3:17">
      <c r="C55" s="160"/>
      <c r="N55" s="161"/>
    </row>
    <row r="56" spans="3:17">
      <c r="N56" s="161"/>
    </row>
    <row r="58" spans="3:17">
      <c r="H58" s="146">
        <f>4667/89</f>
        <v>52.438202247191015</v>
      </c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>
      <c r="G70" s="162"/>
      <c r="H70" s="162"/>
      <c r="I70" s="162"/>
      <c r="J70" s="162"/>
      <c r="K70" s="162"/>
      <c r="L70" s="162"/>
      <c r="M70" s="162"/>
    </row>
    <row r="71" spans="7:18" ht="20.25">
      <c r="G71" s="162"/>
      <c r="H71" s="162"/>
      <c r="I71" s="163">
        <f>20000</f>
        <v>20000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5000</v>
      </c>
      <c r="J73" s="162"/>
      <c r="K73" s="162"/>
      <c r="L73" s="162"/>
      <c r="M73" s="162"/>
    </row>
    <row r="74" spans="7:18" ht="20.25">
      <c r="G74" s="162"/>
      <c r="H74" s="162"/>
      <c r="I74" s="163">
        <v>8000</v>
      </c>
      <c r="J74" s="162"/>
      <c r="K74" s="162"/>
      <c r="L74" s="162"/>
      <c r="M74" s="162"/>
    </row>
    <row r="75" spans="7:18" ht="20.25">
      <c r="G75" s="162"/>
      <c r="H75" s="162"/>
      <c r="I75" s="163">
        <f>SUM(I72:I74)</f>
        <v>18000</v>
      </c>
      <c r="J75" s="162"/>
      <c r="K75" s="162"/>
      <c r="L75" s="162"/>
      <c r="M75" s="162"/>
    </row>
    <row r="76" spans="7:18" ht="20.25">
      <c r="G76" s="162"/>
      <c r="H76" s="162"/>
      <c r="I76" s="163">
        <f>I71-I75</f>
        <v>2000</v>
      </c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2"/>
      <c r="M77" s="162"/>
    </row>
    <row r="78" spans="7:18" ht="20.25">
      <c r="G78" s="162"/>
      <c r="H78" s="162"/>
      <c r="I78" s="163"/>
      <c r="J78" s="162"/>
      <c r="K78" s="162"/>
      <c r="L78" s="161">
        <f>L14+L15+L16+L18+L17+L19+L20+L21+L22+L23+L24+L25+L26+L27+L28+L29+L30+L36+L31+L32+L33+L34+L35+L37+L38+L39</f>
        <v>2524.9912653965953</v>
      </c>
      <c r="M78" s="161">
        <f>M14+M15+M16+M18+M17+M19+M20+M21+M22+M23+M24+M25+M26+M27+M28+M29+M30+M36+M31+M32+M33+M34+M35+M37+M38+M39</f>
        <v>2515.7362715981817</v>
      </c>
      <c r="P78" s="161" t="e">
        <f>P14+P15+P16+P18+P17+P19+P20+P21+P22+P23+P24+P25+P26+P27+P28+P29+P30+P36+P31+P32+P33+P34+P35+P37+P38+P39</f>
        <v>#REF!</v>
      </c>
      <c r="Q78" s="161" t="e">
        <f>Q14+Q15+Q16+Q18+Q17+Q19+Q20+Q21+Q22+Q23+Q24+Q25+Q26+Q27+Q28+Q29+Q30+Q36+Q31+Q32+Q33+Q34+Q35+Q37+Q38+Q39</f>
        <v>#REF!</v>
      </c>
      <c r="R78" s="161" t="e">
        <f>R14+R15+R16+R18+R17+R19+R20+R23+R24+R25+R26+R27+R28+R29+R30+R36+R31+R32+R33+R34+R35+R37+R38+R39</f>
        <v>#VALUE!</v>
      </c>
    </row>
    <row r="79" spans="7:18">
      <c r="G79" s="162"/>
      <c r="H79" s="162"/>
      <c r="I79" s="162"/>
      <c r="J79" s="162"/>
      <c r="K79" s="162"/>
      <c r="L79" s="146">
        <f>L78/26</f>
        <v>97.115048669099821</v>
      </c>
      <c r="M79" s="146">
        <f>M78/26</f>
        <v>96.759087369160838</v>
      </c>
      <c r="P79" s="146" t="e">
        <f>P78/26</f>
        <v>#REF!</v>
      </c>
      <c r="Q79" s="146" t="e">
        <f>Q78/26</f>
        <v>#REF!</v>
      </c>
    </row>
    <row r="80" spans="7:18">
      <c r="G80" s="162"/>
      <c r="H80" s="162"/>
      <c r="I80" s="162"/>
      <c r="J80" s="162"/>
      <c r="K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  <row r="88" spans="7:13">
      <c r="G88" s="162"/>
      <c r="H88" s="162"/>
      <c r="I88" s="162"/>
      <c r="J88" s="162"/>
      <c r="K88" s="162"/>
      <c r="L88" s="162"/>
      <c r="M88" s="162"/>
    </row>
  </sheetData>
  <mergeCells count="17"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A45:Q46"/>
    <mergeCell ref="G11:I11"/>
    <mergeCell ref="J11:M11"/>
    <mergeCell ref="N11:Q11"/>
    <mergeCell ref="A41:Q41"/>
    <mergeCell ref="A43:Q43"/>
    <mergeCell ref="A44:Q44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2" manualBreakCount="2">
    <brk id="39" max="16" man="1"/>
    <brk id="41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zoomScale="85" zoomScaleSheetLayoutView="85" workbookViewId="0">
      <selection activeCell="I34" activeCellId="1" sqref="I34 L36"/>
    </sheetView>
  </sheetViews>
  <sheetFormatPr defaultRowHeight="12.75"/>
  <cols>
    <col min="1" max="1" width="5.85546875" style="146" customWidth="1"/>
    <col min="2" max="2" width="19.85546875" style="146" customWidth="1"/>
    <col min="3" max="3" width="8" style="146" customWidth="1"/>
    <col min="4" max="4" width="7.5703125" style="146" customWidth="1"/>
    <col min="5" max="5" width="11.28515625" style="146" customWidth="1"/>
    <col min="6" max="6" width="15.5703125" style="146" customWidth="1"/>
    <col min="7" max="7" width="14.5703125" style="146" customWidth="1"/>
    <col min="8" max="8" width="12.7109375" style="146" customWidth="1"/>
    <col min="9" max="9" width="12.5703125" style="146" customWidth="1"/>
    <col min="10" max="10" width="12.7109375" style="146" customWidth="1"/>
    <col min="11" max="11" width="12.28515625" style="146" customWidth="1"/>
    <col min="12" max="12" width="14" style="146" customWidth="1"/>
    <col min="13" max="13" width="18.5703125" style="146" customWidth="1"/>
    <col min="14" max="14" width="13.28515625" style="146" customWidth="1"/>
    <col min="15" max="15" width="13.140625" style="146" customWidth="1"/>
    <col min="16" max="16" width="11.42578125" style="146" customWidth="1"/>
    <col min="17" max="17" width="14.85546875" style="146" customWidth="1"/>
    <col min="18" max="16384" width="9.140625" style="146"/>
  </cols>
  <sheetData>
    <row r="1" spans="1:20" ht="24.75" customHeight="1">
      <c r="A1" s="827" t="s">
        <v>0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</row>
    <row r="2" spans="1:20" ht="17.25" customHeight="1">
      <c r="A2" s="866" t="s">
        <v>57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</row>
    <row r="3" spans="1:20" s="2" customFormat="1" ht="18.75" customHeight="1">
      <c r="A3" s="867" t="s">
        <v>126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</row>
    <row r="4" spans="1:20" ht="14.25" customHeight="1">
      <c r="A4" s="868"/>
      <c r="B4" s="868"/>
      <c r="C4" s="868"/>
      <c r="D4" s="868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</row>
    <row r="5" spans="1:20" s="3" customFormat="1" ht="23.25" customHeight="1">
      <c r="A5" s="869" t="s">
        <v>2</v>
      </c>
      <c r="B5" s="869" t="s">
        <v>58</v>
      </c>
      <c r="C5" s="869" t="s">
        <v>4</v>
      </c>
      <c r="D5" s="869" t="s">
        <v>5</v>
      </c>
      <c r="E5" s="869" t="s">
        <v>6</v>
      </c>
      <c r="F5" s="869" t="s">
        <v>7</v>
      </c>
      <c r="G5" s="872" t="s">
        <v>39</v>
      </c>
      <c r="H5" s="872"/>
      <c r="I5" s="872"/>
      <c r="J5" s="872" t="s">
        <v>124</v>
      </c>
      <c r="K5" s="872"/>
      <c r="L5" s="872"/>
      <c r="M5" s="872"/>
      <c r="N5" s="872" t="s">
        <v>72</v>
      </c>
      <c r="O5" s="872"/>
      <c r="P5" s="872"/>
      <c r="Q5" s="872"/>
    </row>
    <row r="6" spans="1:20" s="3" customFormat="1" ht="87.75" customHeight="1">
      <c r="A6" s="869"/>
      <c r="B6" s="869"/>
      <c r="C6" s="869"/>
      <c r="D6" s="869"/>
      <c r="E6" s="869"/>
      <c r="F6" s="869"/>
      <c r="G6" s="165" t="s">
        <v>9</v>
      </c>
      <c r="H6" s="165" t="s">
        <v>10</v>
      </c>
      <c r="I6" s="165" t="s">
        <v>11</v>
      </c>
      <c r="J6" s="165" t="s">
        <v>12</v>
      </c>
      <c r="K6" s="165" t="s">
        <v>13</v>
      </c>
      <c r="L6" s="165" t="s">
        <v>78</v>
      </c>
      <c r="M6" s="165" t="s">
        <v>14</v>
      </c>
      <c r="N6" s="165" t="s">
        <v>59</v>
      </c>
      <c r="O6" s="165" t="s">
        <v>16</v>
      </c>
      <c r="P6" s="165" t="s">
        <v>17</v>
      </c>
      <c r="Q6" s="165" t="s">
        <v>18</v>
      </c>
    </row>
    <row r="7" spans="1:20" ht="18" customHeight="1">
      <c r="A7" s="147">
        <v>1</v>
      </c>
      <c r="B7" s="147" t="s">
        <v>40</v>
      </c>
      <c r="C7" s="147">
        <v>3</v>
      </c>
      <c r="D7" s="147">
        <v>4</v>
      </c>
      <c r="E7" s="147">
        <v>5</v>
      </c>
      <c r="F7" s="147" t="s">
        <v>19</v>
      </c>
      <c r="G7" s="147">
        <v>6</v>
      </c>
      <c r="H7" s="147">
        <v>7</v>
      </c>
      <c r="I7" s="147" t="s">
        <v>20</v>
      </c>
      <c r="J7" s="147" t="s">
        <v>21</v>
      </c>
      <c r="K7" s="148" t="s">
        <v>22</v>
      </c>
      <c r="L7" s="147" t="s">
        <v>23</v>
      </c>
      <c r="M7" s="147" t="s">
        <v>24</v>
      </c>
      <c r="N7" s="147">
        <v>13</v>
      </c>
      <c r="O7" s="147" t="s">
        <v>25</v>
      </c>
      <c r="P7" s="147">
        <v>15</v>
      </c>
      <c r="Q7" s="147">
        <v>16</v>
      </c>
    </row>
    <row r="8" spans="1:20" ht="24.95" customHeight="1">
      <c r="A8" s="149">
        <v>1</v>
      </c>
      <c r="B8" s="166" t="s">
        <v>60</v>
      </c>
      <c r="C8" s="151">
        <v>229</v>
      </c>
      <c r="D8" s="151">
        <v>226</v>
      </c>
      <c r="E8" s="152">
        <v>42.15</v>
      </c>
      <c r="F8" s="152" t="e">
        <f>E8+'Aug ANXIII '!F8</f>
        <v>#REF!</v>
      </c>
      <c r="G8" s="152">
        <v>4145.9250000000011</v>
      </c>
      <c r="H8" s="152">
        <v>3016.3299999999986</v>
      </c>
      <c r="I8" s="152">
        <f>G8+H8</f>
        <v>7162.2549999999992</v>
      </c>
      <c r="J8" s="152">
        <f>E8+I8</f>
        <v>7204.4049999999988</v>
      </c>
      <c r="K8" s="152">
        <f>J8/C8</f>
        <v>31.460283842794755</v>
      </c>
      <c r="L8" s="153">
        <f>+(((C8*18)*30)-I8)*100/((C8*18)*30)</f>
        <v>94.208106906032668</v>
      </c>
      <c r="M8" s="153">
        <f>+(((C8*18)*30)-J8)*100/((C8*18)*30)</f>
        <v>94.174021510593562</v>
      </c>
      <c r="N8" s="152" t="e">
        <f>J8+'Aug ANXIII '!N8</f>
        <v>#REF!</v>
      </c>
      <c r="O8" s="153" t="e">
        <f>N8/C8</f>
        <v>#REF!</v>
      </c>
      <c r="P8" s="153" t="e">
        <f>((C8*18*183)-(N8-E8))*100/(C8*18*183)</f>
        <v>#REF!</v>
      </c>
      <c r="Q8" s="153" t="e">
        <f>((C8*18*183)-(N8))*100/(C8*18*183)</f>
        <v>#REF!</v>
      </c>
      <c r="R8" s="161" t="e">
        <f>L8-P8</f>
        <v>#REF!</v>
      </c>
      <c r="S8" s="161" t="e">
        <f>M8-Q8</f>
        <v>#REF!</v>
      </c>
    </row>
    <row r="9" spans="1:20" ht="24.95" customHeight="1">
      <c r="A9" s="149">
        <v>2</v>
      </c>
      <c r="B9" s="166" t="s">
        <v>43</v>
      </c>
      <c r="C9" s="151">
        <v>167</v>
      </c>
      <c r="D9" s="151">
        <v>167</v>
      </c>
      <c r="E9" s="152">
        <v>82.61</v>
      </c>
      <c r="F9" s="152" t="e">
        <f>E9+'Aug ANXIII '!F9</f>
        <v>#REF!</v>
      </c>
      <c r="G9" s="152">
        <v>4656.0800000000008</v>
      </c>
      <c r="H9" s="152">
        <v>2702.88</v>
      </c>
      <c r="I9" s="152">
        <f t="shared" ref="I9:I30" si="0">G9+H9</f>
        <v>7358.9600000000009</v>
      </c>
      <c r="J9" s="152">
        <f t="shared" ref="J9:J30" si="1">E9+I9</f>
        <v>7441.5700000000006</v>
      </c>
      <c r="K9" s="152">
        <f t="shared" ref="K9:K30" si="2">J9/C9</f>
        <v>44.560299401197611</v>
      </c>
      <c r="L9" s="153">
        <f t="shared" ref="L9:L30" si="3">+(((C9*18)*30)-I9)*100/((C9*18)*30)</f>
        <v>91.839698381015737</v>
      </c>
      <c r="M9" s="153">
        <f t="shared" ref="M9:M30" si="4">+(((C9*18)*30)-J9)*100/((C9*18)*30)</f>
        <v>91.748092703481916</v>
      </c>
      <c r="N9" s="152" t="e">
        <f>J9+'Aug ANXIII '!N9</f>
        <v>#REF!</v>
      </c>
      <c r="O9" s="153" t="e">
        <f t="shared" ref="O9:O30" si="5">N9/C9</f>
        <v>#REF!</v>
      </c>
      <c r="P9" s="153" t="e">
        <f t="shared" ref="P9:P30" si="6">((C9*18*183)-(N9-E9))*100/(C9*18*183)</f>
        <v>#REF!</v>
      </c>
      <c r="Q9" s="153" t="e">
        <f t="shared" ref="Q9:Q30" si="7">((C9*18*183)-(N9))*100/(C9*18*183)</f>
        <v>#REF!</v>
      </c>
      <c r="R9" s="161" t="e">
        <f t="shared" ref="R9:S55" si="8">L9-P9</f>
        <v>#REF!</v>
      </c>
      <c r="S9" s="161" t="e">
        <f t="shared" si="8"/>
        <v>#REF!</v>
      </c>
    </row>
    <row r="10" spans="1:20" ht="24.95" customHeight="1">
      <c r="A10" s="149">
        <v>3</v>
      </c>
      <c r="B10" s="166" t="s">
        <v>27</v>
      </c>
      <c r="C10" s="151">
        <v>178</v>
      </c>
      <c r="D10" s="151">
        <v>178</v>
      </c>
      <c r="E10" s="152">
        <v>132.5</v>
      </c>
      <c r="F10" s="152" t="e">
        <f>E10+'Aug ANXIII '!F10</f>
        <v>#REF!</v>
      </c>
      <c r="G10" s="152">
        <v>3329.99</v>
      </c>
      <c r="H10" s="152">
        <v>3328.51</v>
      </c>
      <c r="I10" s="152">
        <f t="shared" si="0"/>
        <v>6658.5</v>
      </c>
      <c r="J10" s="152">
        <f t="shared" si="1"/>
        <v>6791</v>
      </c>
      <c r="K10" s="152">
        <f t="shared" si="2"/>
        <v>38.151685393258425</v>
      </c>
      <c r="L10" s="153">
        <f t="shared" si="3"/>
        <v>93.072721598002502</v>
      </c>
      <c r="M10" s="153">
        <f t="shared" si="4"/>
        <v>92.934873075322514</v>
      </c>
      <c r="N10" s="152" t="e">
        <f>J10+'Aug ANXIII '!N10</f>
        <v>#REF!</v>
      </c>
      <c r="O10" s="153" t="e">
        <f t="shared" si="5"/>
        <v>#REF!</v>
      </c>
      <c r="P10" s="153" t="e">
        <f t="shared" si="6"/>
        <v>#REF!</v>
      </c>
      <c r="Q10" s="153" t="e">
        <f t="shared" si="7"/>
        <v>#REF!</v>
      </c>
      <c r="R10" s="161" t="e">
        <f t="shared" si="8"/>
        <v>#REF!</v>
      </c>
      <c r="S10" s="161" t="e">
        <f t="shared" si="8"/>
        <v>#REF!</v>
      </c>
    </row>
    <row r="11" spans="1:20" ht="24.95" customHeight="1">
      <c r="A11" s="149">
        <v>4</v>
      </c>
      <c r="B11" s="166" t="s">
        <v>44</v>
      </c>
      <c r="C11" s="151">
        <v>190</v>
      </c>
      <c r="D11" s="151">
        <v>190</v>
      </c>
      <c r="E11" s="152">
        <v>46.185799067280001</v>
      </c>
      <c r="F11" s="152" t="e">
        <f>E11+'Aug ANXIII '!F11</f>
        <v>#REF!</v>
      </c>
      <c r="G11" s="152">
        <v>1938</v>
      </c>
      <c r="H11" s="152">
        <v>980.94</v>
      </c>
      <c r="I11" s="152">
        <f t="shared" si="0"/>
        <v>2918.94</v>
      </c>
      <c r="J11" s="152">
        <f t="shared" si="1"/>
        <v>2965.1257990672802</v>
      </c>
      <c r="K11" s="152">
        <f t="shared" si="2"/>
        <v>15.605925258248844</v>
      </c>
      <c r="L11" s="153">
        <f t="shared" si="3"/>
        <v>97.15502923976608</v>
      </c>
      <c r="M11" s="153">
        <f t="shared" si="4"/>
        <v>97.110013841065026</v>
      </c>
      <c r="N11" s="152" t="e">
        <f>J11+'Aug ANXIII '!N11</f>
        <v>#REF!</v>
      </c>
      <c r="O11" s="153" t="e">
        <f t="shared" si="5"/>
        <v>#REF!</v>
      </c>
      <c r="P11" s="153" t="e">
        <f t="shared" si="6"/>
        <v>#REF!</v>
      </c>
      <c r="Q11" s="153" t="e">
        <f t="shared" si="7"/>
        <v>#REF!</v>
      </c>
      <c r="R11" s="161" t="e">
        <f t="shared" si="8"/>
        <v>#REF!</v>
      </c>
      <c r="S11" s="161" t="e">
        <f t="shared" si="8"/>
        <v>#REF!</v>
      </c>
    </row>
    <row r="12" spans="1:20" s="167" customFormat="1" ht="25.5" customHeight="1">
      <c r="A12" s="149">
        <v>5</v>
      </c>
      <c r="B12" s="166" t="s">
        <v>28</v>
      </c>
      <c r="C12" s="151">
        <v>385</v>
      </c>
      <c r="D12" s="156">
        <v>365</v>
      </c>
      <c r="E12" s="152">
        <v>65</v>
      </c>
      <c r="F12" s="152" t="e">
        <f>E12+'Aug ANXIII '!F12</f>
        <v>#REF!</v>
      </c>
      <c r="G12" s="152">
        <v>3241</v>
      </c>
      <c r="H12" s="152">
        <v>5056</v>
      </c>
      <c r="I12" s="152">
        <f t="shared" si="0"/>
        <v>8297</v>
      </c>
      <c r="J12" s="152">
        <f t="shared" si="1"/>
        <v>8362</v>
      </c>
      <c r="K12" s="152">
        <f t="shared" si="2"/>
        <v>21.71948051948052</v>
      </c>
      <c r="L12" s="153">
        <f t="shared" si="3"/>
        <v>96.009139009139005</v>
      </c>
      <c r="M12" s="153">
        <f t="shared" si="4"/>
        <v>95.977873977873983</v>
      </c>
      <c r="N12" s="152" t="e">
        <f>J12+'Aug ANXIII '!N12</f>
        <v>#REF!</v>
      </c>
      <c r="O12" s="153" t="e">
        <f t="shared" si="5"/>
        <v>#REF!</v>
      </c>
      <c r="P12" s="153" t="e">
        <f t="shared" si="6"/>
        <v>#REF!</v>
      </c>
      <c r="Q12" s="153" t="e">
        <f t="shared" si="7"/>
        <v>#REF!</v>
      </c>
      <c r="R12" s="161" t="e">
        <f t="shared" si="8"/>
        <v>#REF!</v>
      </c>
      <c r="S12" s="161" t="e">
        <f t="shared" si="8"/>
        <v>#REF!</v>
      </c>
      <c r="T12" s="167">
        <f>E12/60</f>
        <v>1.0833333333333333</v>
      </c>
    </row>
    <row r="13" spans="1:20" s="167" customFormat="1" ht="25.5" customHeight="1">
      <c r="A13" s="149">
        <v>6</v>
      </c>
      <c r="B13" s="168" t="s">
        <v>45</v>
      </c>
      <c r="C13" s="151">
        <v>187</v>
      </c>
      <c r="D13" s="156">
        <v>187</v>
      </c>
      <c r="E13" s="152">
        <v>84</v>
      </c>
      <c r="F13" s="152" t="e">
        <f>E13+'Aug ANXIII '!F13</f>
        <v>#REF!</v>
      </c>
      <c r="G13" s="152">
        <v>2037</v>
      </c>
      <c r="H13" s="152">
        <v>1969</v>
      </c>
      <c r="I13" s="152">
        <f t="shared" si="0"/>
        <v>4006</v>
      </c>
      <c r="J13" s="152">
        <f t="shared" si="1"/>
        <v>4090</v>
      </c>
      <c r="K13" s="152">
        <f t="shared" si="2"/>
        <v>21.871657754010695</v>
      </c>
      <c r="L13" s="153">
        <f t="shared" si="3"/>
        <v>96.03287779758368</v>
      </c>
      <c r="M13" s="153">
        <f t="shared" si="4"/>
        <v>95.949693008516533</v>
      </c>
      <c r="N13" s="152" t="e">
        <f>J13+'Aug ANXIII '!N13</f>
        <v>#REF!</v>
      </c>
      <c r="O13" s="153" t="e">
        <f t="shared" si="5"/>
        <v>#REF!</v>
      </c>
      <c r="P13" s="153" t="e">
        <f t="shared" si="6"/>
        <v>#REF!</v>
      </c>
      <c r="Q13" s="153" t="e">
        <f t="shared" si="7"/>
        <v>#REF!</v>
      </c>
      <c r="R13" s="161" t="e">
        <f t="shared" si="8"/>
        <v>#REF!</v>
      </c>
      <c r="S13" s="161" t="e">
        <f t="shared" si="8"/>
        <v>#REF!</v>
      </c>
      <c r="T13" s="167">
        <f>E13/60</f>
        <v>1.4</v>
      </c>
    </row>
    <row r="14" spans="1:20" s="167" customFormat="1" ht="25.5" customHeight="1">
      <c r="A14" s="149">
        <v>7</v>
      </c>
      <c r="B14" s="168" t="s">
        <v>88</v>
      </c>
      <c r="C14" s="151">
        <v>272</v>
      </c>
      <c r="D14" s="156">
        <v>272</v>
      </c>
      <c r="E14" s="152">
        <v>38</v>
      </c>
      <c r="F14" s="152" t="e">
        <f>E14+'Aug ANXIII '!F14</f>
        <v>#REF!</v>
      </c>
      <c r="G14" s="152">
        <v>4327</v>
      </c>
      <c r="H14" s="152">
        <v>2773</v>
      </c>
      <c r="I14" s="152">
        <f t="shared" si="0"/>
        <v>7100</v>
      </c>
      <c r="J14" s="152">
        <f t="shared" si="1"/>
        <v>7138</v>
      </c>
      <c r="K14" s="152">
        <f t="shared" si="2"/>
        <v>26.242647058823529</v>
      </c>
      <c r="L14" s="153">
        <f t="shared" si="3"/>
        <v>95.166122004357305</v>
      </c>
      <c r="M14" s="153">
        <f t="shared" si="4"/>
        <v>95.140250544662308</v>
      </c>
      <c r="N14" s="152" t="e">
        <f>J14+'Aug ANXIII '!N14</f>
        <v>#REF!</v>
      </c>
      <c r="O14" s="153" t="e">
        <f t="shared" si="5"/>
        <v>#REF!</v>
      </c>
      <c r="P14" s="153" t="e">
        <f t="shared" si="6"/>
        <v>#REF!</v>
      </c>
      <c r="Q14" s="153" t="e">
        <f t="shared" si="7"/>
        <v>#REF!</v>
      </c>
      <c r="R14" s="161" t="e">
        <f t="shared" si="8"/>
        <v>#REF!</v>
      </c>
      <c r="S14" s="161" t="e">
        <f t="shared" si="8"/>
        <v>#REF!</v>
      </c>
      <c r="T14" s="167">
        <f>E14/60</f>
        <v>0.6333333333333333</v>
      </c>
    </row>
    <row r="15" spans="1:20" s="167" customFormat="1" ht="25.5" customHeight="1">
      <c r="A15" s="149">
        <v>8</v>
      </c>
      <c r="B15" s="168" t="s">
        <v>30</v>
      </c>
      <c r="C15" s="151">
        <v>134</v>
      </c>
      <c r="D15" s="169">
        <v>134</v>
      </c>
      <c r="E15" s="170">
        <v>178.7</v>
      </c>
      <c r="F15" s="152" t="e">
        <f>E15+'Aug ANXIII '!F15</f>
        <v>#REF!</v>
      </c>
      <c r="G15" s="152">
        <v>442</v>
      </c>
      <c r="H15" s="152">
        <v>323.23</v>
      </c>
      <c r="I15" s="152">
        <f t="shared" si="0"/>
        <v>765.23</v>
      </c>
      <c r="J15" s="152">
        <f t="shared" si="1"/>
        <v>943.93000000000006</v>
      </c>
      <c r="K15" s="152">
        <f t="shared" si="2"/>
        <v>7.044253731343284</v>
      </c>
      <c r="L15" s="153">
        <f t="shared" si="3"/>
        <v>98.942468214483142</v>
      </c>
      <c r="M15" s="153">
        <f t="shared" si="4"/>
        <v>98.695508568269773</v>
      </c>
      <c r="N15" s="152" t="e">
        <f>J15+'Aug ANXIII '!N15</f>
        <v>#REF!</v>
      </c>
      <c r="O15" s="153" t="e">
        <f t="shared" si="5"/>
        <v>#REF!</v>
      </c>
      <c r="P15" s="153" t="e">
        <f t="shared" si="6"/>
        <v>#REF!</v>
      </c>
      <c r="Q15" s="153" t="e">
        <f t="shared" si="7"/>
        <v>#REF!</v>
      </c>
      <c r="R15" s="161" t="e">
        <f t="shared" si="8"/>
        <v>#REF!</v>
      </c>
      <c r="S15" s="161" t="e">
        <f t="shared" si="8"/>
        <v>#REF!</v>
      </c>
    </row>
    <row r="16" spans="1:20" s="167" customFormat="1" ht="25.5" customHeight="1">
      <c r="A16" s="149">
        <v>9</v>
      </c>
      <c r="B16" s="168" t="s">
        <v>47</v>
      </c>
      <c r="C16" s="151">
        <v>161</v>
      </c>
      <c r="D16" s="169">
        <v>161</v>
      </c>
      <c r="E16" s="170">
        <v>206</v>
      </c>
      <c r="F16" s="152" t="e">
        <f>E16+'Aug ANXIII '!F16</f>
        <v>#REF!</v>
      </c>
      <c r="G16" s="170">
        <v>362</v>
      </c>
      <c r="H16" s="170">
        <v>178</v>
      </c>
      <c r="I16" s="152">
        <f t="shared" si="0"/>
        <v>540</v>
      </c>
      <c r="J16" s="152">
        <f t="shared" si="1"/>
        <v>746</v>
      </c>
      <c r="K16" s="152">
        <f t="shared" si="2"/>
        <v>4.6335403726708071</v>
      </c>
      <c r="L16" s="153">
        <f t="shared" si="3"/>
        <v>99.378881987577643</v>
      </c>
      <c r="M16" s="153">
        <f t="shared" si="4"/>
        <v>99.141936968023927</v>
      </c>
      <c r="N16" s="152" t="e">
        <f>J16+'Aug ANXIII 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61" t="e">
        <f t="shared" si="8"/>
        <v>#REF!</v>
      </c>
      <c r="S16" s="161" t="e">
        <f t="shared" si="8"/>
        <v>#REF!</v>
      </c>
      <c r="T16" s="167">
        <f>E16/60</f>
        <v>3.4333333333333331</v>
      </c>
    </row>
    <row r="17" spans="1:20" s="167" customFormat="1" ht="25.5" customHeight="1">
      <c r="A17" s="149">
        <v>10</v>
      </c>
      <c r="B17" s="168" t="s">
        <v>48</v>
      </c>
      <c r="C17" s="151">
        <v>173</v>
      </c>
      <c r="D17" s="169">
        <v>173</v>
      </c>
      <c r="E17" s="170">
        <v>235.25</v>
      </c>
      <c r="F17" s="152" t="e">
        <f>E17+'Aug ANXIII '!F17</f>
        <v>#REF!</v>
      </c>
      <c r="G17" s="170">
        <v>269.14999999999998</v>
      </c>
      <c r="H17" s="170">
        <v>249.54</v>
      </c>
      <c r="I17" s="152">
        <f t="shared" si="0"/>
        <v>518.68999999999994</v>
      </c>
      <c r="J17" s="152">
        <f t="shared" si="1"/>
        <v>753.93999999999994</v>
      </c>
      <c r="K17" s="152">
        <f t="shared" si="2"/>
        <v>4.3580346820809241</v>
      </c>
      <c r="L17" s="153">
        <f t="shared" si="3"/>
        <v>99.444776279169346</v>
      </c>
      <c r="M17" s="153">
        <f t="shared" si="4"/>
        <v>99.192956540355382</v>
      </c>
      <c r="N17" s="152" t="e">
        <f>J17+'Aug ANXIII 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61" t="e">
        <f t="shared" si="8"/>
        <v>#REF!</v>
      </c>
      <c r="S17" s="161" t="e">
        <f t="shared" si="8"/>
        <v>#REF!</v>
      </c>
      <c r="T17" s="167">
        <f>E17/60</f>
        <v>3.9208333333333334</v>
      </c>
    </row>
    <row r="18" spans="1:20" s="167" customFormat="1" ht="25.5" customHeight="1">
      <c r="A18" s="149">
        <v>11</v>
      </c>
      <c r="B18" s="168" t="s">
        <v>63</v>
      </c>
      <c r="C18" s="151">
        <v>120</v>
      </c>
      <c r="D18" s="169">
        <v>120</v>
      </c>
      <c r="E18" s="170">
        <v>168.03300000000002</v>
      </c>
      <c r="F18" s="152" t="e">
        <f>E18+'Aug ANXIII '!F18</f>
        <v>#REF!</v>
      </c>
      <c r="G18" s="170">
        <v>550.53</v>
      </c>
      <c r="H18" s="170">
        <v>437.25</v>
      </c>
      <c r="I18" s="152">
        <f t="shared" si="0"/>
        <v>987.78</v>
      </c>
      <c r="J18" s="152">
        <f t="shared" si="1"/>
        <v>1155.8130000000001</v>
      </c>
      <c r="K18" s="152">
        <f t="shared" si="2"/>
        <v>9.6317750000000011</v>
      </c>
      <c r="L18" s="153">
        <f t="shared" si="3"/>
        <v>98.475648148148153</v>
      </c>
      <c r="M18" s="153">
        <f t="shared" si="4"/>
        <v>98.216337962962967</v>
      </c>
      <c r="N18" s="152" t="e">
        <f>J18+'Aug ANXIII 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61" t="e">
        <f t="shared" si="8"/>
        <v>#REF!</v>
      </c>
      <c r="S18" s="161" t="e">
        <f t="shared" si="8"/>
        <v>#REF!</v>
      </c>
    </row>
    <row r="19" spans="1:20" s="168" customFormat="1" ht="25.5" hidden="1" customHeight="1">
      <c r="A19" s="168">
        <v>12</v>
      </c>
      <c r="B19" s="168" t="s">
        <v>50</v>
      </c>
      <c r="C19">
        <v>34</v>
      </c>
      <c r="D19">
        <f>C19</f>
        <v>34</v>
      </c>
      <c r="E19">
        <v>185.18</v>
      </c>
      <c r="F19" t="e">
        <f>E19+'Aug ANXIII '!F19</f>
        <v>#REF!</v>
      </c>
      <c r="G19">
        <v>373.45</v>
      </c>
      <c r="H19">
        <v>491.27</v>
      </c>
      <c r="I19">
        <f t="shared" si="0"/>
        <v>864.72</v>
      </c>
      <c r="J19">
        <f t="shared" si="1"/>
        <v>1049.9000000000001</v>
      </c>
      <c r="K19">
        <f t="shared" si="2"/>
        <v>30.879411764705885</v>
      </c>
      <c r="L19" s="153">
        <f t="shared" si="3"/>
        <v>95.290196078431379</v>
      </c>
      <c r="M19" s="153">
        <f t="shared" si="4"/>
        <v>94.281590413943348</v>
      </c>
      <c r="N19" t="e">
        <f>J19+'Aug ANXIII '!N19</f>
        <v>#REF!</v>
      </c>
      <c r="O19" t="e">
        <f t="shared" si="5"/>
        <v>#REF!</v>
      </c>
      <c r="P19" t="e">
        <f t="shared" si="6"/>
        <v>#REF!</v>
      </c>
      <c r="Q19" t="e">
        <f t="shared" si="7"/>
        <v>#REF!</v>
      </c>
      <c r="R19" s="168" t="e">
        <f t="shared" si="8"/>
        <v>#REF!</v>
      </c>
      <c r="S19" s="168" t="e">
        <f t="shared" si="8"/>
        <v>#REF!</v>
      </c>
    </row>
    <row r="20" spans="1:20" s="168" customFormat="1" ht="25.5" hidden="1" customHeight="1">
      <c r="A20" s="168">
        <v>13</v>
      </c>
      <c r="B20" s="168" t="s">
        <v>51</v>
      </c>
      <c r="C20">
        <v>31</v>
      </c>
      <c r="D20">
        <f>C20</f>
        <v>31</v>
      </c>
      <c r="E20">
        <v>287.33</v>
      </c>
      <c r="F20" t="e">
        <f>E20+'Aug ANXIII '!F20</f>
        <v>#REF!</v>
      </c>
      <c r="G20">
        <v>556.29999999999995</v>
      </c>
      <c r="H20">
        <v>883.92</v>
      </c>
      <c r="I20">
        <f t="shared" si="0"/>
        <v>1440.2199999999998</v>
      </c>
      <c r="J20">
        <f t="shared" si="1"/>
        <v>1727.5499999999997</v>
      </c>
      <c r="K20">
        <f t="shared" si="2"/>
        <v>55.727419354838702</v>
      </c>
      <c r="L20" s="153">
        <f t="shared" si="3"/>
        <v>91.396535244922347</v>
      </c>
      <c r="M20" s="153">
        <f t="shared" si="4"/>
        <v>89.680107526881727</v>
      </c>
      <c r="N20" t="e">
        <f>J20+'Aug ANXIII '!N20</f>
        <v>#REF!</v>
      </c>
      <c r="O20" t="e">
        <f t="shared" si="5"/>
        <v>#REF!</v>
      </c>
      <c r="P20" t="e">
        <f t="shared" si="6"/>
        <v>#REF!</v>
      </c>
      <c r="Q20" t="e">
        <f t="shared" si="7"/>
        <v>#REF!</v>
      </c>
      <c r="R20" s="168" t="e">
        <f t="shared" si="8"/>
        <v>#REF!</v>
      </c>
      <c r="S20" s="168" t="e">
        <f t="shared" si="8"/>
        <v>#REF!</v>
      </c>
    </row>
    <row r="21" spans="1:20" s="173" customFormat="1" ht="25.5" customHeight="1">
      <c r="A21" s="44">
        <v>12</v>
      </c>
      <c r="B21" s="168" t="s">
        <v>99</v>
      </c>
      <c r="C21" s="151">
        <f>C19+C20</f>
        <v>65</v>
      </c>
      <c r="D21" s="151">
        <f>D19+D20</f>
        <v>65</v>
      </c>
      <c r="E21" s="170">
        <f>E19+E20</f>
        <v>472.51</v>
      </c>
      <c r="F21" s="152" t="e">
        <f>E21+'Aug ANXIII '!F21</f>
        <v>#REF!</v>
      </c>
      <c r="G21" s="170">
        <f>SUM(G19:G20)</f>
        <v>929.75</v>
      </c>
      <c r="H21" s="170">
        <f>SUM(H19:H20)</f>
        <v>1375.19</v>
      </c>
      <c r="I21" s="152">
        <f t="shared" si="0"/>
        <v>2304.94</v>
      </c>
      <c r="J21" s="152">
        <f t="shared" si="1"/>
        <v>2777.45</v>
      </c>
      <c r="K21" s="152">
        <f t="shared" si="2"/>
        <v>42.73</v>
      </c>
      <c r="L21" s="153">
        <f t="shared" si="3"/>
        <v>93.433219373219373</v>
      </c>
      <c r="M21" s="153">
        <f t="shared" si="4"/>
        <v>92.087037037037035</v>
      </c>
      <c r="N21" s="152" t="e">
        <f>J21+'Aug ANXIII '!N21</f>
        <v>#REF!</v>
      </c>
      <c r="O21" s="152" t="e">
        <f t="shared" si="5"/>
        <v>#REF!</v>
      </c>
      <c r="P21" s="152" t="e">
        <f t="shared" si="6"/>
        <v>#REF!</v>
      </c>
      <c r="Q21" s="152" t="e">
        <f t="shared" si="7"/>
        <v>#REF!</v>
      </c>
      <c r="R21" s="172"/>
      <c r="S21" s="172"/>
    </row>
    <row r="22" spans="1:20" s="167" customFormat="1" ht="25.5" hidden="1" customHeight="1">
      <c r="A22" s="44">
        <v>14</v>
      </c>
      <c r="B22" s="168" t="s">
        <v>52</v>
      </c>
      <c r="C22">
        <v>14</v>
      </c>
      <c r="D22">
        <v>14</v>
      </c>
      <c r="E22">
        <v>0</v>
      </c>
      <c r="F22" t="e">
        <f>E22+'Aug ANXIII '!F22</f>
        <v>#REF!</v>
      </c>
      <c r="G22">
        <v>81.56</v>
      </c>
      <c r="H22">
        <v>94.53</v>
      </c>
      <c r="I22">
        <f t="shared" si="0"/>
        <v>176.09</v>
      </c>
      <c r="J22">
        <f t="shared" si="1"/>
        <v>176.09</v>
      </c>
      <c r="K22">
        <f t="shared" si="2"/>
        <v>12.577857142857143</v>
      </c>
      <c r="L22" s="153">
        <f t="shared" si="3"/>
        <v>97.670767195767198</v>
      </c>
      <c r="M22" s="153">
        <f t="shared" si="4"/>
        <v>97.670767195767198</v>
      </c>
      <c r="N22" t="e">
        <f>J22+'Aug ANXIII '!N22</f>
        <v>#REF!</v>
      </c>
      <c r="O22" t="e">
        <f t="shared" si="5"/>
        <v>#REF!</v>
      </c>
      <c r="P22" t="e">
        <f t="shared" si="6"/>
        <v>#REF!</v>
      </c>
      <c r="Q22" t="e">
        <f t="shared" si="7"/>
        <v>#REF!</v>
      </c>
      <c r="R22" s="161" t="e">
        <f t="shared" si="8"/>
        <v>#REF!</v>
      </c>
      <c r="S22" s="161" t="e">
        <f t="shared" si="8"/>
        <v>#REF!</v>
      </c>
    </row>
    <row r="23" spans="1:20" s="167" customFormat="1" ht="30" hidden="1" customHeight="1">
      <c r="A23" s="44">
        <v>15</v>
      </c>
      <c r="B23" s="168" t="s">
        <v>53</v>
      </c>
      <c r="C23">
        <v>35</v>
      </c>
      <c r="D23">
        <v>35</v>
      </c>
      <c r="E23">
        <v>96.6</v>
      </c>
      <c r="F23" t="e">
        <f>E23+'Aug ANXIII '!F23</f>
        <v>#REF!</v>
      </c>
      <c r="G23">
        <v>151.25</v>
      </c>
      <c r="H23">
        <v>467.1</v>
      </c>
      <c r="I23">
        <f t="shared" si="0"/>
        <v>618.35</v>
      </c>
      <c r="J23">
        <f t="shared" si="1"/>
        <v>714.95</v>
      </c>
      <c r="K23">
        <f t="shared" si="2"/>
        <v>20.427142857142858</v>
      </c>
      <c r="L23" s="153">
        <f t="shared" si="3"/>
        <v>96.728306878306896</v>
      </c>
      <c r="M23" s="153">
        <f t="shared" si="4"/>
        <v>96.217195767195761</v>
      </c>
      <c r="N23" t="e">
        <f>J23+'Aug ANXIII '!N23</f>
        <v>#REF!</v>
      </c>
      <c r="O23" t="e">
        <f t="shared" si="5"/>
        <v>#REF!</v>
      </c>
      <c r="P23" t="e">
        <f t="shared" si="6"/>
        <v>#REF!</v>
      </c>
      <c r="Q23" t="e">
        <f t="shared" si="7"/>
        <v>#REF!</v>
      </c>
      <c r="R23" s="161" t="e">
        <f t="shared" si="8"/>
        <v>#REF!</v>
      </c>
      <c r="S23" s="161" t="e">
        <f t="shared" si="8"/>
        <v>#REF!</v>
      </c>
    </row>
    <row r="24" spans="1:20" s="167" customFormat="1" ht="25.5" hidden="1" customHeight="1">
      <c r="A24" s="44">
        <v>16</v>
      </c>
      <c r="B24" s="168" t="s">
        <v>54</v>
      </c>
      <c r="C24">
        <f>7+33</f>
        <v>40</v>
      </c>
      <c r="D24">
        <v>40</v>
      </c>
      <c r="E24">
        <f>24.75+23.3</f>
        <v>48.05</v>
      </c>
      <c r="F24" t="e">
        <f>E24+'Aug ANXIII '!F24</f>
        <v>#REF!</v>
      </c>
      <c r="G24">
        <f>74.65+451.4</f>
        <v>526.04999999999995</v>
      </c>
      <c r="H24">
        <f>38.45+241.8</f>
        <v>280.25</v>
      </c>
      <c r="I24">
        <f t="shared" si="0"/>
        <v>806.3</v>
      </c>
      <c r="J24">
        <f t="shared" si="1"/>
        <v>854.34999999999991</v>
      </c>
      <c r="K24">
        <f t="shared" si="2"/>
        <v>21.358749999999997</v>
      </c>
      <c r="L24" s="153">
        <f t="shared" si="3"/>
        <v>96.267129629629636</v>
      </c>
      <c r="M24" s="153">
        <f t="shared" si="4"/>
        <v>96.044675925925944</v>
      </c>
      <c r="N24" t="e">
        <f>J24+'Aug ANXIII '!N24</f>
        <v>#REF!</v>
      </c>
      <c r="O24" t="e">
        <f t="shared" si="5"/>
        <v>#REF!</v>
      </c>
      <c r="P24" t="e">
        <f t="shared" si="6"/>
        <v>#REF!</v>
      </c>
      <c r="Q24" t="e">
        <f t="shared" si="7"/>
        <v>#REF!</v>
      </c>
      <c r="R24" s="161" t="e">
        <f t="shared" si="8"/>
        <v>#REF!</v>
      </c>
      <c r="S24" s="161" t="e">
        <f t="shared" si="8"/>
        <v>#REF!</v>
      </c>
    </row>
    <row r="25" spans="1:20" s="173" customFormat="1" ht="25.5" customHeight="1">
      <c r="A25" s="44">
        <v>13</v>
      </c>
      <c r="B25" s="168" t="s">
        <v>52</v>
      </c>
      <c r="C25" s="151">
        <f>C22+C23+C24</f>
        <v>89</v>
      </c>
      <c r="D25" s="59">
        <f>D22+D23+D24</f>
        <v>89</v>
      </c>
      <c r="E25" s="170">
        <f>E22+E23+E24</f>
        <v>144.64999999999998</v>
      </c>
      <c r="F25" s="152" t="e">
        <f>E25+'Aug ANXIII '!F25</f>
        <v>#REF!</v>
      </c>
      <c r="G25" s="170">
        <f>G22+G23+G24</f>
        <v>758.8599999999999</v>
      </c>
      <c r="H25" s="170">
        <f>H22+H23+H24</f>
        <v>841.88</v>
      </c>
      <c r="I25" s="152">
        <f>G25+H25</f>
        <v>1600.7399999999998</v>
      </c>
      <c r="J25" s="152">
        <f t="shared" si="1"/>
        <v>1745.3899999999999</v>
      </c>
      <c r="K25" s="152">
        <f>J25/C25</f>
        <v>19.611123595505617</v>
      </c>
      <c r="L25" s="153">
        <f t="shared" si="3"/>
        <v>96.669288389513113</v>
      </c>
      <c r="M25" s="153">
        <f t="shared" si="4"/>
        <v>96.368310445276734</v>
      </c>
      <c r="N25" s="152" t="e">
        <f>J25+'Aug ANXIII '!N25</f>
        <v>#REF!</v>
      </c>
      <c r="O25" s="152" t="e">
        <f t="shared" si="5"/>
        <v>#REF!</v>
      </c>
      <c r="P25" s="152" t="e">
        <f t="shared" si="6"/>
        <v>#REF!</v>
      </c>
      <c r="Q25" s="152" t="e">
        <f t="shared" si="7"/>
        <v>#REF!</v>
      </c>
      <c r="R25" s="172"/>
      <c r="S25" s="172"/>
    </row>
    <row r="26" spans="1:20" s="167" customFormat="1" ht="25.5" customHeight="1">
      <c r="A26" s="44">
        <v>14</v>
      </c>
      <c r="B26" s="168" t="s">
        <v>94</v>
      </c>
      <c r="C26" s="151">
        <v>19</v>
      </c>
      <c r="D26" s="59">
        <v>19</v>
      </c>
      <c r="E26" s="170">
        <v>0.47</v>
      </c>
      <c r="F26" s="152" t="e">
        <f>E26+'Aug ANXIII '!F26</f>
        <v>#REF!</v>
      </c>
      <c r="G26" s="170">
        <v>6.3</v>
      </c>
      <c r="H26" s="170">
        <v>4.5</v>
      </c>
      <c r="I26" s="152">
        <f t="shared" si="0"/>
        <v>10.8</v>
      </c>
      <c r="J26" s="152">
        <f t="shared" si="1"/>
        <v>11.270000000000001</v>
      </c>
      <c r="K26" s="152">
        <f t="shared" si="2"/>
        <v>0.59315789473684222</v>
      </c>
      <c r="L26" s="153">
        <f t="shared" si="3"/>
        <v>99.894736842105274</v>
      </c>
      <c r="M26" s="153">
        <f t="shared" si="4"/>
        <v>99.89015594541911</v>
      </c>
      <c r="N26" s="152" t="e">
        <f>J26+'Aug ANXIII '!N26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61" t="e">
        <f>L26-P26</f>
        <v>#REF!</v>
      </c>
      <c r="S26" s="161" t="e">
        <f>M26-Q26</f>
        <v>#REF!</v>
      </c>
    </row>
    <row r="27" spans="1:20" s="167" customFormat="1" ht="25.5" hidden="1" customHeight="1">
      <c r="A27" s="44">
        <v>18</v>
      </c>
      <c r="B27" s="168" t="s">
        <v>32</v>
      </c>
      <c r="C27">
        <v>34</v>
      </c>
      <c r="D27">
        <v>34</v>
      </c>
      <c r="E27">
        <v>26.75</v>
      </c>
      <c r="F27" t="e">
        <f>E27+'Aug ANXIII '!F27</f>
        <v>#REF!</v>
      </c>
      <c r="G27">
        <v>41</v>
      </c>
      <c r="H27">
        <v>25.7</v>
      </c>
      <c r="I27">
        <f t="shared" si="0"/>
        <v>66.7</v>
      </c>
      <c r="J27">
        <f t="shared" si="1"/>
        <v>93.45</v>
      </c>
      <c r="K27">
        <f t="shared" si="2"/>
        <v>2.7485294117647059</v>
      </c>
      <c r="L27" s="153">
        <f t="shared" si="3"/>
        <v>99.636710239651421</v>
      </c>
      <c r="M27" s="153">
        <f t="shared" si="4"/>
        <v>99.491013071895424</v>
      </c>
      <c r="N27" t="e">
        <f>J27+'Aug ANXIII '!N27</f>
        <v>#REF!</v>
      </c>
      <c r="O27" t="e">
        <f t="shared" si="5"/>
        <v>#REF!</v>
      </c>
      <c r="P27" t="e">
        <f t="shared" si="6"/>
        <v>#REF!</v>
      </c>
      <c r="Q27" t="e">
        <f t="shared" si="7"/>
        <v>#REF!</v>
      </c>
      <c r="R27" s="161" t="e">
        <f t="shared" si="8"/>
        <v>#REF!</v>
      </c>
      <c r="S27" s="161" t="e">
        <f t="shared" si="8"/>
        <v>#REF!</v>
      </c>
    </row>
    <row r="28" spans="1:20" s="167" customFormat="1" ht="25.5" hidden="1" customHeight="1">
      <c r="A28" s="44">
        <v>19</v>
      </c>
      <c r="B28" s="168" t="s">
        <v>55</v>
      </c>
      <c r="C28">
        <v>47</v>
      </c>
      <c r="D28">
        <v>47</v>
      </c>
      <c r="E28">
        <v>78.8</v>
      </c>
      <c r="F28" t="e">
        <f>E28+'Aug ANXIII '!F28</f>
        <v>#REF!</v>
      </c>
      <c r="G28">
        <v>274.7</v>
      </c>
      <c r="H28">
        <v>142.19999999999999</v>
      </c>
      <c r="I28">
        <v>142.23638888888888</v>
      </c>
      <c r="J28">
        <f t="shared" si="1"/>
        <v>221.03638888888889</v>
      </c>
      <c r="K28">
        <f t="shared" si="2"/>
        <v>4.7029018912529548</v>
      </c>
      <c r="L28" s="153">
        <f t="shared" si="3"/>
        <v>99.439572935819982</v>
      </c>
      <c r="M28" s="153">
        <f t="shared" si="4"/>
        <v>99.129092242360556</v>
      </c>
      <c r="N28" t="e">
        <f>J28+'Aug ANXIII '!N28</f>
        <v>#REF!</v>
      </c>
      <c r="O28" t="e">
        <f t="shared" si="5"/>
        <v>#REF!</v>
      </c>
      <c r="P28" t="e">
        <f t="shared" si="6"/>
        <v>#REF!</v>
      </c>
      <c r="Q28" t="e">
        <f t="shared" si="7"/>
        <v>#REF!</v>
      </c>
      <c r="R28" s="161" t="e">
        <f t="shared" si="8"/>
        <v>#REF!</v>
      </c>
      <c r="S28" s="161" t="e">
        <f t="shared" si="8"/>
        <v>#REF!</v>
      </c>
    </row>
    <row r="29" spans="1:20" s="173" customFormat="1" ht="25.5" customHeight="1">
      <c r="A29" s="44">
        <v>15</v>
      </c>
      <c r="B29" s="168" t="s">
        <v>32</v>
      </c>
      <c r="C29" s="151">
        <f>C27+C28</f>
        <v>81</v>
      </c>
      <c r="D29" s="59">
        <f>D27+D28</f>
        <v>81</v>
      </c>
      <c r="E29" s="170">
        <f>E27+E28</f>
        <v>105.55</v>
      </c>
      <c r="F29" s="152" t="e">
        <f>E29+'Aug ANXIII '!F29</f>
        <v>#REF!</v>
      </c>
      <c r="G29" s="170">
        <f>SUM(G27:G28)</f>
        <v>315.7</v>
      </c>
      <c r="H29" s="170">
        <f>SUM(H27:H28)</f>
        <v>167.89999999999998</v>
      </c>
      <c r="I29" s="152">
        <f t="shared" si="0"/>
        <v>483.59999999999997</v>
      </c>
      <c r="J29" s="152">
        <f t="shared" si="1"/>
        <v>589.15</v>
      </c>
      <c r="K29" s="152">
        <f t="shared" si="2"/>
        <v>7.2734567901234568</v>
      </c>
      <c r="L29" s="153">
        <f t="shared" si="3"/>
        <v>98.894375857338815</v>
      </c>
      <c r="M29" s="153">
        <f t="shared" si="4"/>
        <v>98.653063557384542</v>
      </c>
      <c r="N29" s="152" t="e">
        <f>J29+'Aug ANXIII '!N29</f>
        <v>#REF!</v>
      </c>
      <c r="O29" s="152" t="e">
        <f t="shared" si="5"/>
        <v>#REF!</v>
      </c>
      <c r="P29" s="152" t="e">
        <f t="shared" si="6"/>
        <v>#REF!</v>
      </c>
      <c r="Q29" s="152" t="e">
        <f t="shared" si="7"/>
        <v>#REF!</v>
      </c>
      <c r="R29" s="172"/>
      <c r="S29" s="172"/>
    </row>
    <row r="30" spans="1:20" s="167" customFormat="1" ht="25.5" customHeight="1">
      <c r="A30" s="44">
        <v>16</v>
      </c>
      <c r="B30" s="168" t="s">
        <v>56</v>
      </c>
      <c r="C30" s="151">
        <v>64</v>
      </c>
      <c r="D30" s="59">
        <v>64</v>
      </c>
      <c r="E30" s="170">
        <v>6.66</v>
      </c>
      <c r="F30" s="152" t="e">
        <f>E30+'Aug ANXIII '!F30</f>
        <v>#REF!</v>
      </c>
      <c r="G30" s="170">
        <v>44.9</v>
      </c>
      <c r="H30" s="170">
        <v>30</v>
      </c>
      <c r="I30" s="152">
        <f t="shared" si="0"/>
        <v>74.900000000000006</v>
      </c>
      <c r="J30" s="152">
        <f t="shared" si="1"/>
        <v>81.56</v>
      </c>
      <c r="K30" s="152">
        <f t="shared" si="2"/>
        <v>1.274375</v>
      </c>
      <c r="L30" s="153">
        <f t="shared" si="3"/>
        <v>99.783275462962962</v>
      </c>
      <c r="M30" s="153">
        <f t="shared" si="4"/>
        <v>99.764004629629625</v>
      </c>
      <c r="N30" s="152" t="e">
        <f>J30+'Aug ANXIII '!N30</f>
        <v>#REF!</v>
      </c>
      <c r="O30" s="152" t="e">
        <f t="shared" si="5"/>
        <v>#REF!</v>
      </c>
      <c r="P30" s="152" t="e">
        <f t="shared" si="6"/>
        <v>#REF!</v>
      </c>
      <c r="Q30" s="152" t="e">
        <f t="shared" si="7"/>
        <v>#REF!</v>
      </c>
      <c r="R30" s="161" t="e">
        <f t="shared" si="8"/>
        <v>#REF!</v>
      </c>
      <c r="S30" s="161" t="e">
        <f t="shared" si="8"/>
        <v>#REF!</v>
      </c>
    </row>
    <row r="31" spans="1:20" ht="13.5" thickBot="1">
      <c r="C31" s="160">
        <f>SUM(C8:C30)</f>
        <v>2749</v>
      </c>
      <c r="D31">
        <f t="shared" ref="D31:K31" si="9">SUM(D12:D30)+D8</f>
        <v>2191</v>
      </c>
      <c r="E31">
        <f t="shared" si="9"/>
        <v>2469.683</v>
      </c>
      <c r="F31" t="e">
        <f t="shared" si="9"/>
        <v>#REF!</v>
      </c>
      <c r="G31">
        <f t="shared" si="9"/>
        <v>19434.425000000003</v>
      </c>
      <c r="H31">
        <f t="shared" si="9"/>
        <v>18806.79</v>
      </c>
      <c r="I31">
        <f t="shared" si="9"/>
        <v>37966.551388888889</v>
      </c>
      <c r="J31">
        <f t="shared" si="9"/>
        <v>40436.234388888886</v>
      </c>
      <c r="K31">
        <f t="shared" si="9"/>
        <v>346.86579866413274</v>
      </c>
      <c r="L31">
        <f>+(((D31*24)*30)-I31)*100/((D31*24)*30)</f>
        <v>97.593276066934877</v>
      </c>
      <c r="M31">
        <f>+(((D31*24)*30)-J31)*100/((D31*24)*30)</f>
        <v>97.436721284745119</v>
      </c>
      <c r="N31" t="e">
        <f>SUM(N12:N30)+N8</f>
        <v>#REF!</v>
      </c>
      <c r="O31" t="e">
        <f>SUM(O12:O30)+O8</f>
        <v>#REF!</v>
      </c>
      <c r="P31" t="e">
        <f>((C31*24*30)-(N31-E31))*100/(C31*24*30)</f>
        <v>#REF!</v>
      </c>
      <c r="Q31" t="e">
        <f>((D31*24*30)-(N31))*100/(D31*24*30)</f>
        <v>#REF!</v>
      </c>
      <c r="R31" s="161" t="e">
        <f t="shared" si="8"/>
        <v>#REF!</v>
      </c>
    </row>
    <row r="32" spans="1:20" ht="12.75" customHeight="1">
      <c r="A32" s="839" t="s">
        <v>33</v>
      </c>
      <c r="B32" s="840"/>
      <c r="C32" s="840"/>
      <c r="D32" s="840"/>
      <c r="E32" s="840"/>
      <c r="F32" s="840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1"/>
      <c r="R32" s="161">
        <f t="shared" si="8"/>
        <v>0</v>
      </c>
    </row>
    <row r="33" spans="1:18" ht="28.5" customHeight="1" thickBot="1">
      <c r="A33" s="842"/>
      <c r="B33" s="843"/>
      <c r="C33" s="843"/>
      <c r="D33" s="843"/>
      <c r="E33" s="843"/>
      <c r="F33" s="843"/>
      <c r="G33" s="843"/>
      <c r="H33" s="843"/>
      <c r="I33" s="843"/>
      <c r="J33" s="843"/>
      <c r="K33" s="843"/>
      <c r="L33" s="843"/>
      <c r="M33" s="843"/>
      <c r="N33" s="843"/>
      <c r="O33" s="843"/>
      <c r="P33" s="843"/>
      <c r="Q33" s="844"/>
      <c r="R33" s="161">
        <f t="shared" si="8"/>
        <v>0</v>
      </c>
    </row>
    <row r="34" spans="1:18" ht="12.75" customHeight="1">
      <c r="A34" s="853" t="s">
        <v>34</v>
      </c>
      <c r="B34" s="854"/>
      <c r="C34" s="854"/>
      <c r="D34" s="854"/>
      <c r="E34" s="854"/>
      <c r="F34" s="854"/>
      <c r="G34" s="854"/>
      <c r="H34" s="854"/>
      <c r="I34" s="854"/>
      <c r="J34" s="854"/>
      <c r="K34" s="854"/>
      <c r="L34" s="854"/>
      <c r="M34" s="854"/>
      <c r="N34" s="854"/>
      <c r="O34" s="854"/>
      <c r="P34" s="854"/>
      <c r="Q34" s="855"/>
      <c r="R34" s="161">
        <f t="shared" si="8"/>
        <v>0</v>
      </c>
    </row>
    <row r="35" spans="1:18" ht="12.75" customHeight="1">
      <c r="A35" s="856"/>
      <c r="B35" s="857"/>
      <c r="C35" s="857"/>
      <c r="D35" s="857"/>
      <c r="E35" s="857"/>
      <c r="F35" s="857"/>
      <c r="G35" s="857"/>
      <c r="H35" s="857"/>
      <c r="I35" s="857"/>
      <c r="J35" s="857"/>
      <c r="K35" s="857"/>
      <c r="L35" s="857"/>
      <c r="M35" s="857"/>
      <c r="N35" s="857"/>
      <c r="O35" s="857"/>
      <c r="P35" s="857"/>
      <c r="Q35" s="858"/>
      <c r="R35" s="161">
        <f t="shared" si="8"/>
        <v>0</v>
      </c>
    </row>
    <row r="36" spans="1:18" ht="13.5" customHeight="1" thickBot="1">
      <c r="A36" s="859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1"/>
      <c r="R36" s="161">
        <f t="shared" si="8"/>
        <v>0</v>
      </c>
    </row>
    <row r="37" spans="1:18">
      <c r="A37" s="839" t="s">
        <v>35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1"/>
      <c r="R37" s="161">
        <f t="shared" si="8"/>
        <v>0</v>
      </c>
    </row>
    <row r="38" spans="1:18" ht="20.25" customHeight="1" thickBot="1">
      <c r="A38" s="842"/>
      <c r="B38" s="843"/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  <c r="N38" s="843"/>
      <c r="O38" s="843"/>
      <c r="P38" s="843"/>
      <c r="Q38" s="844"/>
      <c r="R38" s="161">
        <f t="shared" si="8"/>
        <v>0</v>
      </c>
    </row>
    <row r="39" spans="1:18" ht="18.75" customHeight="1">
      <c r="A39" s="839" t="s">
        <v>36</v>
      </c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1"/>
      <c r="R39" s="161">
        <f t="shared" si="8"/>
        <v>0</v>
      </c>
    </row>
    <row r="40" spans="1:18" ht="29.25" customHeight="1" thickBot="1">
      <c r="A40" s="842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3"/>
      <c r="P40" s="843"/>
      <c r="Q40" s="844"/>
      <c r="R40" s="161">
        <f t="shared" si="8"/>
        <v>0</v>
      </c>
    </row>
    <row r="41" spans="1:18">
      <c r="R41" s="161">
        <f t="shared" si="8"/>
        <v>0</v>
      </c>
    </row>
    <row r="42" spans="1:18">
      <c r="R42" s="161">
        <f t="shared" si="8"/>
        <v>0</v>
      </c>
    </row>
    <row r="43" spans="1:18">
      <c r="R43" s="161">
        <f t="shared" si="8"/>
        <v>0</v>
      </c>
    </row>
    <row r="44" spans="1:18" ht="15" customHeight="1">
      <c r="P44" s="171"/>
      <c r="Q44" s="171"/>
      <c r="R44" s="161">
        <f t="shared" si="8"/>
        <v>0</v>
      </c>
    </row>
    <row r="45" spans="1:18" ht="15" customHeight="1">
      <c r="P45" s="171">
        <f>98.57</f>
        <v>98.57</v>
      </c>
      <c r="Q45" s="171">
        <f>97.92</f>
        <v>97.92</v>
      </c>
      <c r="R45" s="161">
        <f t="shared" si="8"/>
        <v>-98.57</v>
      </c>
    </row>
    <row r="46" spans="1:18" ht="15" customHeight="1">
      <c r="R46" s="161">
        <f t="shared" si="8"/>
        <v>0</v>
      </c>
    </row>
    <row r="47" spans="1:18" ht="15" customHeight="1">
      <c r="C47" s="160"/>
      <c r="R47" s="161">
        <f t="shared" si="8"/>
        <v>0</v>
      </c>
    </row>
    <row r="48" spans="1:18" ht="15" customHeight="1">
      <c r="C48" s="160"/>
      <c r="R48" s="161">
        <f t="shared" si="8"/>
        <v>0</v>
      </c>
    </row>
    <row r="49" spans="3:18" ht="15" customHeight="1">
      <c r="K49" s="146">
        <f>85+86+94</f>
        <v>265</v>
      </c>
      <c r="R49" s="161">
        <f t="shared" si="8"/>
        <v>0</v>
      </c>
    </row>
    <row r="50" spans="3:18" ht="15" customHeight="1">
      <c r="K50" s="146">
        <f>K49/3</f>
        <v>88.333333333333329</v>
      </c>
      <c r="R50" s="161">
        <f t="shared" si="8"/>
        <v>0</v>
      </c>
    </row>
    <row r="51" spans="3:18" ht="15" customHeight="1">
      <c r="R51" s="161">
        <f t="shared" si="8"/>
        <v>0</v>
      </c>
    </row>
    <row r="52" spans="3:18" ht="11.25" customHeight="1">
      <c r="R52" s="161">
        <f t="shared" si="8"/>
        <v>0</v>
      </c>
    </row>
    <row r="53" spans="3:18" ht="11.25" customHeight="1">
      <c r="R53" s="161">
        <f t="shared" si="8"/>
        <v>0</v>
      </c>
    </row>
    <row r="54" spans="3:18" ht="11.25" customHeight="1">
      <c r="R54" s="161">
        <f t="shared" si="8"/>
        <v>0</v>
      </c>
    </row>
    <row r="55" spans="3:18" ht="11.25" customHeight="1">
      <c r="R55" s="161">
        <f t="shared" si="8"/>
        <v>0</v>
      </c>
    </row>
    <row r="56" spans="3:18" ht="11.25" customHeight="1"/>
    <row r="57" spans="3:18" ht="11.25" customHeight="1">
      <c r="C57" s="160" t="e">
        <f>C8:C30</f>
        <v>#VALUE!</v>
      </c>
      <c r="L57" s="161">
        <f>L8+L9+L10+L11+L12+L13+L14+L15+L16+L17+L18+L26+L19+L20+L22+L23+L24+L27+L28+L30</f>
        <v>1935.8327000728725</v>
      </c>
      <c r="M57" s="161">
        <f>M8+M9+M10+M11+M12+M13+M14+M15+M16+M17+M18+M26+M19+M20+M22+M23+M24+M27+M28+M30</f>
        <v>1930.4501614201467</v>
      </c>
    </row>
    <row r="58" spans="3:18" ht="11.25" customHeight="1">
      <c r="C58" s="160">
        <f>C8+C9+C10+C11+C12+C13+C14+C15+C16+C17+C18+C19+C20+C22+C23+C24+C26+C27+C28+C30</f>
        <v>2514</v>
      </c>
      <c r="L58" s="146">
        <f>L57/20</f>
        <v>96.79163500364362</v>
      </c>
      <c r="M58" s="146">
        <f>M57/20</f>
        <v>96.522508071007337</v>
      </c>
    </row>
    <row r="59" spans="3:18">
      <c r="F59" s="146">
        <f>1013.5+118.24</f>
        <v>1131.74</v>
      </c>
      <c r="P59" s="161" t="e">
        <f>P8+P9+P10+P11+P12+P13+P14+P15+P16+P17+P18+P26+P19+P20+P22+P23+P24+P27+P28+P30</f>
        <v>#REF!</v>
      </c>
      <c r="Q59" s="161" t="e">
        <f>Q8+Q9+Q10+Q11+Q12+Q13+Q14+Q15+Q16+Q17+Q18+Q26+Q19+Q20+Q22+Q23+Q24+Q27+Q28+Q30</f>
        <v>#REF!</v>
      </c>
    </row>
    <row r="60" spans="3:18">
      <c r="C60" s="160">
        <f>C30+C29+C26+C25+C21+C18+C17+C16+C15+C14+C13+C12+C11+C10+C9+C8</f>
        <v>2514</v>
      </c>
    </row>
    <row r="61" spans="3:18">
      <c r="C61" s="146">
        <v>1420</v>
      </c>
      <c r="K61" s="161">
        <f>3258+J21</f>
        <v>6035.45</v>
      </c>
      <c r="P61" s="146" t="e">
        <f>P59/20</f>
        <v>#REF!</v>
      </c>
      <c r="Q61" s="146" t="e">
        <f>Q59/20</f>
        <v>#REF!</v>
      </c>
    </row>
    <row r="62" spans="3:18">
      <c r="C62" s="146">
        <v>529</v>
      </c>
    </row>
    <row r="63" spans="3:18">
      <c r="C63" s="160">
        <f>SUM(C60:C62)</f>
        <v>4463</v>
      </c>
    </row>
    <row r="64" spans="3:18">
      <c r="G64" s="146">
        <f>71.34+67.53</f>
        <v>138.87</v>
      </c>
    </row>
  </sheetData>
  <mergeCells count="17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A39:Q40"/>
    <mergeCell ref="G5:I5"/>
    <mergeCell ref="J5:M5"/>
    <mergeCell ref="N5:Q5"/>
    <mergeCell ref="A32:Q33"/>
    <mergeCell ref="A34:Q36"/>
    <mergeCell ref="A37:Q38"/>
  </mergeCells>
  <printOptions horizontalCentered="1"/>
  <pageMargins left="0" right="0" top="0.5" bottom="0" header="0.19" footer="0.5"/>
  <pageSetup paperSize="9" scale="6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view="pageBreakPreview" zoomScale="80" zoomScaleSheetLayoutView="80" workbookViewId="0">
      <selection activeCell="I34" activeCellId="1" sqref="I34 L36"/>
    </sheetView>
  </sheetViews>
  <sheetFormatPr defaultRowHeight="12.75"/>
  <cols>
    <col min="1" max="1" width="5" style="186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7.42578125" style="2" customWidth="1"/>
    <col min="8" max="8" width="18.5703125" style="2" customWidth="1"/>
    <col min="9" max="9" width="15.8554687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5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5" ht="18" customHeight="1">
      <c r="A3" s="826" t="s">
        <v>127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5" ht="15" customHeight="1">
      <c r="A4" s="279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5" s="88" customFormat="1" ht="28.5" customHeight="1">
      <c r="A5" s="821" t="s">
        <v>2</v>
      </c>
      <c r="B5" s="821" t="s">
        <v>3</v>
      </c>
      <c r="C5" s="873" t="s">
        <v>4</v>
      </c>
      <c r="D5" s="873" t="s">
        <v>5</v>
      </c>
      <c r="E5" s="873" t="s">
        <v>6</v>
      </c>
      <c r="F5" s="821" t="s">
        <v>7</v>
      </c>
      <c r="G5" s="822" t="s">
        <v>8</v>
      </c>
      <c r="H5" s="823"/>
      <c r="I5" s="823"/>
      <c r="J5" s="823" t="s">
        <v>130</v>
      </c>
      <c r="K5" s="823"/>
      <c r="L5" s="823"/>
      <c r="M5" s="823"/>
      <c r="N5" s="823" t="s">
        <v>84</v>
      </c>
      <c r="O5" s="823"/>
      <c r="P5" s="823"/>
      <c r="Q5" s="823"/>
      <c r="V5" s="81">
        <v>42583</v>
      </c>
      <c r="W5" s="82">
        <v>31</v>
      </c>
      <c r="X5" s="82">
        <f t="shared" si="0"/>
        <v>31</v>
      </c>
      <c r="Y5" s="89"/>
    </row>
    <row r="6" spans="1:25" s="90" customFormat="1" ht="114" customHeight="1">
      <c r="A6" s="821"/>
      <c r="B6" s="821"/>
      <c r="C6" s="873"/>
      <c r="D6" s="873"/>
      <c r="E6" s="873"/>
      <c r="F6" s="821"/>
      <c r="G6" s="187" t="s">
        <v>9</v>
      </c>
      <c r="H6" s="187" t="s">
        <v>10</v>
      </c>
      <c r="I6" s="185" t="s">
        <v>11</v>
      </c>
      <c r="J6" s="185" t="s">
        <v>12</v>
      </c>
      <c r="K6" s="185" t="s">
        <v>13</v>
      </c>
      <c r="L6" s="180" t="s">
        <v>78</v>
      </c>
      <c r="M6" s="180" t="s">
        <v>14</v>
      </c>
      <c r="N6" s="180" t="s">
        <v>15</v>
      </c>
      <c r="O6" s="185" t="s">
        <v>16</v>
      </c>
      <c r="P6" s="180" t="s">
        <v>17</v>
      </c>
      <c r="Q6" s="180" t="s">
        <v>18</v>
      </c>
      <c r="V6" s="81">
        <v>42614</v>
      </c>
      <c r="W6" s="82">
        <v>30</v>
      </c>
      <c r="X6" s="82">
        <f t="shared" si="0"/>
        <v>30</v>
      </c>
      <c r="Y6" s="83"/>
    </row>
    <row r="7" spans="1:25" s="278" customFormat="1" ht="24" customHeight="1">
      <c r="A7" s="6">
        <v>1</v>
      </c>
      <c r="B7" s="6">
        <v>2</v>
      </c>
      <c r="C7" s="178">
        <v>3</v>
      </c>
      <c r="D7" s="178">
        <v>4</v>
      </c>
      <c r="E7" s="178">
        <v>5</v>
      </c>
      <c r="F7" s="6" t="s">
        <v>19</v>
      </c>
      <c r="G7" s="178">
        <v>6</v>
      </c>
      <c r="H7" s="178">
        <v>7</v>
      </c>
      <c r="I7" s="6" t="s">
        <v>20</v>
      </c>
      <c r="J7" s="6" t="s">
        <v>21</v>
      </c>
      <c r="K7" s="7" t="s">
        <v>22</v>
      </c>
      <c r="L7" s="179" t="s">
        <v>23</v>
      </c>
      <c r="M7" s="179" t="s">
        <v>24</v>
      </c>
      <c r="N7" s="179">
        <v>13</v>
      </c>
      <c r="O7" s="6" t="s">
        <v>64</v>
      </c>
      <c r="P7" s="179">
        <v>15</v>
      </c>
      <c r="Q7" s="179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5" s="198" customFormat="1" ht="42" customHeight="1">
      <c r="A8" s="151">
        <v>1</v>
      </c>
      <c r="B8" s="190" t="s">
        <v>26</v>
      </c>
      <c r="C8" s="191">
        <v>34</v>
      </c>
      <c r="D8" s="191">
        <v>31</v>
      </c>
      <c r="E8" s="192">
        <v>27.08</v>
      </c>
      <c r="F8" s="193" t="e">
        <f>E8+'Sep ANX I   '!F8</f>
        <v>#REF!</v>
      </c>
      <c r="G8" s="192">
        <v>195.95999999999995</v>
      </c>
      <c r="H8" s="192">
        <v>58.210000000000015</v>
      </c>
      <c r="I8" s="194">
        <f>G8+H8</f>
        <v>254.16999999999996</v>
      </c>
      <c r="J8" s="194">
        <f>E8+I8</f>
        <v>281.24999999999994</v>
      </c>
      <c r="K8" s="194">
        <f>J8/C8</f>
        <v>8.2720588235294095</v>
      </c>
      <c r="L8" s="215">
        <f>+(((C8*24)*31)-I8)*100/((C8*24)*31)</f>
        <v>98.995216635041118</v>
      </c>
      <c r="M8" s="215">
        <f>+(((C8*24)*31)-J8)*100/((C8*24)*31)</f>
        <v>98.888164136622393</v>
      </c>
      <c r="N8" s="215" t="e">
        <f>J8+'Sep ANX I   '!N8</f>
        <v>#REF!</v>
      </c>
      <c r="O8" s="195" t="e">
        <f>N8/C8</f>
        <v>#REF!</v>
      </c>
      <c r="P8" s="215" t="e">
        <f>((C8*24*214)-(N8-E8))*100/(C8*24*214)</f>
        <v>#REF!</v>
      </c>
      <c r="Q8" s="215" t="e">
        <f>((C8*24*214)-(N8))*100/(C8*24*214)</f>
        <v>#REF!</v>
      </c>
      <c r="R8" s="194"/>
      <c r="S8" s="216" t="e">
        <f>L8-P8</f>
        <v>#REF!</v>
      </c>
      <c r="T8" s="216" t="e">
        <f>M8-Q8</f>
        <v>#REF!</v>
      </c>
      <c r="V8" s="196">
        <v>42675</v>
      </c>
      <c r="W8" s="197">
        <v>30</v>
      </c>
      <c r="X8" s="197">
        <f t="shared" si="0"/>
        <v>30</v>
      </c>
      <c r="Y8" s="198">
        <f>122+31</f>
        <v>153</v>
      </c>
    </row>
    <row r="9" spans="1:25" s="198" customFormat="1" ht="42" customHeight="1">
      <c r="A9" s="151">
        <v>2</v>
      </c>
      <c r="B9" s="190" t="s">
        <v>27</v>
      </c>
      <c r="C9" s="199">
        <v>11</v>
      </c>
      <c r="D9" s="199">
        <v>11</v>
      </c>
      <c r="E9" s="192">
        <v>12.6</v>
      </c>
      <c r="F9" s="193" t="e">
        <f>E9+'Sep ANX I   '!F9</f>
        <v>#REF!</v>
      </c>
      <c r="G9" s="192">
        <v>216.99</v>
      </c>
      <c r="H9" s="192">
        <v>150.38999999999999</v>
      </c>
      <c r="I9" s="194">
        <f t="shared" ref="I9:I14" si="1">G9+H9</f>
        <v>367.38</v>
      </c>
      <c r="J9" s="194">
        <f t="shared" ref="J9:J14" si="2">E9+I9</f>
        <v>379.98</v>
      </c>
      <c r="K9" s="194">
        <f t="shared" ref="K9:K14" si="3">J9/C9</f>
        <v>34.543636363636367</v>
      </c>
      <c r="L9" s="215">
        <f t="shared" ref="L9:L15" si="4">+(((C9*24)*31)-I9)*100/((C9*24)*31)</f>
        <v>95.510997067448685</v>
      </c>
      <c r="M9" s="215">
        <f t="shared" ref="M9:M15" si="5">+(((C9*24)*31)-J9)*100/((C9*24)*31)</f>
        <v>95.357038123167158</v>
      </c>
      <c r="N9" s="215" t="e">
        <f>J9+'Sep ANX I   '!N9</f>
        <v>#REF!</v>
      </c>
      <c r="O9" s="195" t="e">
        <f t="shared" ref="O9:O14" si="6">N9/C9</f>
        <v>#REF!</v>
      </c>
      <c r="P9" s="215" t="e">
        <f t="shared" ref="P9:P15" si="7">((C9*24*214)-(N9-E9))*100/(C9*24*214)</f>
        <v>#REF!</v>
      </c>
      <c r="Q9" s="215" t="e">
        <f t="shared" ref="Q9:Q15" si="8">((C9*24*214)-(N9))*100/(C9*24*214)</f>
        <v>#REF!</v>
      </c>
      <c r="R9" s="194"/>
      <c r="S9" s="216" t="e">
        <f t="shared" ref="S9:T24" si="9">L9-P9</f>
        <v>#REF!</v>
      </c>
      <c r="T9" s="216" t="e">
        <f t="shared" si="9"/>
        <v>#REF!</v>
      </c>
      <c r="V9" s="196">
        <v>42705</v>
      </c>
      <c r="W9" s="197">
        <v>31</v>
      </c>
      <c r="X9" s="197">
        <v>31</v>
      </c>
    </row>
    <row r="10" spans="1:25" s="204" customFormat="1" ht="42" customHeight="1">
      <c r="A10" s="151">
        <v>3</v>
      </c>
      <c r="B10" s="190" t="s">
        <v>28</v>
      </c>
      <c r="C10" s="200">
        <v>30</v>
      </c>
      <c r="D10" s="200">
        <v>30</v>
      </c>
      <c r="E10" s="201">
        <v>82</v>
      </c>
      <c r="F10" s="193" t="e">
        <f>E10+'Sep ANX I   '!F10</f>
        <v>#REF!</v>
      </c>
      <c r="G10" s="201">
        <v>334</v>
      </c>
      <c r="H10" s="201">
        <v>113</v>
      </c>
      <c r="I10" s="194">
        <f t="shared" si="1"/>
        <v>447</v>
      </c>
      <c r="J10" s="194">
        <f t="shared" si="2"/>
        <v>529</v>
      </c>
      <c r="K10" s="194">
        <f t="shared" si="3"/>
        <v>17.633333333333333</v>
      </c>
      <c r="L10" s="215">
        <f t="shared" si="4"/>
        <v>97.997311827956992</v>
      </c>
      <c r="M10" s="215">
        <f t="shared" si="5"/>
        <v>97.629928315412187</v>
      </c>
      <c r="N10" s="215" t="e">
        <f>J10+'Sep ANX I   '!N10</f>
        <v>#REF!</v>
      </c>
      <c r="O10" s="195" t="e">
        <f t="shared" si="6"/>
        <v>#REF!</v>
      </c>
      <c r="P10" s="215" t="e">
        <f t="shared" si="7"/>
        <v>#REF!</v>
      </c>
      <c r="Q10" s="215" t="e">
        <f t="shared" si="8"/>
        <v>#REF!</v>
      </c>
      <c r="R10" s="195"/>
      <c r="S10" s="216" t="e">
        <f t="shared" si="9"/>
        <v>#REF!</v>
      </c>
      <c r="T10" s="216" t="e">
        <f t="shared" si="9"/>
        <v>#REF!</v>
      </c>
      <c r="V10" s="202">
        <v>42370</v>
      </c>
      <c r="W10" s="203">
        <v>31</v>
      </c>
      <c r="X10" s="203">
        <f t="shared" si="0"/>
        <v>31</v>
      </c>
    </row>
    <row r="11" spans="1:25" s="210" customFormat="1" ht="42" customHeight="1">
      <c r="A11" s="189">
        <v>4</v>
      </c>
      <c r="B11" s="190" t="s">
        <v>29</v>
      </c>
      <c r="C11" s="217">
        <v>1342</v>
      </c>
      <c r="D11" s="217">
        <v>1123</v>
      </c>
      <c r="E11" s="217">
        <v>660.42</v>
      </c>
      <c r="F11" s="193" t="e">
        <f>E11+'Sep ANX I   '!F11</f>
        <v>#REF!</v>
      </c>
      <c r="G11" s="217">
        <v>3820</v>
      </c>
      <c r="H11" s="217">
        <v>3292.11</v>
      </c>
      <c r="I11" s="194">
        <f>G11+H11</f>
        <v>7112.1100000000006</v>
      </c>
      <c r="J11" s="205">
        <f t="shared" si="2"/>
        <v>7772.5300000000007</v>
      </c>
      <c r="K11" s="205">
        <f t="shared" si="3"/>
        <v>5.7917511177347247</v>
      </c>
      <c r="L11" s="215">
        <f t="shared" si="4"/>
        <v>99.287683484768365</v>
      </c>
      <c r="M11" s="215">
        <f t="shared" si="5"/>
        <v>99.221538828261458</v>
      </c>
      <c r="N11" s="215" t="e">
        <f>J11+'Sep ANX I   '!N11</f>
        <v>#REF!</v>
      </c>
      <c r="O11" s="206" t="e">
        <f t="shared" si="6"/>
        <v>#REF!</v>
      </c>
      <c r="P11" s="215" t="e">
        <f t="shared" si="7"/>
        <v>#REF!</v>
      </c>
      <c r="Q11" s="215" t="e">
        <f t="shared" si="8"/>
        <v>#REF!</v>
      </c>
      <c r="R11" s="207"/>
      <c r="S11" s="216" t="e">
        <f t="shared" si="9"/>
        <v>#REF!</v>
      </c>
      <c r="T11" s="216" t="e">
        <f t="shared" si="9"/>
        <v>#REF!</v>
      </c>
      <c r="V11" s="208">
        <v>42401</v>
      </c>
      <c r="W11" s="209">
        <v>29</v>
      </c>
      <c r="X11" s="209">
        <f t="shared" si="0"/>
        <v>29</v>
      </c>
    </row>
    <row r="12" spans="1:25" s="211" customFormat="1" ht="42" customHeight="1">
      <c r="A12" s="151">
        <v>5</v>
      </c>
      <c r="B12" s="190" t="s">
        <v>32</v>
      </c>
      <c r="C12" s="218">
        <v>4</v>
      </c>
      <c r="D12" s="218">
        <v>4</v>
      </c>
      <c r="E12" s="218">
        <v>8.52</v>
      </c>
      <c r="F12" s="193" t="e">
        <f>E12+'Sep ANX I   '!F12</f>
        <v>#REF!</v>
      </c>
      <c r="G12" s="218">
        <v>30.18</v>
      </c>
      <c r="H12" s="218">
        <v>19.579999999999998</v>
      </c>
      <c r="I12" s="194">
        <f>G12+H12</f>
        <v>49.76</v>
      </c>
      <c r="J12" s="194">
        <f t="shared" si="2"/>
        <v>58.28</v>
      </c>
      <c r="K12" s="194">
        <f t="shared" si="3"/>
        <v>14.57</v>
      </c>
      <c r="L12" s="215">
        <f t="shared" si="4"/>
        <v>98.327956989247312</v>
      </c>
      <c r="M12" s="215">
        <f t="shared" si="5"/>
        <v>98.041666666666671</v>
      </c>
      <c r="N12" s="215" t="e">
        <f>J12+'Sep ANX I   '!N12</f>
        <v>#REF!</v>
      </c>
      <c r="O12" s="195" t="e">
        <f t="shared" si="6"/>
        <v>#REF!</v>
      </c>
      <c r="P12" s="215" t="e">
        <f t="shared" si="7"/>
        <v>#REF!</v>
      </c>
      <c r="Q12" s="215" t="e">
        <f t="shared" si="8"/>
        <v>#REF!</v>
      </c>
      <c r="R12" s="195"/>
      <c r="S12" s="216" t="e">
        <f t="shared" si="9"/>
        <v>#REF!</v>
      </c>
      <c r="T12" s="216" t="e">
        <f t="shared" si="9"/>
        <v>#REF!</v>
      </c>
      <c r="V12" s="202">
        <v>42430</v>
      </c>
      <c r="W12" s="203">
        <v>31</v>
      </c>
      <c r="X12" s="203">
        <v>31</v>
      </c>
    </row>
    <row r="13" spans="1:25" s="211" customFormat="1" ht="42" customHeight="1">
      <c r="A13" s="151">
        <v>6</v>
      </c>
      <c r="B13" s="190" t="s">
        <v>30</v>
      </c>
      <c r="C13" s="212">
        <v>12</v>
      </c>
      <c r="D13" s="212">
        <v>12</v>
      </c>
      <c r="E13" s="213">
        <v>1.4</v>
      </c>
      <c r="F13" s="193" t="e">
        <f>E13+'Sep ANX I   '!F13</f>
        <v>#REF!</v>
      </c>
      <c r="G13" s="213">
        <v>78.03</v>
      </c>
      <c r="H13" s="213">
        <v>51.03</v>
      </c>
      <c r="I13" s="194">
        <f t="shared" si="1"/>
        <v>129.06</v>
      </c>
      <c r="J13" s="194">
        <f t="shared" si="2"/>
        <v>130.46</v>
      </c>
      <c r="K13" s="194">
        <f t="shared" si="3"/>
        <v>10.871666666666668</v>
      </c>
      <c r="L13" s="215">
        <f t="shared" si="4"/>
        <v>98.554435483870961</v>
      </c>
      <c r="M13" s="215">
        <f t="shared" si="5"/>
        <v>98.538754480286755</v>
      </c>
      <c r="N13" s="215" t="e">
        <f>J13+'Sep ANX I   '!N13</f>
        <v>#REF!</v>
      </c>
      <c r="O13" s="195" t="e">
        <f t="shared" si="6"/>
        <v>#REF!</v>
      </c>
      <c r="P13" s="215" t="e">
        <f t="shared" si="7"/>
        <v>#REF!</v>
      </c>
      <c r="Q13" s="215" t="e">
        <f t="shared" si="8"/>
        <v>#REF!</v>
      </c>
      <c r="R13" s="195"/>
      <c r="S13" s="216" t="e">
        <f>L14-P14</f>
        <v>#REF!</v>
      </c>
      <c r="T13" s="216" t="e">
        <f>M14-Q14</f>
        <v>#REF!</v>
      </c>
      <c r="V13" s="203"/>
      <c r="W13" s="203">
        <f>SUM(W1:W12)</f>
        <v>366</v>
      </c>
      <c r="X13" s="203">
        <f>SUM(W14)</f>
        <v>0</v>
      </c>
    </row>
    <row r="14" spans="1:25" s="211" customFormat="1" ht="42" customHeight="1">
      <c r="A14" s="151">
        <v>7</v>
      </c>
      <c r="B14" s="190" t="s">
        <v>31</v>
      </c>
      <c r="C14" s="212">
        <v>9</v>
      </c>
      <c r="D14" s="212">
        <v>9</v>
      </c>
      <c r="E14" s="213">
        <v>63</v>
      </c>
      <c r="F14" s="193" t="e">
        <f>E14+'Sep ANX I   '!F14</f>
        <v>#REF!</v>
      </c>
      <c r="G14" s="213">
        <v>45.31</v>
      </c>
      <c r="H14" s="213">
        <v>30.21</v>
      </c>
      <c r="I14" s="194">
        <f t="shared" si="1"/>
        <v>75.52000000000001</v>
      </c>
      <c r="J14" s="194">
        <f t="shared" si="2"/>
        <v>138.52000000000001</v>
      </c>
      <c r="K14" s="194">
        <f t="shared" si="3"/>
        <v>15.391111111111112</v>
      </c>
      <c r="L14" s="215">
        <f t="shared" si="4"/>
        <v>98.872162485065715</v>
      </c>
      <c r="M14" s="215">
        <f t="shared" si="5"/>
        <v>97.93130227001194</v>
      </c>
      <c r="N14" s="215" t="e">
        <f>J14+'Sep ANX I   '!N14</f>
        <v>#REF!</v>
      </c>
      <c r="O14" s="195" t="e">
        <f t="shared" si="6"/>
        <v>#REF!</v>
      </c>
      <c r="P14" s="215" t="e">
        <f t="shared" si="7"/>
        <v>#REF!</v>
      </c>
      <c r="Q14" s="215" t="e">
        <f t="shared" si="8"/>
        <v>#REF!</v>
      </c>
      <c r="R14" s="214"/>
      <c r="S14" s="216" t="e">
        <f t="shared" si="9"/>
        <v>#REF!</v>
      </c>
      <c r="T14" s="216" t="e">
        <f t="shared" si="9"/>
        <v>#REF!</v>
      </c>
    </row>
    <row r="15" spans="1:25" ht="27.75" hidden="1" customHeight="1" thickBot="1">
      <c r="A15" s="16"/>
      <c r="B15" s="17"/>
      <c r="C15" s="18">
        <f t="shared" ref="C15:K15" si="10">C8+C9+C10+C11+C12+C14+C14</f>
        <v>1439</v>
      </c>
      <c r="D15" s="18">
        <f t="shared" si="10"/>
        <v>1217</v>
      </c>
      <c r="E15" s="18">
        <f t="shared" si="10"/>
        <v>916.61999999999989</v>
      </c>
      <c r="F15" s="62" t="e">
        <f>E15+'Sep ANX I   '!F15</f>
        <v>#REF!</v>
      </c>
      <c r="G15" s="18">
        <f>G8+G9+G10+G11+G12+G14+G14</f>
        <v>4687.7500000000009</v>
      </c>
      <c r="H15" s="18">
        <f>H8+H9+H10+H11+H12+H14+H14</f>
        <v>3693.71</v>
      </c>
      <c r="I15" s="18">
        <f t="shared" si="10"/>
        <v>8381.4600000000009</v>
      </c>
      <c r="J15" s="18">
        <f t="shared" si="10"/>
        <v>9298.0800000000017</v>
      </c>
      <c r="K15" s="18">
        <f t="shared" si="10"/>
        <v>111.59300186045607</v>
      </c>
      <c r="L15" s="181">
        <f t="shared" si="4"/>
        <v>99.217136676455425</v>
      </c>
      <c r="M15" s="181">
        <f t="shared" si="5"/>
        <v>99.131520545181459</v>
      </c>
      <c r="N15" s="18" t="e">
        <f>N8+N9+N10+N11+N12+N14+N14</f>
        <v>#REF!</v>
      </c>
      <c r="O15" s="18" t="e">
        <f>O8+O9+O10+O11+O12+O14+O14</f>
        <v>#REF!</v>
      </c>
      <c r="P15" t="e">
        <f t="shared" si="7"/>
        <v>#REF!</v>
      </c>
      <c r="Q15" t="e">
        <f t="shared" si="8"/>
        <v>#REF!</v>
      </c>
      <c r="T15" s="43" t="e">
        <f t="shared" si="9"/>
        <v>#REF!</v>
      </c>
    </row>
    <row r="16" spans="1:25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:20" ht="24.75" hidden="1" customHeight="1">
      <c r="P33" s="21"/>
      <c r="Q33" s="21"/>
      <c r="T33" s="43">
        <f t="shared" si="11"/>
        <v>0</v>
      </c>
    </row>
    <row r="34" spans="1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:20" ht="18" hidden="1">
      <c r="T36" s="43">
        <f t="shared" si="11"/>
        <v>0</v>
      </c>
    </row>
    <row r="37" spans="1:20" ht="18" hidden="1">
      <c r="T37" s="43">
        <f t="shared" si="11"/>
        <v>0</v>
      </c>
    </row>
    <row r="38" spans="1:20" ht="18" hidden="1">
      <c r="N38" s="23"/>
      <c r="O38" s="23"/>
      <c r="P38" s="24"/>
      <c r="Q38" s="24"/>
      <c r="R38" s="21"/>
      <c r="T38" s="43">
        <f t="shared" si="11"/>
        <v>0</v>
      </c>
    </row>
    <row r="39" spans="1:20" ht="18" hidden="1">
      <c r="N39" s="23"/>
      <c r="O39" s="23"/>
      <c r="P39" s="23"/>
      <c r="Q39" s="23"/>
      <c r="T39" s="43">
        <f t="shared" si="11"/>
        <v>0</v>
      </c>
    </row>
    <row r="40" spans="1:20" ht="18" hidden="1">
      <c r="N40" s="23"/>
      <c r="O40" s="23"/>
      <c r="P40" s="23"/>
      <c r="Q40" s="23"/>
      <c r="T40" s="43">
        <f t="shared" si="11"/>
        <v>0</v>
      </c>
    </row>
    <row r="41" spans="1:20" ht="18" hidden="1">
      <c r="N41" s="23"/>
      <c r="O41" s="23"/>
      <c r="P41" s="23"/>
      <c r="Q41" s="23"/>
      <c r="T41" s="43">
        <f t="shared" si="11"/>
        <v>0</v>
      </c>
    </row>
    <row r="42" spans="1:20" ht="18" hidden="1">
      <c r="N42" s="23"/>
      <c r="O42" s="23"/>
      <c r="P42" s="23"/>
      <c r="Q42" s="23"/>
      <c r="T42" s="43">
        <f t="shared" si="11"/>
        <v>0</v>
      </c>
    </row>
    <row r="43" spans="1:20" ht="18" hidden="1">
      <c r="N43" s="23"/>
      <c r="O43" s="23"/>
      <c r="P43" s="23"/>
      <c r="Q43" s="23"/>
      <c r="T43" s="43">
        <f t="shared" si="11"/>
        <v>0</v>
      </c>
    </row>
    <row r="44" spans="1:20" ht="18" hidden="1">
      <c r="N44" s="23"/>
      <c r="O44" s="23"/>
      <c r="P44" s="23"/>
      <c r="Q44" s="23"/>
      <c r="T44" s="43">
        <f t="shared" si="11"/>
        <v>0</v>
      </c>
    </row>
    <row r="45" spans="1:20" s="25" customFormat="1" ht="18" hidden="1">
      <c r="A45" s="280"/>
      <c r="T45" s="43">
        <f t="shared" si="11"/>
        <v>0</v>
      </c>
    </row>
    <row r="46" spans="1:20" s="25" customFormat="1" ht="18" hidden="1">
      <c r="A46" s="280"/>
      <c r="P46" s="26"/>
      <c r="Q46" s="26"/>
      <c r="T46" s="43">
        <f t="shared" si="11"/>
        <v>0</v>
      </c>
    </row>
    <row r="47" spans="1:20" s="25" customFormat="1" ht="18" hidden="1">
      <c r="A47" s="280"/>
      <c r="P47" s="26"/>
      <c r="Q47" s="26"/>
      <c r="T47" s="43">
        <f t="shared" si="11"/>
        <v>0</v>
      </c>
    </row>
    <row r="48" spans="1:20" s="25" customFormat="1" ht="18" hidden="1">
      <c r="A48" s="280"/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1:20" s="25" customFormat="1" ht="18" hidden="1">
      <c r="A49" s="280"/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1:20" s="25" customFormat="1" ht="18" hidden="1">
      <c r="A50" s="280"/>
      <c r="T50" s="43">
        <f t="shared" si="11"/>
        <v>0</v>
      </c>
    </row>
    <row r="51" spans="1:20" s="25" customFormat="1" ht="18" hidden="1">
      <c r="A51" s="280"/>
      <c r="T51" s="43">
        <f t="shared" si="11"/>
        <v>0</v>
      </c>
    </row>
    <row r="52" spans="1:20" ht="18" hidden="1">
      <c r="T52" s="43">
        <f t="shared" si="11"/>
        <v>0</v>
      </c>
    </row>
    <row r="53" spans="1:20" ht="18" hidden="1">
      <c r="T53" s="43">
        <f t="shared" si="11"/>
        <v>0</v>
      </c>
    </row>
    <row r="54" spans="1:20" ht="18" hidden="1">
      <c r="T54" s="43">
        <f t="shared" si="11"/>
        <v>0</v>
      </c>
    </row>
    <row r="55" spans="1:20" ht="18" hidden="1">
      <c r="T55" s="43">
        <f t="shared" si="11"/>
        <v>0</v>
      </c>
    </row>
    <row r="56" spans="1:20">
      <c r="C56"/>
    </row>
    <row r="57" spans="1:20">
      <c r="C57" s="144"/>
    </row>
    <row r="58" spans="1:20" ht="48.75" customHeight="1">
      <c r="C58" s="144"/>
      <c r="L58" s="21"/>
      <c r="M58" s="21"/>
      <c r="N58" s="21"/>
    </row>
    <row r="59" spans="1:20" ht="18.75" customHeight="1">
      <c r="B59" s="819" t="s">
        <v>67</v>
      </c>
      <c r="C59" s="819"/>
      <c r="D59" s="819"/>
      <c r="E59" s="819"/>
      <c r="F59" s="819"/>
      <c r="G59" s="118"/>
      <c r="H59" s="118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1:20" ht="18.75" customHeight="1">
      <c r="B60" s="819" t="s">
        <v>69</v>
      </c>
      <c r="C60" s="819"/>
      <c r="D60" s="819"/>
      <c r="E60" s="819"/>
      <c r="F60" s="819"/>
      <c r="G60" s="118"/>
      <c r="H60" s="118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1:20" ht="18.75">
      <c r="B61" s="121"/>
      <c r="C61" s="122"/>
      <c r="D61" s="122"/>
      <c r="E61" s="118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1:20" ht="18.75">
      <c r="B62" s="121"/>
      <c r="C62" s="122"/>
      <c r="D62" s="122"/>
      <c r="E62" s="118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7" spans="7:10" ht="18">
      <c r="G67" s="188">
        <v>159.16666666666666</v>
      </c>
      <c r="H67" s="188">
        <v>137.17430555555555</v>
      </c>
    </row>
    <row r="69" spans="7:10">
      <c r="J69" s="174">
        <f>686.1</f>
        <v>686.1</v>
      </c>
    </row>
    <row r="70" spans="7:10">
      <c r="J70" s="2">
        <f>J69/7</f>
        <v>98.01428571428572</v>
      </c>
    </row>
  </sheetData>
  <mergeCells count="25"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  <mergeCell ref="A23:Q24"/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view="pageBreakPreview" topLeftCell="A13" zoomScale="80" zoomScaleSheetLayoutView="80" workbookViewId="0">
      <selection activeCell="I34" activeCellId="1" sqref="I34 L36"/>
    </sheetView>
  </sheetViews>
  <sheetFormatPr defaultRowHeight="12.75"/>
  <cols>
    <col min="1" max="1" width="7.140625" style="271" customWidth="1"/>
    <col min="2" max="2" width="24.140625" style="272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12.5703125" style="146" customWidth="1"/>
    <col min="13" max="13" width="12.140625" style="146" customWidth="1"/>
    <col min="14" max="14" width="15.140625" style="146" customWidth="1"/>
    <col min="15" max="16" width="14.42578125" style="146" customWidth="1"/>
    <col min="17" max="17" width="13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117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128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84"/>
      <c r="B9" s="27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90" customFormat="1" ht="14.25" customHeight="1">
      <c r="A11" s="874" t="s">
        <v>2</v>
      </c>
      <c r="B11" s="875" t="s">
        <v>38</v>
      </c>
      <c r="C11" s="877" t="s">
        <v>4</v>
      </c>
      <c r="D11" s="877" t="s">
        <v>5</v>
      </c>
      <c r="E11" s="877" t="s">
        <v>6</v>
      </c>
      <c r="F11" s="874" t="s">
        <v>7</v>
      </c>
      <c r="G11" s="823" t="s">
        <v>39</v>
      </c>
      <c r="H11" s="823"/>
      <c r="I11" s="823"/>
      <c r="J11" s="823" t="s">
        <v>130</v>
      </c>
      <c r="K11" s="823"/>
      <c r="L11" s="823"/>
      <c r="M11" s="823"/>
      <c r="N11" s="823" t="s">
        <v>84</v>
      </c>
      <c r="O11" s="823"/>
      <c r="P11" s="823"/>
      <c r="Q11" s="823"/>
    </row>
    <row r="12" spans="1:20" s="90" customFormat="1" ht="117.75" customHeight="1">
      <c r="A12" s="874"/>
      <c r="B12" s="876"/>
      <c r="C12" s="877"/>
      <c r="D12" s="877"/>
      <c r="E12" s="877"/>
      <c r="F12" s="874"/>
      <c r="G12" s="223" t="s">
        <v>9</v>
      </c>
      <c r="H12" s="223" t="s">
        <v>10</v>
      </c>
      <c r="I12" s="224" t="s">
        <v>11</v>
      </c>
      <c r="J12" s="224" t="s">
        <v>12</v>
      </c>
      <c r="K12" s="224" t="s">
        <v>13</v>
      </c>
      <c r="L12" s="225" t="s">
        <v>78</v>
      </c>
      <c r="M12" s="225" t="s">
        <v>14</v>
      </c>
      <c r="N12" s="225" t="s">
        <v>15</v>
      </c>
      <c r="O12" s="224" t="s">
        <v>16</v>
      </c>
      <c r="P12" s="225" t="s">
        <v>17</v>
      </c>
      <c r="Q12" s="225" t="s">
        <v>18</v>
      </c>
    </row>
    <row r="13" spans="1:20" s="277" customFormat="1" ht="14.25" customHeight="1">
      <c r="A13" s="219">
        <v>1</v>
      </c>
      <c r="B13" s="219" t="s">
        <v>40</v>
      </c>
      <c r="C13" s="276">
        <v>3</v>
      </c>
      <c r="D13" s="276">
        <v>4</v>
      </c>
      <c r="E13" s="276">
        <v>5</v>
      </c>
      <c r="F13" s="219" t="s">
        <v>19</v>
      </c>
      <c r="G13" s="276">
        <v>6</v>
      </c>
      <c r="H13" s="276">
        <v>7</v>
      </c>
      <c r="I13" s="219" t="s">
        <v>20</v>
      </c>
      <c r="J13" s="219" t="s">
        <v>21</v>
      </c>
      <c r="K13" s="220" t="s">
        <v>22</v>
      </c>
      <c r="L13" s="221" t="s">
        <v>23</v>
      </c>
      <c r="M13" s="221" t="s">
        <v>24</v>
      </c>
      <c r="N13" s="221">
        <v>13</v>
      </c>
      <c r="O13" s="219" t="s">
        <v>25</v>
      </c>
      <c r="P13" s="221">
        <v>15</v>
      </c>
      <c r="Q13" s="221">
        <v>16</v>
      </c>
    </row>
    <row r="14" spans="1:20" s="237" customFormat="1" ht="24.95" customHeight="1">
      <c r="A14" s="226">
        <v>1</v>
      </c>
      <c r="B14" s="227" t="s">
        <v>41</v>
      </c>
      <c r="C14" s="231">
        <v>1</v>
      </c>
      <c r="D14" s="231">
        <v>1</v>
      </c>
      <c r="E14" s="232">
        <v>4.3099999999999996</v>
      </c>
      <c r="F14" s="233" t="e">
        <f>E14+'Sep ANXII'!F14</f>
        <v>#REF!</v>
      </c>
      <c r="G14" s="232">
        <v>8.35</v>
      </c>
      <c r="H14" s="232">
        <v>2.7</v>
      </c>
      <c r="I14" s="233">
        <f>G14+H14</f>
        <v>11.05</v>
      </c>
      <c r="J14" s="233">
        <f>E14+I14</f>
        <v>15.36</v>
      </c>
      <c r="K14" s="233">
        <f>J14/C14</f>
        <v>15.36</v>
      </c>
      <c r="L14" s="234">
        <f>+(((C14*24)*31)-I14)*100/((C14*24)*31)</f>
        <v>98.51478494623656</v>
      </c>
      <c r="M14" s="234">
        <f>+(((C14*24)*31)-J14)*100/((C14*24)*31)</f>
        <v>97.935483870967744</v>
      </c>
      <c r="N14" s="234" t="e">
        <f>J14+'Sep ANXII'!N14</f>
        <v>#REF!</v>
      </c>
      <c r="O14" s="235" t="e">
        <f>N14/C14</f>
        <v>#REF!</v>
      </c>
      <c r="P14" s="234" t="e">
        <f>((C14*24*214)-(N14-E14))*100/(C14*24*214)</f>
        <v>#REF!</v>
      </c>
      <c r="Q14" s="234" t="e">
        <f>((C14*24*214)-(N14))*100/(C14*24*214)</f>
        <v>#REF!</v>
      </c>
      <c r="R14" s="236"/>
      <c r="S14" s="236" t="e">
        <f>L14-P14</f>
        <v>#REF!</v>
      </c>
      <c r="T14" s="236" t="e">
        <f>M14-Q14</f>
        <v>#REF!</v>
      </c>
    </row>
    <row r="15" spans="1:20" s="237" customFormat="1" ht="24.95" customHeight="1">
      <c r="A15" s="226">
        <v>2</v>
      </c>
      <c r="B15" s="227" t="s">
        <v>42</v>
      </c>
      <c r="C15" s="231">
        <v>1</v>
      </c>
      <c r="D15" s="231">
        <v>1</v>
      </c>
      <c r="E15" s="232">
        <v>2</v>
      </c>
      <c r="F15" s="233" t="e">
        <f>E15+'Sep ANXII'!F15</f>
        <v>#REF!</v>
      </c>
      <c r="G15" s="232">
        <v>23</v>
      </c>
      <c r="H15" s="232">
        <v>1.45</v>
      </c>
      <c r="I15" s="233">
        <f t="shared" ref="I15:I39" si="0">G15+H15</f>
        <v>24.45</v>
      </c>
      <c r="J15" s="233">
        <f t="shared" ref="J15:J39" si="1">E15+I15</f>
        <v>26.45</v>
      </c>
      <c r="K15" s="233">
        <f t="shared" ref="K15:K39" si="2">J15/C15</f>
        <v>26.45</v>
      </c>
      <c r="L15" s="234">
        <f t="shared" ref="L15:L39" si="3">+(((C15*24)*31)-I15)*100/((C15*24)*31)</f>
        <v>96.713709677419359</v>
      </c>
      <c r="M15" s="234">
        <f t="shared" ref="M15:M39" si="4">+(((C15*24)*31)-J15)*100/((C15*24)*31)</f>
        <v>96.444892473118273</v>
      </c>
      <c r="N15" s="234" t="e">
        <f>J15+'Sep ANXII'!N15</f>
        <v>#REF!</v>
      </c>
      <c r="O15" s="235" t="e">
        <f t="shared" ref="O15:O39" si="5">N15/C15</f>
        <v>#REF!</v>
      </c>
      <c r="P15" s="234" t="e">
        <f t="shared" ref="P15:P39" si="6">((C15*24*214)-(N15-E15))*100/(C15*24*214)</f>
        <v>#REF!</v>
      </c>
      <c r="Q15" s="234" t="e">
        <f t="shared" ref="Q15:Q39" si="7">((C15*24*214)-(N15))*100/(C15*24*214)</f>
        <v>#REF!</v>
      </c>
      <c r="R15" s="236"/>
      <c r="S15" s="236" t="e">
        <f t="shared" ref="S15:T39" si="8">L15-P15</f>
        <v>#REF!</v>
      </c>
      <c r="T15" s="236" t="e">
        <f t="shared" si="8"/>
        <v>#REF!</v>
      </c>
    </row>
    <row r="16" spans="1:20" s="237" customFormat="1" ht="24.95" customHeight="1">
      <c r="A16" s="226">
        <v>3</v>
      </c>
      <c r="B16" s="227" t="s">
        <v>43</v>
      </c>
      <c r="C16" s="238">
        <v>11</v>
      </c>
      <c r="D16" s="238">
        <v>11</v>
      </c>
      <c r="E16" s="239">
        <v>1.4</v>
      </c>
      <c r="F16" s="233" t="e">
        <f>E16+'Sep ANXII'!F16</f>
        <v>#REF!</v>
      </c>
      <c r="G16" s="240">
        <v>27.125</v>
      </c>
      <c r="H16" s="240">
        <v>9.07</v>
      </c>
      <c r="I16" s="233">
        <f t="shared" si="0"/>
        <v>36.195</v>
      </c>
      <c r="J16" s="233">
        <f t="shared" si="1"/>
        <v>37.594999999999999</v>
      </c>
      <c r="K16" s="233">
        <f t="shared" si="2"/>
        <v>3.4177272727272725</v>
      </c>
      <c r="L16" s="234">
        <f t="shared" si="3"/>
        <v>99.557734604105576</v>
      </c>
      <c r="M16" s="234">
        <f t="shared" si="4"/>
        <v>99.540628054740964</v>
      </c>
      <c r="N16" s="234" t="e">
        <f>J16+'Sep ANXII'!N16</f>
        <v>#REF!</v>
      </c>
      <c r="O16" s="235" t="e">
        <f t="shared" si="5"/>
        <v>#REF!</v>
      </c>
      <c r="P16" s="234" t="e">
        <f t="shared" si="6"/>
        <v>#REF!</v>
      </c>
      <c r="Q16" s="234" t="e">
        <f t="shared" si="7"/>
        <v>#REF!</v>
      </c>
      <c r="R16" s="236"/>
      <c r="S16" s="236" t="e">
        <f t="shared" si="8"/>
        <v>#REF!</v>
      </c>
      <c r="T16" s="236" t="e">
        <f t="shared" si="8"/>
        <v>#REF!</v>
      </c>
    </row>
    <row r="17" spans="1:20" s="237" customFormat="1" ht="24.95" customHeight="1">
      <c r="A17" s="226">
        <v>4</v>
      </c>
      <c r="B17" s="227" t="s">
        <v>73</v>
      </c>
      <c r="C17" s="238">
        <v>2</v>
      </c>
      <c r="D17" s="238">
        <v>2</v>
      </c>
      <c r="E17" s="239">
        <v>2</v>
      </c>
      <c r="F17" s="233" t="e">
        <f>E17+'Sep ANXII'!F17</f>
        <v>#REF!</v>
      </c>
      <c r="G17" s="240">
        <v>28</v>
      </c>
      <c r="H17" s="241">
        <v>4.5999999999999996</v>
      </c>
      <c r="I17" s="233">
        <f t="shared" si="0"/>
        <v>32.6</v>
      </c>
      <c r="J17" s="233">
        <f t="shared" si="1"/>
        <v>34.6</v>
      </c>
      <c r="K17" s="233">
        <f t="shared" si="2"/>
        <v>17.3</v>
      </c>
      <c r="L17" s="234">
        <f t="shared" si="3"/>
        <v>97.80913978494624</v>
      </c>
      <c r="M17" s="234">
        <f t="shared" si="4"/>
        <v>97.674731182795696</v>
      </c>
      <c r="N17" s="234" t="e">
        <f>J17+'Sep ANXII'!N17</f>
        <v>#REF!</v>
      </c>
      <c r="O17" s="235" t="e">
        <f t="shared" si="5"/>
        <v>#REF!</v>
      </c>
      <c r="P17" s="234" t="e">
        <f t="shared" si="6"/>
        <v>#REF!</v>
      </c>
      <c r="Q17" s="234" t="e">
        <f t="shared" si="7"/>
        <v>#REF!</v>
      </c>
      <c r="R17" s="236"/>
      <c r="S17" s="236" t="e">
        <f>L17-P17</f>
        <v>#REF!</v>
      </c>
      <c r="T17" s="236" t="e">
        <f>M17-Q17</f>
        <v>#REF!</v>
      </c>
    </row>
    <row r="18" spans="1:20" s="237" customFormat="1" ht="24.95" customHeight="1">
      <c r="A18" s="226">
        <v>5</v>
      </c>
      <c r="B18" s="227" t="s">
        <v>79</v>
      </c>
      <c r="C18" s="242">
        <v>4</v>
      </c>
      <c r="D18" s="242">
        <v>4</v>
      </c>
      <c r="E18" s="240">
        <v>1.35</v>
      </c>
      <c r="F18" s="233" t="e">
        <f>E18+'Sep ANXII'!F18</f>
        <v>#REF!</v>
      </c>
      <c r="G18" s="240">
        <v>23.5</v>
      </c>
      <c r="H18" s="240">
        <v>3.1499999999999995</v>
      </c>
      <c r="I18" s="233">
        <f t="shared" si="0"/>
        <v>26.65</v>
      </c>
      <c r="J18" s="233">
        <f t="shared" si="1"/>
        <v>28</v>
      </c>
      <c r="K18" s="233">
        <f t="shared" si="2"/>
        <v>7</v>
      </c>
      <c r="L18" s="234">
        <f t="shared" si="3"/>
        <v>99.104502688172047</v>
      </c>
      <c r="M18" s="234">
        <f t="shared" si="4"/>
        <v>99.05913978494624</v>
      </c>
      <c r="N18" s="234" t="e">
        <f>J18+'Sep ANXII'!N18</f>
        <v>#REF!</v>
      </c>
      <c r="O18" s="235" t="e">
        <f t="shared" si="5"/>
        <v>#REF!</v>
      </c>
      <c r="P18" s="234" t="e">
        <f t="shared" si="6"/>
        <v>#REF!</v>
      </c>
      <c r="Q18" s="234" t="e">
        <f t="shared" si="7"/>
        <v>#REF!</v>
      </c>
      <c r="R18" s="236"/>
      <c r="S18" s="236" t="e">
        <f>L18-P18</f>
        <v>#REF!</v>
      </c>
      <c r="T18" s="236" t="e">
        <f>M18-Q18</f>
        <v>#REF!</v>
      </c>
    </row>
    <row r="19" spans="1:20" s="237" customFormat="1" ht="24.95" customHeight="1">
      <c r="A19" s="226">
        <v>6</v>
      </c>
      <c r="B19" s="227" t="s">
        <v>80</v>
      </c>
      <c r="C19" s="242">
        <v>1</v>
      </c>
      <c r="D19" s="242">
        <v>1</v>
      </c>
      <c r="E19" s="240">
        <v>6.8</v>
      </c>
      <c r="F19" s="233" t="e">
        <f>E19+'Sep ANXII'!F19</f>
        <v>#REF!</v>
      </c>
      <c r="G19" s="240">
        <v>22.19</v>
      </c>
      <c r="H19" s="240">
        <v>12.15</v>
      </c>
      <c r="I19" s="233">
        <f t="shared" si="0"/>
        <v>34.340000000000003</v>
      </c>
      <c r="J19" s="233">
        <f t="shared" si="1"/>
        <v>41.14</v>
      </c>
      <c r="K19" s="233">
        <f t="shared" si="2"/>
        <v>41.14</v>
      </c>
      <c r="L19" s="234">
        <f t="shared" si="3"/>
        <v>95.384408602150543</v>
      </c>
      <c r="M19" s="234">
        <f t="shared" si="4"/>
        <v>94.47043010752688</v>
      </c>
      <c r="N19" s="234" t="e">
        <f>J19+'Sep ANXII'!N19</f>
        <v>#REF!</v>
      </c>
      <c r="O19" s="235" t="e">
        <f t="shared" si="5"/>
        <v>#REF!</v>
      </c>
      <c r="P19" s="234" t="e">
        <f t="shared" si="6"/>
        <v>#REF!</v>
      </c>
      <c r="Q19" s="234" t="e">
        <f t="shared" si="7"/>
        <v>#REF!</v>
      </c>
      <c r="R19" s="236"/>
      <c r="S19" s="236" t="e">
        <f t="shared" si="8"/>
        <v>#REF!</v>
      </c>
      <c r="T19" s="236" t="e">
        <f t="shared" si="8"/>
        <v>#REF!</v>
      </c>
    </row>
    <row r="20" spans="1:20" s="237" customFormat="1" ht="24.95" customHeight="1">
      <c r="A20" s="226">
        <v>7</v>
      </c>
      <c r="B20" s="227" t="s">
        <v>74</v>
      </c>
      <c r="C20" s="242">
        <v>2</v>
      </c>
      <c r="D20" s="242">
        <v>2</v>
      </c>
      <c r="E20" s="240">
        <v>12.6</v>
      </c>
      <c r="F20" s="233" t="e">
        <f>E20+'Sep ANXII'!F20</f>
        <v>#REF!</v>
      </c>
      <c r="G20" s="240">
        <v>48.18</v>
      </c>
      <c r="H20" s="240">
        <v>36.93</v>
      </c>
      <c r="I20" s="233">
        <f t="shared" si="0"/>
        <v>85.11</v>
      </c>
      <c r="J20" s="233">
        <f t="shared" si="1"/>
        <v>97.71</v>
      </c>
      <c r="K20" s="233">
        <f t="shared" si="2"/>
        <v>48.854999999999997</v>
      </c>
      <c r="L20" s="234">
        <f t="shared" si="3"/>
        <v>94.280241935483872</v>
      </c>
      <c r="M20" s="234">
        <f t="shared" si="4"/>
        <v>93.433467741935488</v>
      </c>
      <c r="N20" s="234" t="e">
        <f>J20+'Sep ANXII'!N20</f>
        <v>#REF!</v>
      </c>
      <c r="O20" s="235" t="e">
        <f t="shared" si="5"/>
        <v>#REF!</v>
      </c>
      <c r="P20" s="234" t="e">
        <f t="shared" si="6"/>
        <v>#REF!</v>
      </c>
      <c r="Q20" s="234" t="e">
        <f t="shared" si="7"/>
        <v>#REF!</v>
      </c>
      <c r="R20" s="236"/>
      <c r="S20" s="236" t="e">
        <f t="shared" si="8"/>
        <v>#REF!</v>
      </c>
      <c r="T20" s="236" t="e">
        <f t="shared" si="8"/>
        <v>#REF!</v>
      </c>
    </row>
    <row r="21" spans="1:20" s="237" customFormat="1" ht="24.95" customHeight="1">
      <c r="A21" s="226">
        <v>8</v>
      </c>
      <c r="B21" s="227" t="s">
        <v>44</v>
      </c>
      <c r="C21" s="243">
        <v>3</v>
      </c>
      <c r="D21" s="243">
        <v>3</v>
      </c>
      <c r="E21" s="240">
        <v>11.814376698043837</v>
      </c>
      <c r="F21" s="233" t="e">
        <f>E21+'Sep ANXII'!F21</f>
        <v>#REF!</v>
      </c>
      <c r="G21" s="244">
        <v>21.33</v>
      </c>
      <c r="H21" s="240">
        <v>27.03</v>
      </c>
      <c r="I21" s="233">
        <f t="shared" si="0"/>
        <v>48.36</v>
      </c>
      <c r="J21" s="233">
        <f t="shared" si="1"/>
        <v>60.174376698043837</v>
      </c>
      <c r="K21" s="233">
        <f t="shared" si="2"/>
        <v>20.058125566014613</v>
      </c>
      <c r="L21" s="234">
        <f t="shared" si="3"/>
        <v>97.833333333333329</v>
      </c>
      <c r="M21" s="234">
        <f t="shared" si="4"/>
        <v>97.304015380912006</v>
      </c>
      <c r="N21" s="234" t="e">
        <f>J21+'Sep ANXII'!N21</f>
        <v>#REF!</v>
      </c>
      <c r="O21" s="235" t="e">
        <f t="shared" si="5"/>
        <v>#REF!</v>
      </c>
      <c r="P21" s="234" t="e">
        <f t="shared" si="6"/>
        <v>#REF!</v>
      </c>
      <c r="Q21" s="234" t="e">
        <f t="shared" si="7"/>
        <v>#REF!</v>
      </c>
      <c r="R21" s="236"/>
      <c r="S21" s="236" t="e">
        <f t="shared" si="8"/>
        <v>#REF!</v>
      </c>
      <c r="T21" s="236" t="e">
        <f t="shared" si="8"/>
        <v>#REF!</v>
      </c>
    </row>
    <row r="22" spans="1:20" s="237" customFormat="1" ht="24.95" customHeight="1">
      <c r="A22" s="226">
        <v>9</v>
      </c>
      <c r="B22" s="227" t="s">
        <v>75</v>
      </c>
      <c r="C22" s="243">
        <v>5</v>
      </c>
      <c r="D22" s="243">
        <v>5</v>
      </c>
      <c r="E22" s="240">
        <v>13.698878502639769</v>
      </c>
      <c r="F22" s="233" t="e">
        <f>E22+'Sep ANXII'!F22</f>
        <v>#REF!</v>
      </c>
      <c r="G22" s="244">
        <v>16.420000000000002</v>
      </c>
      <c r="H22" s="240">
        <v>11.08</v>
      </c>
      <c r="I22" s="233">
        <f t="shared" si="0"/>
        <v>27.5</v>
      </c>
      <c r="J22" s="233">
        <f t="shared" si="1"/>
        <v>41.198878502639772</v>
      </c>
      <c r="K22" s="233">
        <f t="shared" si="2"/>
        <v>8.2397757005279537</v>
      </c>
      <c r="L22" s="234">
        <f t="shared" si="3"/>
        <v>99.260752688172047</v>
      </c>
      <c r="M22" s="234">
        <f t="shared" si="4"/>
        <v>98.892503266058071</v>
      </c>
      <c r="N22" s="234" t="e">
        <f>J22+'Sep ANXII'!N22</f>
        <v>#REF!</v>
      </c>
      <c r="O22" s="235" t="e">
        <f t="shared" si="5"/>
        <v>#REF!</v>
      </c>
      <c r="P22" s="234" t="e">
        <f t="shared" si="6"/>
        <v>#REF!</v>
      </c>
      <c r="Q22" s="234" t="e">
        <f t="shared" si="7"/>
        <v>#REF!</v>
      </c>
      <c r="R22" s="236"/>
      <c r="S22" s="236" t="e">
        <f t="shared" si="8"/>
        <v>#REF!</v>
      </c>
      <c r="T22" s="236" t="e">
        <f t="shared" si="8"/>
        <v>#REF!</v>
      </c>
    </row>
    <row r="23" spans="1:20" s="237" customFormat="1" ht="24.95" customHeight="1">
      <c r="A23" s="226">
        <v>10</v>
      </c>
      <c r="B23" s="227" t="s">
        <v>76</v>
      </c>
      <c r="C23" s="243">
        <v>1</v>
      </c>
      <c r="D23" s="243">
        <v>1</v>
      </c>
      <c r="E23" s="240">
        <v>1.8741798500213651</v>
      </c>
      <c r="F23" s="233" t="e">
        <f>E23+'Sep ANXII'!F23</f>
        <v>#REF!</v>
      </c>
      <c r="G23" s="244">
        <v>6.05</v>
      </c>
      <c r="H23" s="240">
        <v>1.4</v>
      </c>
      <c r="I23" s="233">
        <f t="shared" si="0"/>
        <v>7.4499999999999993</v>
      </c>
      <c r="J23" s="233">
        <f t="shared" si="1"/>
        <v>9.3241798500213644</v>
      </c>
      <c r="K23" s="233">
        <f t="shared" si="2"/>
        <v>9.3241798500213644</v>
      </c>
      <c r="L23" s="234">
        <f t="shared" si="3"/>
        <v>98.998655913978496</v>
      </c>
      <c r="M23" s="234">
        <f t="shared" si="4"/>
        <v>98.74675002015843</v>
      </c>
      <c r="N23" s="234" t="e">
        <f>J23+'Sep ANXII'!N23</f>
        <v>#REF!</v>
      </c>
      <c r="O23" s="235" t="e">
        <f t="shared" si="5"/>
        <v>#REF!</v>
      </c>
      <c r="P23" s="234" t="e">
        <f t="shared" si="6"/>
        <v>#REF!</v>
      </c>
      <c r="Q23" s="234" t="e">
        <f t="shared" si="7"/>
        <v>#REF!</v>
      </c>
      <c r="R23" s="236"/>
      <c r="S23" s="236" t="e">
        <f t="shared" si="8"/>
        <v>#REF!</v>
      </c>
      <c r="T23" s="236" t="e">
        <f t="shared" si="8"/>
        <v>#REF!</v>
      </c>
    </row>
    <row r="24" spans="1:20" s="246" customFormat="1" ht="24.95" customHeight="1">
      <c r="A24" s="226">
        <v>11</v>
      </c>
      <c r="B24" s="227" t="s">
        <v>28</v>
      </c>
      <c r="C24" s="245">
        <v>7</v>
      </c>
      <c r="D24" s="245">
        <v>7</v>
      </c>
      <c r="E24" s="245">
        <v>15</v>
      </c>
      <c r="F24" s="233" t="e">
        <f>E24+'Sep ANXII'!F24</f>
        <v>#REF!</v>
      </c>
      <c r="G24" s="245">
        <v>189</v>
      </c>
      <c r="H24" s="245">
        <v>103</v>
      </c>
      <c r="I24" s="233">
        <f t="shared" si="0"/>
        <v>292</v>
      </c>
      <c r="J24" s="233">
        <f t="shared" si="1"/>
        <v>307</v>
      </c>
      <c r="K24" s="233">
        <f t="shared" si="2"/>
        <v>43.857142857142854</v>
      </c>
      <c r="L24" s="234">
        <f t="shared" si="3"/>
        <v>94.393241167434709</v>
      </c>
      <c r="M24" s="234">
        <f t="shared" si="4"/>
        <v>94.105222734254994</v>
      </c>
      <c r="N24" s="234" t="e">
        <f>J24+'Sep ANXII'!N24</f>
        <v>#REF!</v>
      </c>
      <c r="O24" s="235" t="e">
        <f t="shared" si="5"/>
        <v>#REF!</v>
      </c>
      <c r="P24" s="234" t="e">
        <f t="shared" si="6"/>
        <v>#REF!</v>
      </c>
      <c r="Q24" s="234" t="e">
        <f t="shared" si="7"/>
        <v>#REF!</v>
      </c>
      <c r="R24" s="236"/>
      <c r="S24" s="236" t="e">
        <f t="shared" si="8"/>
        <v>#REF!</v>
      </c>
      <c r="T24" s="236" t="e">
        <f t="shared" si="8"/>
        <v>#REF!</v>
      </c>
    </row>
    <row r="25" spans="1:20" s="246" customFormat="1" ht="24.95" customHeight="1">
      <c r="A25" s="226">
        <v>12</v>
      </c>
      <c r="B25" s="227" t="s">
        <v>45</v>
      </c>
      <c r="C25" s="245">
        <v>11</v>
      </c>
      <c r="D25" s="245">
        <v>11</v>
      </c>
      <c r="E25" s="245">
        <v>20</v>
      </c>
      <c r="F25" s="233" t="e">
        <f>E25+'Sep ANXII'!F25</f>
        <v>#REF!</v>
      </c>
      <c r="G25" s="245">
        <v>133</v>
      </c>
      <c r="H25" s="245">
        <v>186</v>
      </c>
      <c r="I25" s="233">
        <f>G25+H25</f>
        <v>319</v>
      </c>
      <c r="J25" s="233">
        <f t="shared" si="1"/>
        <v>339</v>
      </c>
      <c r="K25" s="233">
        <f t="shared" si="2"/>
        <v>30.818181818181817</v>
      </c>
      <c r="L25" s="234">
        <f t="shared" si="3"/>
        <v>96.102150537634415</v>
      </c>
      <c r="M25" s="234">
        <f t="shared" si="4"/>
        <v>95.857771260997069</v>
      </c>
      <c r="N25" s="234" t="e">
        <f>J25+'Sep ANXII'!N25</f>
        <v>#REF!</v>
      </c>
      <c r="O25" s="235" t="e">
        <f t="shared" si="5"/>
        <v>#REF!</v>
      </c>
      <c r="P25" s="234" t="e">
        <f t="shared" si="6"/>
        <v>#REF!</v>
      </c>
      <c r="Q25" s="234" t="e">
        <f t="shared" si="7"/>
        <v>#REF!</v>
      </c>
      <c r="R25" s="236"/>
      <c r="S25" s="236" t="e">
        <f t="shared" si="8"/>
        <v>#REF!</v>
      </c>
      <c r="T25" s="236" t="e">
        <f t="shared" si="8"/>
        <v>#REF!</v>
      </c>
    </row>
    <row r="26" spans="1:20" s="246" customFormat="1" ht="24.95" customHeight="1">
      <c r="A26" s="226">
        <v>13</v>
      </c>
      <c r="B26" s="227" t="s">
        <v>46</v>
      </c>
      <c r="C26" s="245">
        <v>8</v>
      </c>
      <c r="D26" s="245">
        <v>8</v>
      </c>
      <c r="E26" s="245">
        <v>8</v>
      </c>
      <c r="F26" s="233" t="e">
        <f>E26+'Sep ANXII'!F26</f>
        <v>#REF!</v>
      </c>
      <c r="G26" s="245">
        <v>134</v>
      </c>
      <c r="H26" s="245">
        <v>85</v>
      </c>
      <c r="I26" s="233">
        <f t="shared" si="0"/>
        <v>219</v>
      </c>
      <c r="J26" s="233">
        <f t="shared" si="1"/>
        <v>227</v>
      </c>
      <c r="K26" s="233">
        <f t="shared" si="2"/>
        <v>28.375</v>
      </c>
      <c r="L26" s="234">
        <f t="shared" si="3"/>
        <v>96.320564516129039</v>
      </c>
      <c r="M26" s="234">
        <f t="shared" si="4"/>
        <v>96.186155913978496</v>
      </c>
      <c r="N26" s="234" t="e">
        <f>J26+'Sep ANXII'!N26</f>
        <v>#REF!</v>
      </c>
      <c r="O26" s="235" t="e">
        <f t="shared" si="5"/>
        <v>#REF!</v>
      </c>
      <c r="P26" s="234" t="e">
        <f t="shared" si="6"/>
        <v>#REF!</v>
      </c>
      <c r="Q26" s="234" t="e">
        <f t="shared" si="7"/>
        <v>#REF!</v>
      </c>
      <c r="R26" s="236"/>
      <c r="S26" s="236" t="e">
        <f t="shared" si="8"/>
        <v>#REF!</v>
      </c>
      <c r="T26" s="236" t="e">
        <f t="shared" si="8"/>
        <v>#REF!</v>
      </c>
    </row>
    <row r="27" spans="1:20" s="246" customFormat="1" ht="24.95" customHeight="1">
      <c r="A27" s="226">
        <v>14</v>
      </c>
      <c r="B27" s="227" t="s">
        <v>77</v>
      </c>
      <c r="C27" s="247">
        <v>4</v>
      </c>
      <c r="D27" s="247">
        <v>4</v>
      </c>
      <c r="E27" s="248">
        <v>1.24</v>
      </c>
      <c r="F27" s="233" t="e">
        <f>E27+'Sep ANXII'!F27</f>
        <v>#REF!</v>
      </c>
      <c r="G27" s="249">
        <v>30.43</v>
      </c>
      <c r="H27" s="248">
        <v>25.34</v>
      </c>
      <c r="I27" s="233">
        <f t="shared" si="0"/>
        <v>55.769999999999996</v>
      </c>
      <c r="J27" s="233">
        <f t="shared" si="1"/>
        <v>57.01</v>
      </c>
      <c r="K27" s="233">
        <f t="shared" si="2"/>
        <v>14.2525</v>
      </c>
      <c r="L27" s="234">
        <f t="shared" si="3"/>
        <v>98.126008064516128</v>
      </c>
      <c r="M27" s="234">
        <f t="shared" si="4"/>
        <v>98.084341397849457</v>
      </c>
      <c r="N27" s="234" t="e">
        <f>J27+'Sep ANXII'!N27</f>
        <v>#REF!</v>
      </c>
      <c r="O27" s="235" t="e">
        <f t="shared" si="5"/>
        <v>#REF!</v>
      </c>
      <c r="P27" s="234" t="e">
        <f t="shared" si="6"/>
        <v>#REF!</v>
      </c>
      <c r="Q27" s="234" t="e">
        <f t="shared" si="7"/>
        <v>#REF!</v>
      </c>
      <c r="R27" s="236"/>
      <c r="S27" s="236" t="e">
        <f>L27-P27</f>
        <v>#REF!</v>
      </c>
      <c r="T27" s="236" t="e">
        <f>M27-Q27</f>
        <v>#REF!</v>
      </c>
    </row>
    <row r="28" spans="1:20" s="246" customFormat="1" ht="24.95" customHeight="1">
      <c r="A28" s="226">
        <v>15</v>
      </c>
      <c r="B28" s="227" t="s">
        <v>47</v>
      </c>
      <c r="C28" s="250">
        <v>30</v>
      </c>
      <c r="D28" s="250">
        <v>30</v>
      </c>
      <c r="E28" s="251">
        <v>167</v>
      </c>
      <c r="F28" s="233" t="e">
        <f>E28+'Sep ANXII'!F28</f>
        <v>#REF!</v>
      </c>
      <c r="G28" s="252">
        <v>106</v>
      </c>
      <c r="H28" s="251">
        <v>96</v>
      </c>
      <c r="I28" s="233">
        <f t="shared" si="0"/>
        <v>202</v>
      </c>
      <c r="J28" s="233">
        <f t="shared" si="1"/>
        <v>369</v>
      </c>
      <c r="K28" s="233">
        <f t="shared" si="2"/>
        <v>12.3</v>
      </c>
      <c r="L28" s="234">
        <f t="shared" si="3"/>
        <v>99.09498207885305</v>
      </c>
      <c r="M28" s="234">
        <f t="shared" si="4"/>
        <v>98.346774193548384</v>
      </c>
      <c r="N28" s="234" t="e">
        <f>J28+'Sep ANXII'!N28</f>
        <v>#REF!</v>
      </c>
      <c r="O28" s="235" t="e">
        <f t="shared" si="5"/>
        <v>#REF!</v>
      </c>
      <c r="P28" s="234" t="e">
        <f t="shared" si="6"/>
        <v>#REF!</v>
      </c>
      <c r="Q28" s="234" t="e">
        <f t="shared" si="7"/>
        <v>#REF!</v>
      </c>
      <c r="R28" s="236"/>
      <c r="S28" s="236" t="e">
        <f t="shared" si="8"/>
        <v>#REF!</v>
      </c>
      <c r="T28" s="236" t="e">
        <f t="shared" si="8"/>
        <v>#REF!</v>
      </c>
    </row>
    <row r="29" spans="1:20" s="246" customFormat="1" ht="24.95" customHeight="1">
      <c r="A29" s="226">
        <v>16</v>
      </c>
      <c r="B29" s="227" t="s">
        <v>48</v>
      </c>
      <c r="C29" s="253">
        <v>15</v>
      </c>
      <c r="D29" s="253">
        <v>15</v>
      </c>
      <c r="E29" s="254">
        <v>97.35</v>
      </c>
      <c r="F29" s="233" t="e">
        <f>E29+'Sep ANXII'!F29</f>
        <v>#REF!</v>
      </c>
      <c r="G29" s="255">
        <v>52.4</v>
      </c>
      <c r="H29" s="254">
        <v>40.049999999999997</v>
      </c>
      <c r="I29" s="233">
        <f t="shared" si="0"/>
        <v>92.449999999999989</v>
      </c>
      <c r="J29" s="233">
        <f t="shared" si="1"/>
        <v>189.79999999999998</v>
      </c>
      <c r="K29" s="233">
        <f t="shared" si="2"/>
        <v>12.653333333333332</v>
      </c>
      <c r="L29" s="234">
        <f t="shared" si="3"/>
        <v>99.171594982078858</v>
      </c>
      <c r="M29" s="234">
        <f t="shared" si="4"/>
        <v>98.299283154121866</v>
      </c>
      <c r="N29" s="234" t="e">
        <f>J29+'Sep ANXII'!N29</f>
        <v>#REF!</v>
      </c>
      <c r="O29" s="235" t="e">
        <f t="shared" si="5"/>
        <v>#REF!</v>
      </c>
      <c r="P29" s="234" t="e">
        <f t="shared" si="6"/>
        <v>#REF!</v>
      </c>
      <c r="Q29" s="234" t="e">
        <f t="shared" si="7"/>
        <v>#REF!</v>
      </c>
      <c r="R29" s="236"/>
      <c r="S29" s="236" t="e">
        <f t="shared" si="8"/>
        <v>#REF!</v>
      </c>
      <c r="T29" s="236" t="e">
        <f t="shared" si="8"/>
        <v>#REF!</v>
      </c>
    </row>
    <row r="30" spans="1:20" s="246" customFormat="1" ht="24.95" customHeight="1">
      <c r="A30" s="226">
        <v>17</v>
      </c>
      <c r="B30" s="227" t="s">
        <v>63</v>
      </c>
      <c r="C30" s="256">
        <v>12</v>
      </c>
      <c r="D30" s="256">
        <v>12</v>
      </c>
      <c r="E30" s="257">
        <v>55.919166666666662</v>
      </c>
      <c r="F30" s="233" t="e">
        <f>E30+'Sep ANXII'!F30</f>
        <v>#REF!</v>
      </c>
      <c r="G30" s="258">
        <v>58.3</v>
      </c>
      <c r="H30" s="257">
        <v>38.479999999999997</v>
      </c>
      <c r="I30" s="233">
        <f t="shared" si="0"/>
        <v>96.78</v>
      </c>
      <c r="J30" s="233">
        <f t="shared" si="1"/>
        <v>152.69916666666666</v>
      </c>
      <c r="K30" s="233">
        <f t="shared" si="2"/>
        <v>12.724930555555554</v>
      </c>
      <c r="L30" s="234">
        <f t="shared" si="3"/>
        <v>98.915994623655905</v>
      </c>
      <c r="M30" s="234">
        <f t="shared" si="4"/>
        <v>98.289659871565107</v>
      </c>
      <c r="N30" s="234" t="e">
        <f>J30+'Sep ANXII'!N30</f>
        <v>#REF!</v>
      </c>
      <c r="O30" s="235" t="e">
        <f t="shared" si="5"/>
        <v>#REF!</v>
      </c>
      <c r="P30" s="234" t="e">
        <f t="shared" si="6"/>
        <v>#REF!</v>
      </c>
      <c r="Q30" s="234" t="e">
        <f t="shared" si="7"/>
        <v>#REF!</v>
      </c>
      <c r="R30" s="236"/>
      <c r="S30" s="236" t="e">
        <f t="shared" si="8"/>
        <v>#REF!</v>
      </c>
      <c r="T30" s="236" t="e">
        <f t="shared" si="8"/>
        <v>#REF!</v>
      </c>
    </row>
    <row r="31" spans="1:20" s="246" customFormat="1" ht="24.95" customHeight="1">
      <c r="A31" s="226">
        <v>18</v>
      </c>
      <c r="B31" s="227" t="s">
        <v>50</v>
      </c>
      <c r="C31" s="259">
        <v>49</v>
      </c>
      <c r="D31" s="259">
        <v>49</v>
      </c>
      <c r="E31" s="259">
        <v>182.25000000000003</v>
      </c>
      <c r="F31" s="233" t="e">
        <f>E31+'Sep ANXII'!F31</f>
        <v>#REF!</v>
      </c>
      <c r="G31" s="259">
        <v>1521.85</v>
      </c>
      <c r="H31" s="259">
        <v>2359.8500000000004</v>
      </c>
      <c r="I31" s="233">
        <f>G31+H31</f>
        <v>3881.7000000000003</v>
      </c>
      <c r="J31" s="233">
        <f>E31+I31</f>
        <v>4063.9500000000003</v>
      </c>
      <c r="K31" s="233">
        <f>J31/C31</f>
        <v>82.937755102040825</v>
      </c>
      <c r="L31" s="234">
        <f t="shared" si="3"/>
        <v>89.35236998025016</v>
      </c>
      <c r="M31" s="234">
        <f t="shared" si="4"/>
        <v>88.852452271231073</v>
      </c>
      <c r="N31" s="234" t="e">
        <f>J31+'Sep ANXII'!N31</f>
        <v>#REF!</v>
      </c>
      <c r="O31" s="235" t="e">
        <f t="shared" si="5"/>
        <v>#REF!</v>
      </c>
      <c r="P31" s="234" t="e">
        <f t="shared" si="6"/>
        <v>#REF!</v>
      </c>
      <c r="Q31" s="234" t="e">
        <f t="shared" si="7"/>
        <v>#REF!</v>
      </c>
      <c r="R31" s="236" t="str">
        <f>'[2]Annexure II'!B8</f>
        <v>Devanahalli</v>
      </c>
      <c r="S31" s="236" t="e">
        <f t="shared" si="8"/>
        <v>#REF!</v>
      </c>
      <c r="T31" s="236" t="e">
        <f t="shared" si="8"/>
        <v>#REF!</v>
      </c>
    </row>
    <row r="32" spans="1:20" s="246" customFormat="1" ht="24.95" customHeight="1">
      <c r="A32" s="226">
        <v>19</v>
      </c>
      <c r="B32" s="227" t="s">
        <v>51</v>
      </c>
      <c r="C32" s="259">
        <v>59</v>
      </c>
      <c r="D32" s="259">
        <v>59</v>
      </c>
      <c r="E32" s="259">
        <v>278.37</v>
      </c>
      <c r="F32" s="233" t="e">
        <f>E32+'Sep ANXII'!F32</f>
        <v>#REF!</v>
      </c>
      <c r="G32" s="259">
        <v>2407.2199999999998</v>
      </c>
      <c r="H32" s="259">
        <v>2973.6500000000005</v>
      </c>
      <c r="I32" s="233">
        <f t="shared" si="0"/>
        <v>5380.8700000000008</v>
      </c>
      <c r="J32" s="233">
        <f t="shared" si="1"/>
        <v>5659.2400000000007</v>
      </c>
      <c r="K32" s="233">
        <f t="shared" si="2"/>
        <v>95.919322033898311</v>
      </c>
      <c r="L32" s="234">
        <f t="shared" si="3"/>
        <v>87.741776016037903</v>
      </c>
      <c r="M32" s="234">
        <f t="shared" si="4"/>
        <v>87.107618006196461</v>
      </c>
      <c r="N32" s="234" t="e">
        <f>J32+'Sep ANXII'!N32</f>
        <v>#REF!</v>
      </c>
      <c r="O32" s="235" t="e">
        <f t="shared" si="5"/>
        <v>#REF!</v>
      </c>
      <c r="P32" s="234" t="e">
        <f t="shared" si="6"/>
        <v>#REF!</v>
      </c>
      <c r="Q32" s="234" t="e">
        <f t="shared" si="7"/>
        <v>#REF!</v>
      </c>
      <c r="R32" s="236" t="str">
        <f>'[2]Annexure II'!B9</f>
        <v>Hosakote</v>
      </c>
      <c r="S32" s="236" t="e">
        <f t="shared" si="8"/>
        <v>#REF!</v>
      </c>
      <c r="T32" s="236" t="e">
        <f t="shared" si="8"/>
        <v>#REF!</v>
      </c>
    </row>
    <row r="33" spans="1:20" s="246" customFormat="1" ht="24.95" customHeight="1">
      <c r="A33" s="226">
        <v>20</v>
      </c>
      <c r="B33" s="227" t="s">
        <v>52</v>
      </c>
      <c r="C33" s="259">
        <v>48</v>
      </c>
      <c r="D33" s="259">
        <v>48</v>
      </c>
      <c r="E33" s="259">
        <v>12.400000000000004</v>
      </c>
      <c r="F33" s="233" t="e">
        <f>E33+'Sep ANXII'!F33</f>
        <v>#REF!</v>
      </c>
      <c r="G33" s="259">
        <v>572.08000000000015</v>
      </c>
      <c r="H33" s="259">
        <v>557.65</v>
      </c>
      <c r="I33" s="233">
        <f t="shared" si="0"/>
        <v>1129.73</v>
      </c>
      <c r="J33" s="233">
        <f t="shared" si="1"/>
        <v>1142.1300000000001</v>
      </c>
      <c r="K33" s="233">
        <f t="shared" si="2"/>
        <v>23.794375000000002</v>
      </c>
      <c r="L33" s="234">
        <f t="shared" si="3"/>
        <v>96.836553539426504</v>
      </c>
      <c r="M33" s="234">
        <f t="shared" si="4"/>
        <v>96.801831317204318</v>
      </c>
      <c r="N33" s="234" t="e">
        <f>J33+'Sep ANXII'!N33</f>
        <v>#REF!</v>
      </c>
      <c r="O33" s="235" t="e">
        <f t="shared" si="5"/>
        <v>#REF!</v>
      </c>
      <c r="P33" s="234" t="e">
        <f t="shared" si="6"/>
        <v>#REF!</v>
      </c>
      <c r="Q33" s="234" t="e">
        <f t="shared" si="7"/>
        <v>#REF!</v>
      </c>
      <c r="R33" s="236" t="str">
        <f>'[2]Annexure II'!B10</f>
        <v>Nelamangala</v>
      </c>
      <c r="S33" s="236" t="e">
        <f t="shared" si="8"/>
        <v>#REF!</v>
      </c>
      <c r="T33" s="236" t="e">
        <f t="shared" si="8"/>
        <v>#REF!</v>
      </c>
    </row>
    <row r="34" spans="1:20" s="246" customFormat="1" ht="28.5" customHeight="1">
      <c r="A34" s="226">
        <v>21</v>
      </c>
      <c r="B34" s="227" t="s">
        <v>53</v>
      </c>
      <c r="C34" s="259">
        <v>36</v>
      </c>
      <c r="D34" s="259">
        <v>36</v>
      </c>
      <c r="E34" s="259">
        <v>25.700000000000017</v>
      </c>
      <c r="F34" s="233" t="e">
        <f>E34+'Sep ANXII'!F34</f>
        <v>#REF!</v>
      </c>
      <c r="G34" s="259">
        <v>241.10000000000005</v>
      </c>
      <c r="H34" s="259">
        <v>103.55000000000001</v>
      </c>
      <c r="I34" s="233">
        <f t="shared" si="0"/>
        <v>344.65000000000009</v>
      </c>
      <c r="J34" s="233">
        <f t="shared" si="1"/>
        <v>370.35000000000014</v>
      </c>
      <c r="K34" s="233">
        <f t="shared" si="2"/>
        <v>10.287500000000003</v>
      </c>
      <c r="L34" s="234">
        <f t="shared" si="3"/>
        <v>98.713224313022707</v>
      </c>
      <c r="M34" s="234">
        <f t="shared" si="4"/>
        <v>98.617271505376351</v>
      </c>
      <c r="N34" s="234" t="e">
        <f>J34+'Sep ANXII'!N34</f>
        <v>#REF!</v>
      </c>
      <c r="O34" s="235" t="e">
        <f t="shared" si="5"/>
        <v>#REF!</v>
      </c>
      <c r="P34" s="234" t="e">
        <f t="shared" si="6"/>
        <v>#REF!</v>
      </c>
      <c r="Q34" s="234" t="e">
        <f t="shared" si="7"/>
        <v>#REF!</v>
      </c>
      <c r="R34" s="236" t="str">
        <f>'[2]Annexure II'!B11</f>
        <v>Doddaballapura</v>
      </c>
      <c r="S34" s="236" t="e">
        <f t="shared" si="8"/>
        <v>#REF!</v>
      </c>
      <c r="T34" s="236" t="e">
        <f t="shared" si="8"/>
        <v>#REF!</v>
      </c>
    </row>
    <row r="35" spans="1:20" s="266" customFormat="1" ht="24.95" customHeight="1">
      <c r="A35" s="228">
        <v>22</v>
      </c>
      <c r="B35" s="229" t="s">
        <v>54</v>
      </c>
      <c r="C35" s="259">
        <f>14+12</f>
        <v>26</v>
      </c>
      <c r="D35" s="259">
        <v>26</v>
      </c>
      <c r="E35" s="259">
        <f>18.9+43.34</f>
        <v>62.24</v>
      </c>
      <c r="F35" s="260" t="e">
        <f>E35+'Sep ANXII'!F35</f>
        <v>#REF!</v>
      </c>
      <c r="G35" s="261">
        <f>379.3+21.09</f>
        <v>400.39</v>
      </c>
      <c r="H35" s="261">
        <f>348.5+2.54</f>
        <v>351.04</v>
      </c>
      <c r="I35" s="262">
        <f t="shared" si="0"/>
        <v>751.43000000000006</v>
      </c>
      <c r="J35" s="262">
        <f t="shared" si="1"/>
        <v>813.67000000000007</v>
      </c>
      <c r="K35" s="262">
        <f t="shared" si="2"/>
        <v>31.295000000000002</v>
      </c>
      <c r="L35" s="263">
        <f t="shared" si="3"/>
        <v>96.115436311000821</v>
      </c>
      <c r="M35" s="263">
        <f t="shared" si="4"/>
        <v>95.793682795698942</v>
      </c>
      <c r="N35" s="263" t="e">
        <f>J35+'Sep ANXII'!N35</f>
        <v>#REF!</v>
      </c>
      <c r="O35" s="264" t="e">
        <f t="shared" si="5"/>
        <v>#REF!</v>
      </c>
      <c r="P35" s="263" t="e">
        <f t="shared" si="6"/>
        <v>#REF!</v>
      </c>
      <c r="Q35" s="263" t="e">
        <f t="shared" si="7"/>
        <v>#REF!</v>
      </c>
      <c r="R35" s="265" t="str">
        <f>'[2]Annexure II'!B12</f>
        <v>Magadi</v>
      </c>
      <c r="S35" s="265" t="e">
        <f t="shared" si="8"/>
        <v>#REF!</v>
      </c>
      <c r="T35" s="265" t="e">
        <f t="shared" si="8"/>
        <v>#REF!</v>
      </c>
    </row>
    <row r="36" spans="1:20" s="246" customFormat="1" ht="24.95" customHeight="1">
      <c r="A36" s="226">
        <v>23</v>
      </c>
      <c r="B36" s="230" t="s">
        <v>49</v>
      </c>
      <c r="C36" s="267">
        <v>127</v>
      </c>
      <c r="D36" s="267">
        <v>127</v>
      </c>
      <c r="E36" s="268">
        <v>53.254166666666677</v>
      </c>
      <c r="F36" s="233" t="e">
        <f>E36+'Sep ANXII'!F36</f>
        <v>#REF!</v>
      </c>
      <c r="G36" s="269">
        <v>53.254166666666677</v>
      </c>
      <c r="H36" s="269">
        <v>20.256944444444446</v>
      </c>
      <c r="I36" s="233">
        <f>G36+H36</f>
        <v>73.51111111111112</v>
      </c>
      <c r="J36" s="233">
        <f t="shared" si="1"/>
        <v>126.7652777777778</v>
      </c>
      <c r="K36" s="233">
        <f t="shared" si="2"/>
        <v>0.99815179352580941</v>
      </c>
      <c r="L36" s="234">
        <f t="shared" si="3"/>
        <v>99.922200585141908</v>
      </c>
      <c r="M36" s="234">
        <f t="shared" si="4"/>
        <v>99.865839812698141</v>
      </c>
      <c r="N36" s="234" t="e">
        <f>J36+'Sep ANXII'!N36</f>
        <v>#REF!</v>
      </c>
      <c r="O36" s="235" t="e">
        <f t="shared" si="5"/>
        <v>#REF!</v>
      </c>
      <c r="P36" s="234" t="e">
        <f t="shared" si="6"/>
        <v>#REF!</v>
      </c>
      <c r="Q36" s="234" t="e">
        <f t="shared" si="7"/>
        <v>#REF!</v>
      </c>
      <c r="R36" s="236" t="str">
        <f>'[2]Annexure II'!B7</f>
        <v>Anekal</v>
      </c>
      <c r="S36" s="236" t="e">
        <f>L36-P36</f>
        <v>#REF!</v>
      </c>
      <c r="T36" s="236" t="e">
        <f>M36-Q36</f>
        <v>#REF!</v>
      </c>
    </row>
    <row r="37" spans="1:20" s="246" customFormat="1" ht="24.95" customHeight="1">
      <c r="A37" s="226">
        <v>24</v>
      </c>
      <c r="B37" s="230" t="s">
        <v>32</v>
      </c>
      <c r="C37" s="270">
        <v>24</v>
      </c>
      <c r="D37" s="270">
        <v>24</v>
      </c>
      <c r="E37" s="268">
        <v>8.5299999999999994</v>
      </c>
      <c r="F37" s="233" t="e">
        <f>E37+'Sep ANXII'!F37</f>
        <v>#REF!</v>
      </c>
      <c r="G37" s="269">
        <v>28.369999999999997</v>
      </c>
      <c r="H37" s="269">
        <v>40.379999999999995</v>
      </c>
      <c r="I37" s="233">
        <f t="shared" si="0"/>
        <v>68.75</v>
      </c>
      <c r="J37" s="233">
        <f t="shared" si="1"/>
        <v>77.28</v>
      </c>
      <c r="K37" s="233">
        <f t="shared" si="2"/>
        <v>3.22</v>
      </c>
      <c r="L37" s="234">
        <f t="shared" si="3"/>
        <v>99.614975358422939</v>
      </c>
      <c r="M37" s="234">
        <f t="shared" si="4"/>
        <v>99.567204301075265</v>
      </c>
      <c r="N37" s="234" t="e">
        <f>J37+'Sep ANXII'!N37</f>
        <v>#REF!</v>
      </c>
      <c r="O37" s="235" t="e">
        <f t="shared" si="5"/>
        <v>#REF!</v>
      </c>
      <c r="P37" s="234" t="e">
        <f t="shared" si="6"/>
        <v>#REF!</v>
      </c>
      <c r="Q37" s="234" t="e">
        <f t="shared" si="7"/>
        <v>#REF!</v>
      </c>
      <c r="R37" s="236" t="str">
        <f>'[2]Annexure II'!B13</f>
        <v>Ramanagara</v>
      </c>
      <c r="S37" s="236" t="e">
        <f t="shared" si="8"/>
        <v>#REF!</v>
      </c>
      <c r="T37" s="236" t="e">
        <f t="shared" si="8"/>
        <v>#REF!</v>
      </c>
    </row>
    <row r="38" spans="1:20" s="246" customFormat="1" ht="24.95" customHeight="1">
      <c r="A38" s="226">
        <v>25</v>
      </c>
      <c r="B38" s="230" t="s">
        <v>55</v>
      </c>
      <c r="C38" s="270">
        <v>7</v>
      </c>
      <c r="D38" s="270">
        <v>7</v>
      </c>
      <c r="E38" s="268">
        <v>4.8099999999999996</v>
      </c>
      <c r="F38" s="233" t="e">
        <f>E38+'Sep ANXII'!F38</f>
        <v>#REF!</v>
      </c>
      <c r="G38" s="268">
        <v>146.63999999999999</v>
      </c>
      <c r="H38" s="268">
        <v>35.11</v>
      </c>
      <c r="I38" s="233">
        <f t="shared" si="0"/>
        <v>181.75</v>
      </c>
      <c r="J38" s="233">
        <f t="shared" si="1"/>
        <v>186.56</v>
      </c>
      <c r="K38" s="233">
        <f t="shared" si="2"/>
        <v>26.651428571428571</v>
      </c>
      <c r="L38" s="234">
        <f t="shared" si="3"/>
        <v>96.510176651305684</v>
      </c>
      <c r="M38" s="234">
        <f t="shared" si="4"/>
        <v>96.417818740399369</v>
      </c>
      <c r="N38" s="234" t="e">
        <f>J38+'Sep ANXII'!N38</f>
        <v>#REF!</v>
      </c>
      <c r="O38" s="235" t="e">
        <f t="shared" si="5"/>
        <v>#REF!</v>
      </c>
      <c r="P38" s="234" t="e">
        <f t="shared" si="6"/>
        <v>#REF!</v>
      </c>
      <c r="Q38" s="234" t="e">
        <f t="shared" si="7"/>
        <v>#REF!</v>
      </c>
      <c r="R38" s="236" t="str">
        <f>'[2]Annexure II'!B14</f>
        <v>Channapatna</v>
      </c>
      <c r="S38" s="236" t="e">
        <f t="shared" si="8"/>
        <v>#REF!</v>
      </c>
      <c r="T38" s="236" t="e">
        <f t="shared" si="8"/>
        <v>#REF!</v>
      </c>
    </row>
    <row r="39" spans="1:20" s="246" customFormat="1" ht="24.95" customHeight="1">
      <c r="A39" s="226">
        <v>26</v>
      </c>
      <c r="B39" s="230" t="s">
        <v>56</v>
      </c>
      <c r="C39" s="270">
        <v>22</v>
      </c>
      <c r="D39" s="270">
        <v>22</v>
      </c>
      <c r="E39" s="268">
        <v>0.32638888888888884</v>
      </c>
      <c r="F39" s="233" t="e">
        <f>E39+'Sep ANXII'!F39</f>
        <v>#REF!</v>
      </c>
      <c r="G39" s="269">
        <v>7.4131944444444464</v>
      </c>
      <c r="H39" s="269">
        <v>2.541666666666667</v>
      </c>
      <c r="I39" s="233">
        <f t="shared" si="0"/>
        <v>9.9548611111111143</v>
      </c>
      <c r="J39" s="233">
        <f t="shared" si="1"/>
        <v>10.281250000000004</v>
      </c>
      <c r="K39" s="233">
        <f t="shared" si="2"/>
        <v>0.46732954545454564</v>
      </c>
      <c r="L39" s="234">
        <f t="shared" si="3"/>
        <v>99.939180956066025</v>
      </c>
      <c r="M39" s="234">
        <f t="shared" si="4"/>
        <v>99.937186889051802</v>
      </c>
      <c r="N39" s="234" t="e">
        <f>J39+'Sep ANXII'!N39</f>
        <v>#REF!</v>
      </c>
      <c r="O39" s="235" t="e">
        <f t="shared" si="5"/>
        <v>#REF!</v>
      </c>
      <c r="P39" s="234" t="e">
        <f t="shared" si="6"/>
        <v>#REF!</v>
      </c>
      <c r="Q39" s="234" t="e">
        <f t="shared" si="7"/>
        <v>#REF!</v>
      </c>
      <c r="R39" s="236" t="str">
        <f>'[2]Annexure II'!B15</f>
        <v>Kanakapura</v>
      </c>
      <c r="S39" s="236" t="e">
        <f t="shared" si="8"/>
        <v>#REF!</v>
      </c>
      <c r="T39" s="236" t="e">
        <f t="shared" si="8"/>
        <v>#REF!</v>
      </c>
    </row>
    <row r="40" spans="1:20" s="1" customFormat="1" ht="24.95" customHeight="1">
      <c r="A40" s="177"/>
      <c r="B40" s="274"/>
      <c r="C40">
        <f>SUM(C14:C39)</f>
        <v>516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 s="154"/>
      <c r="S40" s="154"/>
      <c r="T40" s="154"/>
    </row>
    <row r="41" spans="1:20" s="1" customFormat="1" ht="24.95" customHeight="1">
      <c r="A41" s="865" t="s">
        <v>116</v>
      </c>
      <c r="B41" s="865"/>
      <c r="C41" s="865"/>
      <c r="D41" s="865"/>
      <c r="E41" s="865"/>
      <c r="F41" s="865"/>
      <c r="G41" s="865"/>
      <c r="H41" s="865"/>
      <c r="I41" s="865"/>
      <c r="J41" s="865"/>
      <c r="K41" s="865"/>
      <c r="L41" s="865"/>
      <c r="M41" s="865"/>
      <c r="N41" s="865"/>
      <c r="O41" s="865"/>
      <c r="P41" s="865"/>
      <c r="Q41" s="865"/>
      <c r="R41" s="154"/>
      <c r="S41" s="154"/>
      <c r="T41" s="154"/>
    </row>
    <row r="42" spans="1:20" ht="18.75" customHeight="1" thickBot="1">
      <c r="B42" s="275"/>
      <c r="C42" s="160">
        <f>SUM(C14:C39)</f>
        <v>516</v>
      </c>
      <c r="D42" s="160">
        <f t="shared" ref="D42:O42" si="9">SUM(D14:D39)</f>
        <v>516</v>
      </c>
      <c r="E42" s="160">
        <f t="shared" si="9"/>
        <v>1050.2371572729271</v>
      </c>
      <c r="F42" s="160" t="e">
        <f t="shared" si="9"/>
        <v>#REF!</v>
      </c>
      <c r="G42" s="160">
        <f t="shared" si="9"/>
        <v>6305.5923611111111</v>
      </c>
      <c r="H42" s="160">
        <f t="shared" si="9"/>
        <v>7127.4586111111112</v>
      </c>
      <c r="I42" s="160">
        <f t="shared" si="9"/>
        <v>13433.050972222223</v>
      </c>
      <c r="J42" s="160">
        <f t="shared" si="9"/>
        <v>14483.288129495153</v>
      </c>
      <c r="K42" s="160">
        <f t="shared" si="9"/>
        <v>627.69675899985293</v>
      </c>
      <c r="L42" s="64">
        <f>+(((C42*24)*30)-I42)*100/((C42*24)*30)</f>
        <v>96.384299372248535</v>
      </c>
      <c r="M42" s="64">
        <f>+(((C42*24)*30)-J42)*100/((C42*24)*30)</f>
        <v>96.101612798908491</v>
      </c>
      <c r="N42" s="160" t="e">
        <f t="shared" si="9"/>
        <v>#REF!</v>
      </c>
      <c r="O42" s="160" t="e">
        <f t="shared" si="9"/>
        <v>#REF!</v>
      </c>
      <c r="P42" s="64" t="e">
        <f>((C42*24*30)-(N42-E42))*100/(C42*24*30)</f>
        <v>#REF!</v>
      </c>
      <c r="Q42" s="64" t="e">
        <f>((C42*24*30)-(N42))*100/(C42*24*30)</f>
        <v>#REF!</v>
      </c>
    </row>
    <row r="43" spans="1:20" s="175" customFormat="1" ht="63" customHeight="1" thickBot="1">
      <c r="A43" s="846" t="s">
        <v>100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s="175" customFormat="1" ht="80.25" customHeight="1">
      <c r="A44" s="846" t="s">
        <v>101</v>
      </c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/>
      <c r="O44" s="847"/>
      <c r="P44" s="847"/>
      <c r="Q44" s="848"/>
    </row>
    <row r="45" spans="1:20" ht="20.25" hidden="1" customHeight="1">
      <c r="A45" s="839" t="s">
        <v>36</v>
      </c>
      <c r="B45" s="840"/>
      <c r="C45" s="840"/>
      <c r="D45" s="840"/>
      <c r="E45" s="840"/>
      <c r="F45" s="840"/>
      <c r="G45" s="840"/>
      <c r="H45" s="840"/>
      <c r="I45" s="840"/>
      <c r="J45" s="840"/>
      <c r="K45" s="840"/>
      <c r="L45" s="840"/>
      <c r="M45" s="840"/>
      <c r="N45" s="840"/>
      <c r="O45" s="840"/>
      <c r="P45" s="840"/>
      <c r="Q45" s="841"/>
    </row>
    <row r="46" spans="1:20" ht="27" hidden="1" customHeight="1" thickBot="1">
      <c r="A46" s="842"/>
      <c r="B46" s="843"/>
      <c r="C46" s="843"/>
      <c r="D46" s="843"/>
      <c r="E46" s="843"/>
      <c r="F46" s="843"/>
      <c r="G46" s="843"/>
      <c r="H46" s="843"/>
      <c r="I46" s="843"/>
      <c r="J46" s="843"/>
      <c r="K46" s="843"/>
      <c r="L46" s="843"/>
      <c r="M46" s="843"/>
      <c r="N46" s="843"/>
      <c r="O46" s="843"/>
      <c r="P46" s="843"/>
      <c r="Q46" s="844"/>
    </row>
    <row r="47" spans="1:20" hidden="1"/>
    <row r="54" spans="3:17">
      <c r="C54" s="146" t="e">
        <f>su</f>
        <v>#NAME?</v>
      </c>
      <c r="P54" s="161"/>
      <c r="Q54" s="161"/>
    </row>
    <row r="55" spans="3:17">
      <c r="C55" s="160"/>
      <c r="N55" s="161"/>
    </row>
    <row r="56" spans="3:17">
      <c r="N56" s="161"/>
    </row>
    <row r="58" spans="3:17">
      <c r="H58" s="146">
        <f>4667/89</f>
        <v>52.438202247191015</v>
      </c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>
      <c r="G70" s="162"/>
      <c r="H70" s="162"/>
      <c r="I70" s="162"/>
      <c r="J70" s="162"/>
      <c r="K70" s="162"/>
      <c r="L70" s="162"/>
      <c r="M70" s="162"/>
    </row>
    <row r="71" spans="7:18" ht="20.25">
      <c r="G71" s="162"/>
      <c r="H71" s="162"/>
      <c r="I71" s="163">
        <f>20000</f>
        <v>20000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5000</v>
      </c>
      <c r="J73" s="162"/>
      <c r="K73" s="162"/>
      <c r="L73" s="162"/>
      <c r="M73" s="162"/>
    </row>
    <row r="74" spans="7:18" ht="20.25">
      <c r="G74" s="162"/>
      <c r="H74" s="162"/>
      <c r="I74" s="163">
        <v>8000</v>
      </c>
      <c r="J74" s="162"/>
      <c r="K74" s="162"/>
      <c r="L74" s="162"/>
      <c r="M74" s="162"/>
    </row>
    <row r="75" spans="7:18" ht="20.25">
      <c r="G75" s="162"/>
      <c r="H75" s="162"/>
      <c r="I75" s="163">
        <f>SUM(I72:I74)</f>
        <v>18000</v>
      </c>
      <c r="J75" s="162"/>
      <c r="K75" s="162"/>
      <c r="L75" s="162"/>
      <c r="M75" s="162"/>
    </row>
    <row r="76" spans="7:18" ht="20.25">
      <c r="G76" s="162"/>
      <c r="H76" s="162"/>
      <c r="I76" s="163">
        <f>I71-I75</f>
        <v>2000</v>
      </c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2"/>
      <c r="M77" s="162"/>
    </row>
    <row r="78" spans="7:18" ht="20.25">
      <c r="G78" s="162"/>
      <c r="H78" s="162"/>
      <c r="I78" s="163"/>
      <c r="J78" s="162"/>
      <c r="K78" s="162"/>
      <c r="L78" s="161">
        <f>L14+L15+L16+L18+L17+L19+L20+L21+L22+L23+L24+L25+L26+L27+L28+L29+L30+L36+L31+L32+L33+L34+L35+L37+L38+L39</f>
        <v>2524.3276938549748</v>
      </c>
      <c r="M78" s="161">
        <f>M14+M15+M16+M18+M17+M19+M20+M21+M22+M23+M24+M25+M26+M27+M28+M29+M30+M36+M31+M32+M33+M34+M35+M37+M38+M39</f>
        <v>2515.6321560484071</v>
      </c>
      <c r="P78" s="161" t="e">
        <f>P14+P15+P16+P18+P17+P19+P20+P21+P22+P23+P24+P25+P26+P27+P28+P29+P30+P36+P31+P32+P33+P34+P35+P37+P38+P39</f>
        <v>#REF!</v>
      </c>
      <c r="Q78" s="161" t="e">
        <f>Q14+Q15+Q16+Q18+Q17+Q19+Q20+Q21+Q22+Q23+Q24+Q25+Q26+Q27+Q28+Q29+Q30+Q36+Q31+Q32+Q33+Q34+Q35+Q37+Q38+Q39</f>
        <v>#REF!</v>
      </c>
      <c r="R78" s="161" t="e">
        <f>R14+R15+R16+R18+R17+R19+R20+R23+R24+R25+R26+R27+R28+R29+R30+R36+R31+R32+R33+R34+R35+R37+R38+R39</f>
        <v>#VALUE!</v>
      </c>
    </row>
    <row r="79" spans="7:18">
      <c r="G79" s="162"/>
      <c r="H79" s="162"/>
      <c r="I79" s="162"/>
      <c r="J79" s="162"/>
      <c r="K79" s="162"/>
      <c r="L79" s="146">
        <f>L78/26</f>
        <v>97.089526686729798</v>
      </c>
      <c r="M79" s="146">
        <f>M78/26</f>
        <v>96.755082924938733</v>
      </c>
      <c r="P79" s="146" t="e">
        <f>P78/26</f>
        <v>#REF!</v>
      </c>
      <c r="Q79" s="146" t="e">
        <f>Q78/26</f>
        <v>#REF!</v>
      </c>
    </row>
    <row r="80" spans="7:18">
      <c r="G80" s="162"/>
      <c r="H80" s="162"/>
      <c r="I80" s="162"/>
      <c r="J80" s="162"/>
      <c r="K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  <row r="88" spans="7:13">
      <c r="G88" s="162"/>
      <c r="H88" s="162"/>
      <c r="I88" s="162"/>
      <c r="J88" s="162"/>
      <c r="K88" s="162"/>
      <c r="L88" s="162"/>
      <c r="M88" s="162"/>
    </row>
  </sheetData>
  <mergeCells count="17"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A45:Q46"/>
    <mergeCell ref="G11:I11"/>
    <mergeCell ref="J11:M11"/>
    <mergeCell ref="N11:Q11"/>
    <mergeCell ref="A41:Q41"/>
    <mergeCell ref="A43:Q43"/>
    <mergeCell ref="A44:Q44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2" manualBreakCount="2">
    <brk id="39" max="16" man="1"/>
    <brk id="41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view="pageBreakPreview" zoomScale="60" workbookViewId="0">
      <selection activeCell="I34" activeCellId="1" sqref="I34 L36"/>
    </sheetView>
  </sheetViews>
  <sheetFormatPr defaultRowHeight="12.75"/>
  <cols>
    <col min="1" max="1" width="5.85546875" style="47" customWidth="1"/>
    <col min="2" max="2" width="19.85546875" style="47" customWidth="1"/>
    <col min="3" max="3" width="8" style="47" customWidth="1"/>
    <col min="4" max="4" width="7.5703125" style="47" customWidth="1"/>
    <col min="5" max="5" width="11.28515625" style="47" customWidth="1"/>
    <col min="6" max="6" width="11" style="47" customWidth="1"/>
    <col min="7" max="7" width="14.5703125" style="47" customWidth="1"/>
    <col min="8" max="8" width="12.7109375" style="47" customWidth="1"/>
    <col min="9" max="9" width="12.5703125" style="47" customWidth="1"/>
    <col min="10" max="10" width="12.140625" style="47" customWidth="1"/>
    <col min="11" max="11" width="12.28515625" style="47" customWidth="1"/>
    <col min="12" max="12" width="14" style="47" customWidth="1"/>
    <col min="13" max="13" width="18.5703125" style="47" customWidth="1"/>
    <col min="14" max="14" width="13.28515625" style="47" customWidth="1"/>
    <col min="15" max="15" width="13.140625" style="47" customWidth="1"/>
    <col min="16" max="16" width="11.42578125" style="47" customWidth="1"/>
    <col min="17" max="17" width="11.28515625" style="47" customWidth="1"/>
    <col min="18" max="16384" width="9.140625" style="47"/>
  </cols>
  <sheetData>
    <row r="1" spans="1:17" ht="24.75" customHeight="1">
      <c r="A1" s="827" t="s">
        <v>0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</row>
    <row r="2" spans="1:17" ht="17.25" customHeight="1">
      <c r="A2" s="828" t="s">
        <v>57</v>
      </c>
      <c r="B2" s="828"/>
      <c r="C2" s="828"/>
      <c r="D2" s="828"/>
      <c r="E2" s="828"/>
      <c r="F2" s="828"/>
      <c r="G2" s="828"/>
      <c r="H2" s="828"/>
      <c r="I2" s="828"/>
      <c r="J2" s="828"/>
      <c r="K2" s="828"/>
      <c r="L2" s="828"/>
      <c r="M2" s="828"/>
      <c r="N2" s="828"/>
      <c r="O2" s="828"/>
      <c r="P2" s="828"/>
      <c r="Q2" s="828"/>
    </row>
    <row r="3" spans="1:17" s="48" customFormat="1" ht="18.75" customHeight="1">
      <c r="A3" s="829" t="s">
        <v>85</v>
      </c>
      <c r="B3" s="829"/>
      <c r="C3" s="829"/>
      <c r="D3" s="829"/>
      <c r="E3" s="829"/>
      <c r="F3" s="829"/>
      <c r="G3" s="829"/>
      <c r="H3" s="829"/>
      <c r="I3" s="829"/>
      <c r="J3" s="829"/>
      <c r="K3" s="829"/>
      <c r="L3" s="829"/>
      <c r="M3" s="829"/>
      <c r="N3" s="829"/>
      <c r="O3" s="829"/>
      <c r="P3" s="829"/>
      <c r="Q3" s="829"/>
    </row>
    <row r="4" spans="1:17" ht="14.25" customHeight="1">
      <c r="A4" s="830"/>
      <c r="B4" s="830"/>
      <c r="C4" s="830"/>
      <c r="D4" s="830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17" s="49" customFormat="1" ht="23.25" customHeight="1">
      <c r="A5" s="831" t="s">
        <v>2</v>
      </c>
      <c r="B5" s="831" t="s">
        <v>58</v>
      </c>
      <c r="C5" s="831" t="s">
        <v>4</v>
      </c>
      <c r="D5" s="831" t="s">
        <v>5</v>
      </c>
      <c r="E5" s="831" t="s">
        <v>6</v>
      </c>
      <c r="F5" s="831" t="s">
        <v>7</v>
      </c>
      <c r="G5" s="832" t="s">
        <v>39</v>
      </c>
      <c r="H5" s="832"/>
      <c r="I5" s="832"/>
      <c r="J5" s="832" t="s">
        <v>83</v>
      </c>
      <c r="K5" s="832"/>
      <c r="L5" s="832"/>
      <c r="M5" s="832"/>
      <c r="N5" s="832" t="s">
        <v>72</v>
      </c>
      <c r="O5" s="832"/>
      <c r="P5" s="832"/>
      <c r="Q5" s="832"/>
    </row>
    <row r="6" spans="1:17" s="49" customFormat="1" ht="87.75" customHeight="1">
      <c r="A6" s="831"/>
      <c r="B6" s="831"/>
      <c r="C6" s="831"/>
      <c r="D6" s="831"/>
      <c r="E6" s="831"/>
      <c r="F6" s="831"/>
      <c r="G6" s="54" t="s">
        <v>9</v>
      </c>
      <c r="H6" s="54" t="s">
        <v>10</v>
      </c>
      <c r="I6" s="54" t="s">
        <v>11</v>
      </c>
      <c r="J6" s="54" t="s">
        <v>12</v>
      </c>
      <c r="K6" s="54" t="s">
        <v>13</v>
      </c>
      <c r="L6" s="54" t="s">
        <v>78</v>
      </c>
      <c r="M6" s="54" t="s">
        <v>14</v>
      </c>
      <c r="N6" s="54" t="s">
        <v>59</v>
      </c>
      <c r="O6" s="54" t="s">
        <v>16</v>
      </c>
      <c r="P6" s="54" t="s">
        <v>17</v>
      </c>
      <c r="Q6" s="54" t="s">
        <v>18</v>
      </c>
    </row>
    <row r="7" spans="1:17" ht="18" customHeight="1">
      <c r="A7" s="50">
        <v>1</v>
      </c>
      <c r="B7" s="50" t="s">
        <v>40</v>
      </c>
      <c r="C7" s="50">
        <v>3</v>
      </c>
      <c r="D7" s="50">
        <v>4</v>
      </c>
      <c r="E7" s="50">
        <v>5</v>
      </c>
      <c r="F7" s="50" t="s">
        <v>19</v>
      </c>
      <c r="G7" s="50">
        <v>6</v>
      </c>
      <c r="H7" s="50">
        <v>7</v>
      </c>
      <c r="I7" s="50" t="s">
        <v>20</v>
      </c>
      <c r="J7" s="50" t="s">
        <v>21</v>
      </c>
      <c r="K7" s="51" t="s">
        <v>22</v>
      </c>
      <c r="L7" s="50" t="s">
        <v>23</v>
      </c>
      <c r="M7" s="50" t="s">
        <v>24</v>
      </c>
      <c r="N7" s="50">
        <v>13</v>
      </c>
      <c r="O7" s="50" t="s">
        <v>25</v>
      </c>
      <c r="P7" s="50">
        <v>15</v>
      </c>
      <c r="Q7" s="50">
        <v>16</v>
      </c>
    </row>
    <row r="8" spans="1:17" ht="24.95" customHeight="1">
      <c r="A8" s="44">
        <v>1</v>
      </c>
      <c r="B8" s="45" t="s">
        <v>60</v>
      </c>
      <c r="C8" s="55">
        <v>227</v>
      </c>
      <c r="D8" s="55">
        <v>224</v>
      </c>
      <c r="E8" s="56">
        <v>159.12</v>
      </c>
      <c r="F8" s="56">
        <f>E8</f>
        <v>159.12</v>
      </c>
      <c r="G8" s="56">
        <v>2968.969722222223</v>
      </c>
      <c r="H8" s="56">
        <v>2355.4599999999991</v>
      </c>
      <c r="I8" s="56">
        <f>G8+H8</f>
        <v>5324.4297222222222</v>
      </c>
      <c r="J8" s="56">
        <f>E8+I8</f>
        <v>5483.549722222222</v>
      </c>
      <c r="K8" s="56">
        <f>J8/C8</f>
        <v>24.156606705824768</v>
      </c>
      <c r="L8" s="57">
        <f>+(((C8*18)*30)-I8)*100/((C8*18)*30)</f>
        <v>95.656363417994598</v>
      </c>
      <c r="M8" s="57">
        <f>+(((C8*18)*30)-J8)*100/((C8*18)*30)</f>
        <v>95.526554313736156</v>
      </c>
      <c r="N8" s="56">
        <f>J8</f>
        <v>5483.549722222222</v>
      </c>
      <c r="O8" s="57">
        <f>N8/C8</f>
        <v>24.156606705824768</v>
      </c>
      <c r="P8" s="57">
        <f>((C8*18*30)-(N8-E8))*100/(C8*18*30)</f>
        <v>95.656363417994598</v>
      </c>
      <c r="Q8" s="57">
        <f>((C8*18*30)-(N8))*100/(C8*18*30)</f>
        <v>95.526554313736156</v>
      </c>
    </row>
    <row r="9" spans="1:17" ht="24.95" customHeight="1">
      <c r="A9" s="44">
        <v>2</v>
      </c>
      <c r="B9" s="45" t="s">
        <v>43</v>
      </c>
      <c r="C9" s="55">
        <v>152</v>
      </c>
      <c r="D9" s="55">
        <v>152</v>
      </c>
      <c r="E9" s="56">
        <v>153.19999999999999</v>
      </c>
      <c r="F9" s="56">
        <f t="shared" ref="F9:F30" si="0">E9</f>
        <v>153.19999999999999</v>
      </c>
      <c r="G9" s="56">
        <v>2388.04</v>
      </c>
      <c r="H9" s="56">
        <v>1819.1159722222221</v>
      </c>
      <c r="I9" s="56">
        <f t="shared" ref="I9:I30" si="1">G9+H9</f>
        <v>4207.1559722222219</v>
      </c>
      <c r="J9" s="56">
        <f t="shared" ref="J9:J30" si="2">E9+I9</f>
        <v>4360.3559722222217</v>
      </c>
      <c r="K9" s="56">
        <f t="shared" ref="K9:K30" si="3">J9/C9</f>
        <v>28.686552448830405</v>
      </c>
      <c r="L9" s="57">
        <f t="shared" ref="L9:L30" si="4">+(((C9*18)*30)-I9)*100/((C9*18)*30)</f>
        <v>94.874322645928089</v>
      </c>
      <c r="M9" s="57">
        <f t="shared" ref="M9:M30" si="5">+(((C9*18)*30)-J9)*100/((C9*18)*30)</f>
        <v>94.687675472438798</v>
      </c>
      <c r="N9" s="56">
        <f t="shared" ref="N9:N30" si="6">J9</f>
        <v>4360.3559722222217</v>
      </c>
      <c r="O9" s="57">
        <f t="shared" ref="O9:O30" si="7">N9/C9</f>
        <v>28.686552448830405</v>
      </c>
      <c r="P9" s="57">
        <f t="shared" ref="P9:P30" si="8">((C9*18*30)-(N9-E9))*100/(C9*18*30)</f>
        <v>94.874322645928089</v>
      </c>
      <c r="Q9" s="57">
        <f t="shared" ref="Q9:Q30" si="9">((C9*18*30)-(N9))*100/(C9*18*30)</f>
        <v>94.687675472438798</v>
      </c>
    </row>
    <row r="10" spans="1:17" ht="24.95" customHeight="1">
      <c r="A10" s="44">
        <v>3</v>
      </c>
      <c r="B10" s="45" t="s">
        <v>27</v>
      </c>
      <c r="C10" s="55">
        <v>178</v>
      </c>
      <c r="D10" s="55">
        <v>178</v>
      </c>
      <c r="E10" s="56">
        <v>125.13</v>
      </c>
      <c r="F10" s="56">
        <f t="shared" si="0"/>
        <v>125.13</v>
      </c>
      <c r="G10" s="56">
        <v>3383.18</v>
      </c>
      <c r="H10" s="56">
        <v>3735.09</v>
      </c>
      <c r="I10" s="56">
        <f t="shared" si="1"/>
        <v>7118.27</v>
      </c>
      <c r="J10" s="56">
        <f t="shared" si="2"/>
        <v>7243.4000000000005</v>
      </c>
      <c r="K10" s="56">
        <f t="shared" si="3"/>
        <v>40.693258426966295</v>
      </c>
      <c r="L10" s="57">
        <f t="shared" si="4"/>
        <v>92.594392426133993</v>
      </c>
      <c r="M10" s="57">
        <f t="shared" si="5"/>
        <v>92.464211402413653</v>
      </c>
      <c r="N10" s="56">
        <f t="shared" si="6"/>
        <v>7243.4000000000005</v>
      </c>
      <c r="O10" s="57">
        <f t="shared" si="7"/>
        <v>40.693258426966295</v>
      </c>
      <c r="P10" s="57">
        <f t="shared" si="8"/>
        <v>92.594392426133993</v>
      </c>
      <c r="Q10" s="57">
        <f t="shared" si="9"/>
        <v>92.464211402413653</v>
      </c>
    </row>
    <row r="11" spans="1:17" ht="24.95" customHeight="1">
      <c r="A11" s="44">
        <v>4</v>
      </c>
      <c r="B11" s="45" t="s">
        <v>44</v>
      </c>
      <c r="C11" s="55">
        <v>185</v>
      </c>
      <c r="D11" s="55">
        <v>185</v>
      </c>
      <c r="E11" s="56">
        <v>42.04</v>
      </c>
      <c r="F11" s="56">
        <f t="shared" si="0"/>
        <v>42.04</v>
      </c>
      <c r="G11" s="56">
        <v>1829.58</v>
      </c>
      <c r="H11" s="56">
        <v>785.98</v>
      </c>
      <c r="I11" s="56">
        <f t="shared" si="1"/>
        <v>2615.56</v>
      </c>
      <c r="J11" s="56">
        <f t="shared" si="2"/>
        <v>2657.6</v>
      </c>
      <c r="K11" s="56">
        <f t="shared" si="3"/>
        <v>14.365405405405404</v>
      </c>
      <c r="L11" s="57">
        <f t="shared" si="4"/>
        <v>97.381821821821816</v>
      </c>
      <c r="M11" s="57">
        <f t="shared" si="5"/>
        <v>97.339739739739741</v>
      </c>
      <c r="N11" s="56">
        <f t="shared" si="6"/>
        <v>2657.6</v>
      </c>
      <c r="O11" s="57">
        <f t="shared" si="7"/>
        <v>14.365405405405404</v>
      </c>
      <c r="P11" s="57">
        <f t="shared" si="8"/>
        <v>97.381821821821816</v>
      </c>
      <c r="Q11" s="57">
        <f t="shared" si="9"/>
        <v>97.339739739739741</v>
      </c>
    </row>
    <row r="12" spans="1:17" s="52" customFormat="1" ht="25.5" customHeight="1">
      <c r="A12" s="44">
        <v>5</v>
      </c>
      <c r="B12" s="46" t="s">
        <v>28</v>
      </c>
      <c r="C12" s="58">
        <v>332</v>
      </c>
      <c r="D12" s="58">
        <v>332</v>
      </c>
      <c r="E12" s="58">
        <v>121.4</v>
      </c>
      <c r="F12" s="56">
        <f t="shared" si="0"/>
        <v>121.4</v>
      </c>
      <c r="G12" s="56">
        <v>3917</v>
      </c>
      <c r="H12" s="56">
        <v>4514</v>
      </c>
      <c r="I12" s="56">
        <f t="shared" si="1"/>
        <v>8431</v>
      </c>
      <c r="J12" s="56">
        <f t="shared" si="2"/>
        <v>8552.4</v>
      </c>
      <c r="K12" s="56">
        <f t="shared" si="3"/>
        <v>25.76024096385542</v>
      </c>
      <c r="L12" s="57">
        <f t="shared" si="4"/>
        <v>95.297300312360548</v>
      </c>
      <c r="M12" s="57">
        <f t="shared" si="5"/>
        <v>95.229585006693441</v>
      </c>
      <c r="N12" s="56">
        <f t="shared" si="6"/>
        <v>8552.4</v>
      </c>
      <c r="O12" s="57">
        <f t="shared" si="7"/>
        <v>25.76024096385542</v>
      </c>
      <c r="P12" s="57">
        <f t="shared" si="8"/>
        <v>95.297300312360548</v>
      </c>
      <c r="Q12" s="57">
        <f t="shared" si="9"/>
        <v>95.229585006693441</v>
      </c>
    </row>
    <row r="13" spans="1:17" s="52" customFormat="1" ht="25.5" customHeight="1">
      <c r="A13" s="44">
        <v>6</v>
      </c>
      <c r="B13" s="46" t="s">
        <v>45</v>
      </c>
      <c r="C13" s="58">
        <v>187</v>
      </c>
      <c r="D13" s="58">
        <v>187</v>
      </c>
      <c r="E13" s="58">
        <v>126.3</v>
      </c>
      <c r="F13" s="56">
        <f t="shared" si="0"/>
        <v>126.3</v>
      </c>
      <c r="G13" s="56">
        <v>2206</v>
      </c>
      <c r="H13" s="56">
        <v>3689</v>
      </c>
      <c r="I13" s="56">
        <f t="shared" si="1"/>
        <v>5895</v>
      </c>
      <c r="J13" s="56">
        <f t="shared" si="2"/>
        <v>6021.3</v>
      </c>
      <c r="K13" s="56">
        <f t="shared" si="3"/>
        <v>32.199465240641715</v>
      </c>
      <c r="L13" s="57">
        <f t="shared" si="4"/>
        <v>94.162210338680921</v>
      </c>
      <c r="M13" s="57">
        <f t="shared" si="5"/>
        <v>94.037136066547831</v>
      </c>
      <c r="N13" s="56">
        <f t="shared" si="6"/>
        <v>6021.3</v>
      </c>
      <c r="O13" s="57">
        <f t="shared" si="7"/>
        <v>32.199465240641715</v>
      </c>
      <c r="P13" s="57">
        <f t="shared" si="8"/>
        <v>94.162210338680921</v>
      </c>
      <c r="Q13" s="57">
        <f t="shared" si="9"/>
        <v>94.037136066547831</v>
      </c>
    </row>
    <row r="14" spans="1:17" s="52" customFormat="1" ht="25.5" customHeight="1">
      <c r="A14" s="44">
        <v>7</v>
      </c>
      <c r="B14" s="46" t="s">
        <v>88</v>
      </c>
      <c r="C14" s="58">
        <v>257</v>
      </c>
      <c r="D14" s="58">
        <v>257</v>
      </c>
      <c r="E14" s="58">
        <v>38.5</v>
      </c>
      <c r="F14" s="56">
        <f t="shared" si="0"/>
        <v>38.5</v>
      </c>
      <c r="G14" s="56">
        <v>3312</v>
      </c>
      <c r="H14" s="56">
        <v>2878</v>
      </c>
      <c r="I14" s="56">
        <f t="shared" si="1"/>
        <v>6190</v>
      </c>
      <c r="J14" s="56">
        <f t="shared" si="2"/>
        <v>6228.5</v>
      </c>
      <c r="K14" s="56">
        <f t="shared" si="3"/>
        <v>24.235408560311285</v>
      </c>
      <c r="L14" s="57">
        <f t="shared" si="4"/>
        <v>95.539703127251769</v>
      </c>
      <c r="M14" s="57">
        <f t="shared" si="5"/>
        <v>95.511961377720127</v>
      </c>
      <c r="N14" s="56">
        <f t="shared" si="6"/>
        <v>6228.5</v>
      </c>
      <c r="O14" s="57">
        <f t="shared" si="7"/>
        <v>24.235408560311285</v>
      </c>
      <c r="P14" s="57">
        <f t="shared" si="8"/>
        <v>95.539703127251769</v>
      </c>
      <c r="Q14" s="57">
        <f t="shared" si="9"/>
        <v>95.511961377720127</v>
      </c>
    </row>
    <row r="15" spans="1:17" s="52" customFormat="1" ht="25.5" customHeight="1">
      <c r="A15" s="44">
        <v>8</v>
      </c>
      <c r="B15" s="46" t="s">
        <v>30</v>
      </c>
      <c r="C15" s="58">
        <v>134</v>
      </c>
      <c r="D15" s="59">
        <v>134</v>
      </c>
      <c r="E15" s="60">
        <v>25.46</v>
      </c>
      <c r="F15" s="56">
        <f t="shared" si="0"/>
        <v>25.46</v>
      </c>
      <c r="G15" s="56">
        <v>731.34</v>
      </c>
      <c r="H15" s="56">
        <v>498.48</v>
      </c>
      <c r="I15" s="56">
        <f t="shared" si="1"/>
        <v>1229.8200000000002</v>
      </c>
      <c r="J15" s="56">
        <f t="shared" si="2"/>
        <v>1255.2800000000002</v>
      </c>
      <c r="K15" s="56">
        <f t="shared" si="3"/>
        <v>9.3677611940298515</v>
      </c>
      <c r="L15" s="57">
        <f t="shared" si="4"/>
        <v>98.300414593698164</v>
      </c>
      <c r="M15" s="57">
        <f t="shared" si="5"/>
        <v>98.265229408512994</v>
      </c>
      <c r="N15" s="56">
        <f>J15</f>
        <v>1255.2800000000002</v>
      </c>
      <c r="O15" s="57">
        <f t="shared" si="7"/>
        <v>9.3677611940298515</v>
      </c>
      <c r="P15" s="57">
        <f t="shared" si="8"/>
        <v>98.300414593698164</v>
      </c>
      <c r="Q15" s="57">
        <f t="shared" si="9"/>
        <v>98.265229408512994</v>
      </c>
    </row>
    <row r="16" spans="1:17" s="52" customFormat="1" ht="25.5" customHeight="1">
      <c r="A16" s="44">
        <v>9</v>
      </c>
      <c r="B16" s="46" t="s">
        <v>47</v>
      </c>
      <c r="C16" s="58">
        <v>161</v>
      </c>
      <c r="D16" s="59">
        <v>161</v>
      </c>
      <c r="E16" s="60">
        <v>49.35</v>
      </c>
      <c r="F16" s="56">
        <f t="shared" si="0"/>
        <v>49.35</v>
      </c>
      <c r="G16" s="60">
        <v>497.3</v>
      </c>
      <c r="H16" s="60">
        <v>159</v>
      </c>
      <c r="I16" s="56">
        <f t="shared" si="1"/>
        <v>656.3</v>
      </c>
      <c r="J16" s="56">
        <f t="shared" si="2"/>
        <v>705.65</v>
      </c>
      <c r="K16" s="56">
        <f t="shared" si="3"/>
        <v>4.3829192546583853</v>
      </c>
      <c r="L16" s="57">
        <f t="shared" si="4"/>
        <v>99.245111571198521</v>
      </c>
      <c r="M16" s="57">
        <f t="shared" si="5"/>
        <v>99.188348286174374</v>
      </c>
      <c r="N16" s="56">
        <f t="shared" si="6"/>
        <v>705.65</v>
      </c>
      <c r="O16" s="57">
        <f t="shared" si="7"/>
        <v>4.3829192546583853</v>
      </c>
      <c r="P16" s="57">
        <f t="shared" si="8"/>
        <v>99.245111571198521</v>
      </c>
      <c r="Q16" s="57">
        <f t="shared" si="9"/>
        <v>99.188348286174374</v>
      </c>
    </row>
    <row r="17" spans="1:17" s="52" customFormat="1" ht="25.5" customHeight="1">
      <c r="A17" s="44">
        <v>10</v>
      </c>
      <c r="B17" s="46" t="s">
        <v>48</v>
      </c>
      <c r="C17" s="59">
        <v>172</v>
      </c>
      <c r="D17" s="59">
        <v>172</v>
      </c>
      <c r="E17" s="60">
        <v>83.03</v>
      </c>
      <c r="F17" s="56">
        <f t="shared" si="0"/>
        <v>83.03</v>
      </c>
      <c r="G17" s="60">
        <v>346.04</v>
      </c>
      <c r="H17" s="60">
        <v>257.38</v>
      </c>
      <c r="I17" s="56">
        <f t="shared" si="1"/>
        <v>603.42000000000007</v>
      </c>
      <c r="J17" s="56">
        <f t="shared" si="2"/>
        <v>686.45</v>
      </c>
      <c r="K17" s="56">
        <f t="shared" si="3"/>
        <v>3.9909883720930237</v>
      </c>
      <c r="L17" s="57">
        <f t="shared" si="4"/>
        <v>99.350322997416015</v>
      </c>
      <c r="M17" s="57">
        <f t="shared" si="5"/>
        <v>99.260928079242035</v>
      </c>
      <c r="N17" s="56">
        <f t="shared" si="6"/>
        <v>686.45</v>
      </c>
      <c r="O17" s="57">
        <f t="shared" si="7"/>
        <v>3.9909883720930237</v>
      </c>
      <c r="P17" s="57">
        <f t="shared" si="8"/>
        <v>99.350322997416015</v>
      </c>
      <c r="Q17" s="57">
        <f t="shared" si="9"/>
        <v>99.260928079242035</v>
      </c>
    </row>
    <row r="18" spans="1:17" s="52" customFormat="1" ht="25.5" customHeight="1">
      <c r="A18" s="44">
        <v>11</v>
      </c>
      <c r="B18" s="46" t="s">
        <v>63</v>
      </c>
      <c r="C18" s="59">
        <v>120</v>
      </c>
      <c r="D18" s="59">
        <v>120</v>
      </c>
      <c r="E18" s="60">
        <v>96.13</v>
      </c>
      <c r="F18" s="56">
        <f t="shared" si="0"/>
        <v>96.13</v>
      </c>
      <c r="G18" s="60">
        <v>694.15</v>
      </c>
      <c r="H18" s="60">
        <v>539.1</v>
      </c>
      <c r="I18" s="56">
        <f t="shared" si="1"/>
        <v>1233.25</v>
      </c>
      <c r="J18" s="56">
        <f t="shared" si="2"/>
        <v>1329.38</v>
      </c>
      <c r="K18" s="56">
        <f t="shared" si="3"/>
        <v>11.078166666666668</v>
      </c>
      <c r="L18" s="57">
        <f t="shared" si="4"/>
        <v>98.096836419753089</v>
      </c>
      <c r="M18" s="57">
        <f t="shared" si="5"/>
        <v>97.948487654320985</v>
      </c>
      <c r="N18" s="56">
        <f t="shared" si="6"/>
        <v>1329.38</v>
      </c>
      <c r="O18" s="57">
        <f t="shared" si="7"/>
        <v>11.078166666666668</v>
      </c>
      <c r="P18" s="57">
        <f t="shared" si="8"/>
        <v>98.096836419753089</v>
      </c>
      <c r="Q18" s="57">
        <f t="shared" si="9"/>
        <v>97.948487654320985</v>
      </c>
    </row>
    <row r="19" spans="1:17" s="52" customFormat="1" ht="25.5" customHeight="1">
      <c r="A19" s="124">
        <v>12</v>
      </c>
      <c r="B19" s="46" t="s">
        <v>50</v>
      </c>
      <c r="C19" s="59">
        <v>32</v>
      </c>
      <c r="D19" s="59">
        <v>32</v>
      </c>
      <c r="E19" s="60">
        <v>15.6</v>
      </c>
      <c r="F19" s="56">
        <f t="shared" si="0"/>
        <v>15.6</v>
      </c>
      <c r="G19" s="60">
        <v>325.61666666666673</v>
      </c>
      <c r="H19" s="60">
        <v>1833.2000000000003</v>
      </c>
      <c r="I19" s="56">
        <f t="shared" si="1"/>
        <v>2158.8166666666671</v>
      </c>
      <c r="J19" s="56">
        <f t="shared" si="2"/>
        <v>2174.416666666667</v>
      </c>
      <c r="K19" s="56">
        <f t="shared" si="3"/>
        <v>67.950520833333343</v>
      </c>
      <c r="L19" s="57">
        <f t="shared" si="4"/>
        <v>87.506847993827151</v>
      </c>
      <c r="M19" s="57">
        <f t="shared" si="5"/>
        <v>87.416570216049379</v>
      </c>
      <c r="N19" s="56">
        <f t="shared" si="6"/>
        <v>2174.416666666667</v>
      </c>
      <c r="O19" s="57">
        <f t="shared" si="7"/>
        <v>67.950520833333343</v>
      </c>
      <c r="P19" s="57">
        <f t="shared" si="8"/>
        <v>87.506847993827151</v>
      </c>
      <c r="Q19" s="57">
        <f t="shared" si="9"/>
        <v>87.416570216049379</v>
      </c>
    </row>
    <row r="20" spans="1:17" s="52" customFormat="1" ht="25.5" customHeight="1">
      <c r="A20" s="124">
        <v>13</v>
      </c>
      <c r="B20" s="46" t="s">
        <v>51</v>
      </c>
      <c r="C20" s="59">
        <v>32</v>
      </c>
      <c r="D20" s="59">
        <v>32</v>
      </c>
      <c r="E20" s="60">
        <v>55.739999999999995</v>
      </c>
      <c r="F20" s="56">
        <f t="shared" si="0"/>
        <v>55.739999999999995</v>
      </c>
      <c r="G20" s="60">
        <v>269.92999999999995</v>
      </c>
      <c r="H20" s="60">
        <v>758.48</v>
      </c>
      <c r="I20" s="56">
        <f t="shared" si="1"/>
        <v>1028.4099999999999</v>
      </c>
      <c r="J20" s="56">
        <f t="shared" si="2"/>
        <v>1084.1499999999999</v>
      </c>
      <c r="K20" s="56">
        <f t="shared" si="3"/>
        <v>33.879687499999996</v>
      </c>
      <c r="L20" s="57">
        <f t="shared" si="4"/>
        <v>94.048553240740745</v>
      </c>
      <c r="M20" s="57">
        <f t="shared" si="5"/>
        <v>93.725983796296291</v>
      </c>
      <c r="N20" s="56">
        <f t="shared" si="6"/>
        <v>1084.1499999999999</v>
      </c>
      <c r="O20" s="57">
        <f t="shared" si="7"/>
        <v>33.879687499999996</v>
      </c>
      <c r="P20" s="57">
        <f t="shared" si="8"/>
        <v>94.048553240740745</v>
      </c>
      <c r="Q20" s="57">
        <f t="shared" si="9"/>
        <v>93.725983796296291</v>
      </c>
    </row>
    <row r="21" spans="1:17" s="52" customFormat="1" ht="25.5" customHeight="1">
      <c r="A21" s="44">
        <v>12</v>
      </c>
      <c r="B21" s="46" t="s">
        <v>92</v>
      </c>
      <c r="C21" s="59">
        <f>SUM(C19:C20)</f>
        <v>64</v>
      </c>
      <c r="D21" s="59">
        <f>SUM(D19:D20)</f>
        <v>64</v>
      </c>
      <c r="E21" s="60">
        <f>SUM(E19:E20)</f>
        <v>71.339999999999989</v>
      </c>
      <c r="F21" s="56">
        <f t="shared" si="0"/>
        <v>71.339999999999989</v>
      </c>
      <c r="G21" s="59">
        <f>SUM(G19:G20)</f>
        <v>595.54666666666662</v>
      </c>
      <c r="H21" s="59">
        <f>SUM(H19:H20)</f>
        <v>2591.6800000000003</v>
      </c>
      <c r="I21" s="56">
        <f t="shared" si="1"/>
        <v>3187.2266666666669</v>
      </c>
      <c r="J21" s="56">
        <f t="shared" si="2"/>
        <v>3258.5666666666671</v>
      </c>
      <c r="K21" s="56">
        <f t="shared" si="3"/>
        <v>50.915104166666673</v>
      </c>
      <c r="L21" s="57">
        <f t="shared" si="4"/>
        <v>90.777700617283955</v>
      </c>
      <c r="M21" s="57">
        <f t="shared" si="5"/>
        <v>90.571277006172849</v>
      </c>
      <c r="N21" s="56">
        <f t="shared" si="6"/>
        <v>3258.5666666666671</v>
      </c>
      <c r="O21" s="57">
        <f t="shared" si="7"/>
        <v>50.915104166666673</v>
      </c>
      <c r="P21" s="57">
        <f t="shared" si="8"/>
        <v>90.777700617283955</v>
      </c>
      <c r="Q21" s="57">
        <f t="shared" si="9"/>
        <v>90.571277006172849</v>
      </c>
    </row>
    <row r="22" spans="1:17" s="52" customFormat="1" ht="25.5" customHeight="1">
      <c r="A22" s="124">
        <v>14</v>
      </c>
      <c r="B22" s="46" t="s">
        <v>52</v>
      </c>
      <c r="C22" s="59">
        <v>14</v>
      </c>
      <c r="D22" s="59">
        <v>14</v>
      </c>
      <c r="E22" s="60">
        <v>12.61</v>
      </c>
      <c r="F22" s="56">
        <f t="shared" si="0"/>
        <v>12.61</v>
      </c>
      <c r="G22" s="60">
        <v>116.73</v>
      </c>
      <c r="H22" s="60">
        <v>184.71</v>
      </c>
      <c r="I22" s="56">
        <f t="shared" si="1"/>
        <v>301.44</v>
      </c>
      <c r="J22" s="56">
        <f t="shared" si="2"/>
        <v>314.05</v>
      </c>
      <c r="K22" s="56">
        <f t="shared" si="3"/>
        <v>22.432142857142857</v>
      </c>
      <c r="L22" s="57">
        <f t="shared" si="4"/>
        <v>96.012698412698413</v>
      </c>
      <c r="M22" s="57">
        <f t="shared" si="5"/>
        <v>95.845899470899468</v>
      </c>
      <c r="N22" s="56">
        <f t="shared" si="6"/>
        <v>314.05</v>
      </c>
      <c r="O22" s="57">
        <f t="shared" si="7"/>
        <v>22.432142857142857</v>
      </c>
      <c r="P22" s="57">
        <f t="shared" si="8"/>
        <v>96.012698412698413</v>
      </c>
      <c r="Q22" s="57">
        <f t="shared" si="9"/>
        <v>95.845899470899468</v>
      </c>
    </row>
    <row r="23" spans="1:17" s="52" customFormat="1" ht="30" customHeight="1">
      <c r="A23" s="124">
        <v>15</v>
      </c>
      <c r="B23" s="46" t="s">
        <v>53</v>
      </c>
      <c r="C23" s="59">
        <v>35</v>
      </c>
      <c r="D23" s="59">
        <v>35</v>
      </c>
      <c r="E23" s="60">
        <v>27.700000000000003</v>
      </c>
      <c r="F23" s="56">
        <f t="shared" si="0"/>
        <v>27.700000000000003</v>
      </c>
      <c r="G23" s="60">
        <v>111.24999999999999</v>
      </c>
      <c r="H23" s="60">
        <v>546.60000000000014</v>
      </c>
      <c r="I23" s="56">
        <f t="shared" si="1"/>
        <v>657.85000000000014</v>
      </c>
      <c r="J23" s="56">
        <f t="shared" si="2"/>
        <v>685.55000000000018</v>
      </c>
      <c r="K23" s="56">
        <f t="shared" si="3"/>
        <v>19.587142857142862</v>
      </c>
      <c r="L23" s="57">
        <f t="shared" si="4"/>
        <v>96.519312169312187</v>
      </c>
      <c r="M23" s="57">
        <f t="shared" si="5"/>
        <v>96.372751322751327</v>
      </c>
      <c r="N23" s="56">
        <f t="shared" si="6"/>
        <v>685.55000000000018</v>
      </c>
      <c r="O23" s="57">
        <f t="shared" si="7"/>
        <v>19.587142857142862</v>
      </c>
      <c r="P23" s="57">
        <f t="shared" si="8"/>
        <v>96.519312169312187</v>
      </c>
      <c r="Q23" s="57">
        <f t="shared" si="9"/>
        <v>96.372751322751327</v>
      </c>
    </row>
    <row r="24" spans="1:17" s="52" customFormat="1" ht="25.5" customHeight="1">
      <c r="A24" s="124">
        <v>16</v>
      </c>
      <c r="B24" s="46" t="s">
        <v>54</v>
      </c>
      <c r="C24" s="59">
        <v>40</v>
      </c>
      <c r="D24" s="59">
        <v>40</v>
      </c>
      <c r="E24" s="60">
        <v>26.1</v>
      </c>
      <c r="F24" s="56">
        <f t="shared" si="0"/>
        <v>26.1</v>
      </c>
      <c r="G24" s="60">
        <v>249.05</v>
      </c>
      <c r="H24" s="60">
        <v>349.94999999999993</v>
      </c>
      <c r="I24" s="56">
        <f t="shared" si="1"/>
        <v>599</v>
      </c>
      <c r="J24" s="56">
        <f t="shared" si="2"/>
        <v>625.1</v>
      </c>
      <c r="K24" s="56">
        <f t="shared" si="3"/>
        <v>15.627500000000001</v>
      </c>
      <c r="L24" s="57">
        <f t="shared" si="4"/>
        <v>97.226851851851848</v>
      </c>
      <c r="M24" s="57">
        <f t="shared" si="5"/>
        <v>97.106018518518525</v>
      </c>
      <c r="N24" s="56">
        <f t="shared" si="6"/>
        <v>625.1</v>
      </c>
      <c r="O24" s="57">
        <f t="shared" si="7"/>
        <v>15.627500000000001</v>
      </c>
      <c r="P24" s="57">
        <f t="shared" si="8"/>
        <v>97.226851851851848</v>
      </c>
      <c r="Q24" s="57">
        <f t="shared" si="9"/>
        <v>97.106018518518525</v>
      </c>
    </row>
    <row r="25" spans="1:17" s="52" customFormat="1" ht="25.5" customHeight="1">
      <c r="A25" s="44">
        <v>13</v>
      </c>
      <c r="B25" s="46" t="s">
        <v>93</v>
      </c>
      <c r="C25" s="59">
        <f>C22+C23+C24</f>
        <v>89</v>
      </c>
      <c r="D25" s="59">
        <f>D22+D23+D24</f>
        <v>89</v>
      </c>
      <c r="E25" s="60">
        <f>E22+E23+E24</f>
        <v>66.41</v>
      </c>
      <c r="F25" s="56">
        <f t="shared" si="0"/>
        <v>66.41</v>
      </c>
      <c r="G25" s="59">
        <f>G22+G23+G24</f>
        <v>477.03</v>
      </c>
      <c r="H25" s="59">
        <f>H22+H23+H24</f>
        <v>1081.2600000000002</v>
      </c>
      <c r="I25" s="56">
        <f t="shared" si="1"/>
        <v>1558.2900000000002</v>
      </c>
      <c r="J25" s="56">
        <f t="shared" si="2"/>
        <v>1624.7000000000003</v>
      </c>
      <c r="K25" s="56">
        <f t="shared" si="3"/>
        <v>18.255056179775284</v>
      </c>
      <c r="L25" s="57">
        <f t="shared" si="4"/>
        <v>96.757615480649193</v>
      </c>
      <c r="M25" s="57">
        <f t="shared" si="5"/>
        <v>96.619434040782352</v>
      </c>
      <c r="N25" s="56">
        <f t="shared" si="6"/>
        <v>1624.7000000000003</v>
      </c>
      <c r="O25" s="57">
        <f t="shared" si="7"/>
        <v>18.255056179775284</v>
      </c>
      <c r="P25" s="57">
        <f t="shared" si="8"/>
        <v>96.757615480649193</v>
      </c>
      <c r="Q25" s="57">
        <f t="shared" si="9"/>
        <v>96.619434040782352</v>
      </c>
    </row>
    <row r="26" spans="1:17" s="52" customFormat="1" ht="29.25" customHeight="1">
      <c r="A26" s="44">
        <v>14</v>
      </c>
      <c r="B26" s="46" t="s">
        <v>94</v>
      </c>
      <c r="C26" s="59">
        <v>19</v>
      </c>
      <c r="D26" s="59">
        <v>19</v>
      </c>
      <c r="E26" s="60">
        <v>0.51041666666666663</v>
      </c>
      <c r="F26" s="56">
        <f t="shared" si="0"/>
        <v>0.51041666666666663</v>
      </c>
      <c r="G26" s="60">
        <v>23.985416666666666</v>
      </c>
      <c r="H26" s="60">
        <v>4.4854166666666666</v>
      </c>
      <c r="I26" s="56">
        <f t="shared" si="1"/>
        <v>28.470833333333331</v>
      </c>
      <c r="J26" s="56">
        <f t="shared" si="2"/>
        <v>28.981249999999999</v>
      </c>
      <c r="K26" s="56">
        <f t="shared" si="3"/>
        <v>1.5253289473684211</v>
      </c>
      <c r="L26" s="57">
        <f t="shared" si="4"/>
        <v>99.722506497725803</v>
      </c>
      <c r="M26" s="57">
        <f t="shared" si="5"/>
        <v>99.717531676413245</v>
      </c>
      <c r="N26" s="56">
        <f>J26</f>
        <v>28.981249999999999</v>
      </c>
      <c r="O26" s="57">
        <f t="shared" si="7"/>
        <v>1.5253289473684211</v>
      </c>
      <c r="P26" s="57">
        <f t="shared" si="8"/>
        <v>99.722506497725803</v>
      </c>
      <c r="Q26" s="57">
        <f t="shared" si="9"/>
        <v>99.717531676413245</v>
      </c>
    </row>
    <row r="27" spans="1:17" s="52" customFormat="1" ht="25.5" hidden="1" customHeight="1">
      <c r="A27" s="124">
        <v>18</v>
      </c>
      <c r="B27" s="46" t="s">
        <v>32</v>
      </c>
      <c r="C27" s="59">
        <v>34</v>
      </c>
      <c r="D27" s="59">
        <v>34</v>
      </c>
      <c r="E27" s="60">
        <v>56.59</v>
      </c>
      <c r="F27" s="56">
        <f t="shared" si="0"/>
        <v>56.59</v>
      </c>
      <c r="G27" s="60">
        <v>62.51</v>
      </c>
      <c r="H27" s="60">
        <v>11.54</v>
      </c>
      <c r="I27" s="56">
        <f t="shared" si="1"/>
        <v>74.05</v>
      </c>
      <c r="J27" s="56">
        <f t="shared" si="2"/>
        <v>130.63999999999999</v>
      </c>
      <c r="K27" s="56">
        <f t="shared" si="3"/>
        <v>3.8423529411764701</v>
      </c>
      <c r="L27" s="57">
        <f t="shared" si="4"/>
        <v>99.596677559912848</v>
      </c>
      <c r="M27" s="57">
        <f t="shared" si="5"/>
        <v>99.288453159041396</v>
      </c>
      <c r="N27" s="56">
        <f t="shared" si="6"/>
        <v>130.63999999999999</v>
      </c>
      <c r="O27" s="57">
        <f t="shared" si="7"/>
        <v>3.8423529411764701</v>
      </c>
      <c r="P27" s="57">
        <f t="shared" si="8"/>
        <v>99.596677559912848</v>
      </c>
      <c r="Q27" s="57">
        <f t="shared" si="9"/>
        <v>99.288453159041396</v>
      </c>
    </row>
    <row r="28" spans="1:17" s="52" customFormat="1" ht="25.5" hidden="1" customHeight="1">
      <c r="A28" s="124">
        <v>19</v>
      </c>
      <c r="B28" s="46" t="s">
        <v>55</v>
      </c>
      <c r="C28" s="59">
        <v>47</v>
      </c>
      <c r="D28" s="59">
        <v>47</v>
      </c>
      <c r="E28" s="60">
        <v>21.41</v>
      </c>
      <c r="F28" s="56">
        <f t="shared" si="0"/>
        <v>21.41</v>
      </c>
      <c r="G28" s="60">
        <v>269.32208333333335</v>
      </c>
      <c r="H28" s="60">
        <v>162.9340277777778</v>
      </c>
      <c r="I28" s="56">
        <f t="shared" si="1"/>
        <v>432.25611111111118</v>
      </c>
      <c r="J28" s="56">
        <f t="shared" si="2"/>
        <v>453.66611111111121</v>
      </c>
      <c r="K28" s="56">
        <f t="shared" si="3"/>
        <v>9.6524704491725792</v>
      </c>
      <c r="L28" s="57">
        <f t="shared" si="4"/>
        <v>98.296863234392788</v>
      </c>
      <c r="M28" s="57">
        <f t="shared" si="5"/>
        <v>98.212505472375454</v>
      </c>
      <c r="N28" s="56">
        <f t="shared" si="6"/>
        <v>453.66611111111121</v>
      </c>
      <c r="O28" s="57">
        <f t="shared" si="7"/>
        <v>9.6524704491725792</v>
      </c>
      <c r="P28" s="57">
        <f t="shared" si="8"/>
        <v>98.296863234392788</v>
      </c>
      <c r="Q28" s="57">
        <f t="shared" si="9"/>
        <v>98.212505472375454</v>
      </c>
    </row>
    <row r="29" spans="1:17" s="52" customFormat="1" ht="25.5" customHeight="1">
      <c r="A29" s="44">
        <v>15</v>
      </c>
      <c r="B29" s="46" t="str">
        <f>B27</f>
        <v>Ramanagara</v>
      </c>
      <c r="C29" s="59">
        <f>SUM(C27:C28)</f>
        <v>81</v>
      </c>
      <c r="D29" s="59">
        <f>SUM(D27:D28)</f>
        <v>81</v>
      </c>
      <c r="E29" s="59">
        <f>SUM(E27:E28)</f>
        <v>78</v>
      </c>
      <c r="F29" s="56">
        <f t="shared" si="0"/>
        <v>78</v>
      </c>
      <c r="G29" s="59">
        <f>SUM(G27:G28)</f>
        <v>331.83208333333334</v>
      </c>
      <c r="H29" s="59">
        <f>SUM(H27:H28)</f>
        <v>174.47402777777779</v>
      </c>
      <c r="I29" s="56">
        <f t="shared" si="1"/>
        <v>506.30611111111114</v>
      </c>
      <c r="J29" s="56">
        <f t="shared" si="2"/>
        <v>584.30611111111114</v>
      </c>
      <c r="K29" s="56">
        <f t="shared" si="3"/>
        <v>7.213655692729767</v>
      </c>
      <c r="L29" s="57">
        <f t="shared" si="4"/>
        <v>98.842464309302443</v>
      </c>
      <c r="M29" s="57">
        <f t="shared" si="5"/>
        <v>98.664137834679678</v>
      </c>
      <c r="N29" s="56">
        <f t="shared" si="6"/>
        <v>584.30611111111114</v>
      </c>
      <c r="O29" s="57">
        <f t="shared" si="7"/>
        <v>7.213655692729767</v>
      </c>
      <c r="P29" s="57">
        <f t="shared" si="8"/>
        <v>98.842464309302443</v>
      </c>
      <c r="Q29" s="57">
        <f t="shared" si="9"/>
        <v>98.664137834679678</v>
      </c>
    </row>
    <row r="30" spans="1:17" s="52" customFormat="1" ht="25.5" customHeight="1">
      <c r="A30" s="44">
        <v>16</v>
      </c>
      <c r="B30" s="46" t="s">
        <v>56</v>
      </c>
      <c r="C30" s="59">
        <v>64</v>
      </c>
      <c r="D30" s="59">
        <v>64</v>
      </c>
      <c r="E30" s="60">
        <v>0.11597222222222221</v>
      </c>
      <c r="F30" s="56">
        <f t="shared" si="0"/>
        <v>0.11597222222222221</v>
      </c>
      <c r="G30" s="60">
        <v>41.69305555555556</v>
      </c>
      <c r="H30" s="60">
        <v>36.764583333333341</v>
      </c>
      <c r="I30" s="56">
        <f t="shared" si="1"/>
        <v>78.457638888888908</v>
      </c>
      <c r="J30" s="56">
        <f t="shared" si="2"/>
        <v>78.573611111111134</v>
      </c>
      <c r="K30" s="56">
        <f t="shared" si="3"/>
        <v>1.2277126736111115</v>
      </c>
      <c r="L30" s="57">
        <f t="shared" si="4"/>
        <v>99.772981368955755</v>
      </c>
      <c r="M30" s="57">
        <f t="shared" si="5"/>
        <v>99.772645801183131</v>
      </c>
      <c r="N30" s="56">
        <f t="shared" si="6"/>
        <v>78.573611111111134</v>
      </c>
      <c r="O30" s="57">
        <f t="shared" si="7"/>
        <v>1.2277126736111115</v>
      </c>
      <c r="P30" s="57">
        <f t="shared" si="8"/>
        <v>99.772981368955755</v>
      </c>
      <c r="Q30" s="57">
        <f t="shared" si="9"/>
        <v>99.772645801183131</v>
      </c>
    </row>
    <row r="33" spans="1:8" ht="15">
      <c r="A33" s="47" t="s">
        <v>95</v>
      </c>
      <c r="B33" s="127"/>
      <c r="C33" s="125"/>
      <c r="D33" s="125"/>
      <c r="E33" s="125"/>
      <c r="F33" s="125"/>
      <c r="G33" s="125"/>
      <c r="H33" s="125"/>
    </row>
    <row r="34" spans="1:8">
      <c r="B34" s="126" t="s">
        <v>98</v>
      </c>
    </row>
    <row r="35" spans="1:8">
      <c r="B35" s="126" t="s">
        <v>96</v>
      </c>
    </row>
    <row r="36" spans="1:8">
      <c r="B36" s="126" t="s">
        <v>97</v>
      </c>
    </row>
  </sheetData>
  <mergeCells count="13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G5:I5"/>
    <mergeCell ref="J5:M5"/>
    <mergeCell ref="N5:Q5"/>
  </mergeCells>
  <printOptions horizontalCentered="1"/>
  <pageMargins left="0" right="0" top="0.5" bottom="0" header="0.19" footer="0.5"/>
  <pageSetup paperSize="9" scale="67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topLeftCell="A7" zoomScale="85" zoomScaleSheetLayoutView="85" workbookViewId="0">
      <selection activeCell="I34" activeCellId="1" sqref="I34 L36"/>
    </sheetView>
  </sheetViews>
  <sheetFormatPr defaultRowHeight="15"/>
  <cols>
    <col min="1" max="1" width="5.85546875" style="222" customWidth="1"/>
    <col min="2" max="2" width="17.140625" style="222" customWidth="1"/>
    <col min="3" max="3" width="8" style="222" customWidth="1"/>
    <col min="4" max="4" width="7.5703125" style="222" customWidth="1"/>
    <col min="5" max="5" width="11.28515625" style="222" customWidth="1"/>
    <col min="6" max="6" width="15.5703125" style="222" customWidth="1"/>
    <col min="7" max="7" width="14.5703125" style="222" customWidth="1"/>
    <col min="8" max="8" width="12.7109375" style="222" customWidth="1"/>
    <col min="9" max="9" width="16.42578125" style="222" customWidth="1"/>
    <col min="10" max="10" width="18.5703125" style="222" customWidth="1"/>
    <col min="11" max="11" width="12.28515625" style="222" customWidth="1"/>
    <col min="12" max="12" width="14" style="222" customWidth="1"/>
    <col min="13" max="13" width="15.7109375" style="222" customWidth="1"/>
    <col min="14" max="14" width="17.28515625" style="222" customWidth="1"/>
    <col min="15" max="15" width="13.140625" style="222" customWidth="1"/>
    <col min="16" max="16" width="11.42578125" style="222" customWidth="1"/>
    <col min="17" max="17" width="14.85546875" style="222" customWidth="1"/>
    <col min="18" max="18" width="18.28515625" style="222" bestFit="1" customWidth="1"/>
    <col min="19" max="19" width="19" style="222" bestFit="1" customWidth="1"/>
    <col min="20" max="20" width="9.28515625" style="222" bestFit="1" customWidth="1"/>
    <col min="21" max="16384" width="9.140625" style="222"/>
  </cols>
  <sheetData>
    <row r="1" spans="1:20" ht="24.75" customHeight="1">
      <c r="A1" s="893" t="s">
        <v>0</v>
      </c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3"/>
    </row>
    <row r="2" spans="1:20" ht="17.25" customHeight="1">
      <c r="A2" s="835" t="s">
        <v>57</v>
      </c>
      <c r="B2" s="835"/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835"/>
      <c r="N2" s="835"/>
      <c r="O2" s="835"/>
      <c r="P2" s="835"/>
      <c r="Q2" s="835"/>
    </row>
    <row r="3" spans="1:20" s="84" customFormat="1" ht="18.75" customHeight="1">
      <c r="A3" s="826" t="s">
        <v>129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</row>
    <row r="4" spans="1:20" ht="14.25" customHeight="1">
      <c r="A4" s="894"/>
      <c r="B4" s="894"/>
      <c r="C4" s="894"/>
      <c r="D4" s="894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</row>
    <row r="5" spans="1:20" s="90" customFormat="1" ht="23.25" customHeight="1">
      <c r="A5" s="874" t="s">
        <v>2</v>
      </c>
      <c r="B5" s="874" t="s">
        <v>58</v>
      </c>
      <c r="C5" s="877" t="s">
        <v>4</v>
      </c>
      <c r="D5" s="877" t="s">
        <v>5</v>
      </c>
      <c r="E5" s="877" t="s">
        <v>6</v>
      </c>
      <c r="F5" s="874" t="s">
        <v>7</v>
      </c>
      <c r="G5" s="823" t="s">
        <v>39</v>
      </c>
      <c r="H5" s="823"/>
      <c r="I5" s="823"/>
      <c r="J5" s="823" t="s">
        <v>130</v>
      </c>
      <c r="K5" s="823"/>
      <c r="L5" s="823"/>
      <c r="M5" s="823"/>
      <c r="N5" s="823" t="s">
        <v>84</v>
      </c>
      <c r="O5" s="823"/>
      <c r="P5" s="823"/>
      <c r="Q5" s="823"/>
    </row>
    <row r="6" spans="1:20" s="90" customFormat="1" ht="87.75" customHeight="1">
      <c r="A6" s="874"/>
      <c r="B6" s="874"/>
      <c r="C6" s="877"/>
      <c r="D6" s="877"/>
      <c r="E6" s="877"/>
      <c r="F6" s="874"/>
      <c r="G6" s="223" t="s">
        <v>9</v>
      </c>
      <c r="H6" s="223" t="s">
        <v>10</v>
      </c>
      <c r="I6" s="224" t="s">
        <v>11</v>
      </c>
      <c r="J6" s="224" t="s">
        <v>12</v>
      </c>
      <c r="K6" s="224" t="s">
        <v>13</v>
      </c>
      <c r="L6" s="225" t="s">
        <v>78</v>
      </c>
      <c r="M6" s="225" t="s">
        <v>14</v>
      </c>
      <c r="N6" s="225" t="s">
        <v>59</v>
      </c>
      <c r="O6" s="224" t="s">
        <v>16</v>
      </c>
      <c r="P6" s="225" t="s">
        <v>17</v>
      </c>
      <c r="Q6" s="225" t="s">
        <v>18</v>
      </c>
    </row>
    <row r="7" spans="1:20" ht="18" customHeight="1">
      <c r="A7" s="219">
        <v>1</v>
      </c>
      <c r="B7" s="219" t="s">
        <v>40</v>
      </c>
      <c r="C7" s="281">
        <v>3</v>
      </c>
      <c r="D7" s="281">
        <v>4</v>
      </c>
      <c r="E7" s="281">
        <v>5</v>
      </c>
      <c r="F7" s="219" t="s">
        <v>19</v>
      </c>
      <c r="G7" s="281">
        <v>6</v>
      </c>
      <c r="H7" s="281">
        <v>7</v>
      </c>
      <c r="I7" s="219" t="s">
        <v>20</v>
      </c>
      <c r="J7" s="219" t="s">
        <v>21</v>
      </c>
      <c r="K7" s="220" t="s">
        <v>22</v>
      </c>
      <c r="L7" s="221" t="s">
        <v>23</v>
      </c>
      <c r="M7" s="221" t="s">
        <v>24</v>
      </c>
      <c r="N7" s="221">
        <v>13</v>
      </c>
      <c r="O7" s="219" t="s">
        <v>25</v>
      </c>
      <c r="P7" s="221">
        <v>15</v>
      </c>
      <c r="Q7" s="221">
        <v>16</v>
      </c>
    </row>
    <row r="8" spans="1:20" s="294" customFormat="1" ht="24.95" customHeight="1">
      <c r="A8" s="226">
        <v>1</v>
      </c>
      <c r="B8" s="227" t="s">
        <v>60</v>
      </c>
      <c r="C8" s="306">
        <v>229</v>
      </c>
      <c r="D8" s="306">
        <v>226</v>
      </c>
      <c r="E8" s="239">
        <v>42.15</v>
      </c>
      <c r="F8" s="233" t="e">
        <f>E8+'Sep ANXIII '!F8</f>
        <v>#REF!</v>
      </c>
      <c r="G8" s="240">
        <v>4145.9250000000011</v>
      </c>
      <c r="H8" s="240">
        <v>3016.3299999999986</v>
      </c>
      <c r="I8" s="233">
        <f>G8+H8</f>
        <v>7162.2549999999992</v>
      </c>
      <c r="J8" s="233">
        <f>E8+I8</f>
        <v>7204.4049999999988</v>
      </c>
      <c r="K8" s="233">
        <f>J8/C8</f>
        <v>31.460283842794755</v>
      </c>
      <c r="L8" s="234">
        <f>+(((C8*18)*31)-I8)*100/((C8*18)*31)</f>
        <v>94.394942167128391</v>
      </c>
      <c r="M8" s="234">
        <f>+(((C8*18)*31)-J8)*100/((C8*18)*31)</f>
        <v>94.36195630057442</v>
      </c>
      <c r="N8" s="234" t="e">
        <f>J8+'Sep ANXIII '!N8</f>
        <v>#REF!</v>
      </c>
      <c r="O8" s="235" t="e">
        <f>N8/C8</f>
        <v>#REF!</v>
      </c>
      <c r="P8" s="234" t="e">
        <f>((C8*18*214)-(N8-E8))*100/(C8*18*214)</f>
        <v>#REF!</v>
      </c>
      <c r="Q8" s="234" t="e">
        <f>((C8*18*214)-(N8))*100/(C8*18*214)</f>
        <v>#REF!</v>
      </c>
      <c r="R8" s="293" t="e">
        <f>L8-P8</f>
        <v>#REF!</v>
      </c>
      <c r="S8" s="293" t="e">
        <f>M8-Q8</f>
        <v>#REF!</v>
      </c>
    </row>
    <row r="9" spans="1:20" s="294" customFormat="1" ht="24.95" customHeight="1">
      <c r="A9" s="226">
        <v>2</v>
      </c>
      <c r="B9" s="227" t="s">
        <v>43</v>
      </c>
      <c r="C9" s="242">
        <v>167</v>
      </c>
      <c r="D9" s="242">
        <v>167</v>
      </c>
      <c r="E9" s="240">
        <v>23.8</v>
      </c>
      <c r="F9" s="233" t="e">
        <f>E9+'Sep ANXIII '!F9</f>
        <v>#REF!</v>
      </c>
      <c r="G9" s="240">
        <v>2211.5699999999997</v>
      </c>
      <c r="H9" s="240">
        <v>1470.8600000000001</v>
      </c>
      <c r="I9" s="233">
        <f t="shared" ref="I9:I30" si="0">G9+H9</f>
        <v>3682.43</v>
      </c>
      <c r="J9" s="233">
        <f t="shared" ref="J9:J30" si="1">E9+I9</f>
        <v>3706.23</v>
      </c>
      <c r="K9" s="233">
        <f t="shared" ref="K9:K30" si="2">J9/C9</f>
        <v>22.192994011976047</v>
      </c>
      <c r="L9" s="234">
        <f t="shared" ref="L9:L31" si="3">+(((C9*18)*31)-I9)*100/((C9*18)*31)</f>
        <v>96.048301246968435</v>
      </c>
      <c r="M9" s="234">
        <f t="shared" ref="M9:M31" si="4">+(((C9*18)*31)-J9)*100/((C9*18)*31)</f>
        <v>96.022760929753403</v>
      </c>
      <c r="N9" s="234" t="e">
        <f>J9+'Sep ANXIII '!N9</f>
        <v>#REF!</v>
      </c>
      <c r="O9" s="235" t="e">
        <f t="shared" ref="O9:O30" si="5">N9/C9</f>
        <v>#REF!</v>
      </c>
      <c r="P9" s="234" t="e">
        <f t="shared" ref="P9:P30" si="6">((C9*18*214)-(N9-E9))*100/(C9*18*214)</f>
        <v>#REF!</v>
      </c>
      <c r="Q9" s="234" t="e">
        <f t="shared" ref="Q9:Q30" si="7">((C9*18*214)-(N9))*100/(C9*18*214)</f>
        <v>#REF!</v>
      </c>
      <c r="R9" s="293" t="e">
        <f t="shared" ref="R9:S55" si="8">L9-P9</f>
        <v>#REF!</v>
      </c>
      <c r="S9" s="293" t="e">
        <f t="shared" si="8"/>
        <v>#REF!</v>
      </c>
    </row>
    <row r="10" spans="1:20" s="294" customFormat="1" ht="24.95" customHeight="1">
      <c r="A10" s="226">
        <v>3</v>
      </c>
      <c r="B10" s="227" t="s">
        <v>27</v>
      </c>
      <c r="C10" s="242">
        <v>178</v>
      </c>
      <c r="D10" s="242">
        <v>178</v>
      </c>
      <c r="E10" s="240">
        <v>188.52</v>
      </c>
      <c r="F10" s="233" t="e">
        <f>E10+'Sep ANXIII '!F10</f>
        <v>#REF!</v>
      </c>
      <c r="G10" s="240">
        <v>3592.54</v>
      </c>
      <c r="H10" s="240">
        <v>3617.58</v>
      </c>
      <c r="I10" s="233">
        <f t="shared" si="0"/>
        <v>7210.12</v>
      </c>
      <c r="J10" s="233">
        <f t="shared" si="1"/>
        <v>7398.64</v>
      </c>
      <c r="K10" s="233">
        <f t="shared" si="2"/>
        <v>41.565393258426965</v>
      </c>
      <c r="L10" s="234">
        <f t="shared" si="3"/>
        <v>92.74080786114132</v>
      </c>
      <c r="M10" s="234">
        <f t="shared" si="4"/>
        <v>92.551004792396597</v>
      </c>
      <c r="N10" s="234" t="e">
        <f>J10+'Sep ANXIII '!N10</f>
        <v>#REF!</v>
      </c>
      <c r="O10" s="235" t="e">
        <f t="shared" si="5"/>
        <v>#REF!</v>
      </c>
      <c r="P10" s="234" t="e">
        <f t="shared" si="6"/>
        <v>#REF!</v>
      </c>
      <c r="Q10" s="234" t="e">
        <f t="shared" si="7"/>
        <v>#REF!</v>
      </c>
      <c r="R10" s="293" t="e">
        <f t="shared" si="8"/>
        <v>#REF!</v>
      </c>
      <c r="S10" s="293" t="e">
        <f t="shared" si="8"/>
        <v>#REF!</v>
      </c>
    </row>
    <row r="11" spans="1:20" s="294" customFormat="1" ht="24.95" customHeight="1">
      <c r="A11" s="226">
        <v>4</v>
      </c>
      <c r="B11" s="227" t="s">
        <v>44</v>
      </c>
      <c r="C11" s="242">
        <v>192</v>
      </c>
      <c r="D11" s="242">
        <v>192</v>
      </c>
      <c r="E11" s="240">
        <v>47.109515048625603</v>
      </c>
      <c r="F11" s="233" t="e">
        <f>E11+'Sep ANXIII '!F11</f>
        <v>#REF!</v>
      </c>
      <c r="G11" s="240">
        <v>1895.73</v>
      </c>
      <c r="H11" s="240">
        <v>1034.5</v>
      </c>
      <c r="I11" s="233">
        <f t="shared" si="0"/>
        <v>2930.23</v>
      </c>
      <c r="J11" s="233">
        <f t="shared" si="1"/>
        <v>2977.3395150486258</v>
      </c>
      <c r="K11" s="233">
        <f t="shared" si="2"/>
        <v>15.506976640878259</v>
      </c>
      <c r="L11" s="234">
        <f t="shared" si="3"/>
        <v>97.264943623058542</v>
      </c>
      <c r="M11" s="234">
        <f t="shared" si="4"/>
        <v>97.220971928158008</v>
      </c>
      <c r="N11" s="234" t="e">
        <f>J11+'Sep ANXIII '!N11</f>
        <v>#REF!</v>
      </c>
      <c r="O11" s="235" t="e">
        <f t="shared" si="5"/>
        <v>#REF!</v>
      </c>
      <c r="P11" s="234" t="e">
        <f t="shared" si="6"/>
        <v>#REF!</v>
      </c>
      <c r="Q11" s="234" t="e">
        <f t="shared" si="7"/>
        <v>#REF!</v>
      </c>
      <c r="R11" s="293" t="e">
        <f t="shared" si="8"/>
        <v>#REF!</v>
      </c>
      <c r="S11" s="293" t="e">
        <f t="shared" si="8"/>
        <v>#REF!</v>
      </c>
    </row>
    <row r="12" spans="1:20" s="295" customFormat="1" ht="25.5" customHeight="1">
      <c r="A12" s="226">
        <v>5</v>
      </c>
      <c r="B12" s="227" t="s">
        <v>28</v>
      </c>
      <c r="C12" s="238">
        <v>385</v>
      </c>
      <c r="D12" s="238">
        <v>385</v>
      </c>
      <c r="E12" s="239">
        <v>57</v>
      </c>
      <c r="F12" s="233" t="e">
        <f>E12+'Sep ANXIII '!F12</f>
        <v>#REF!</v>
      </c>
      <c r="G12" s="239">
        <v>5026</v>
      </c>
      <c r="H12" s="239">
        <v>6600</v>
      </c>
      <c r="I12" s="233">
        <f t="shared" si="0"/>
        <v>11626</v>
      </c>
      <c r="J12" s="233">
        <f t="shared" si="1"/>
        <v>11683</v>
      </c>
      <c r="K12" s="233">
        <f t="shared" si="2"/>
        <v>30.345454545454544</v>
      </c>
      <c r="L12" s="234">
        <f t="shared" si="3"/>
        <v>94.58827910440813</v>
      </c>
      <c r="M12" s="234">
        <f t="shared" si="4"/>
        <v>94.561746497230374</v>
      </c>
      <c r="N12" s="234" t="e">
        <f>J12+'Sep ANXIII '!N12</f>
        <v>#REF!</v>
      </c>
      <c r="O12" s="235" t="e">
        <f t="shared" si="5"/>
        <v>#REF!</v>
      </c>
      <c r="P12" s="234" t="e">
        <f t="shared" si="6"/>
        <v>#REF!</v>
      </c>
      <c r="Q12" s="234" t="e">
        <f t="shared" si="7"/>
        <v>#REF!</v>
      </c>
      <c r="R12" s="293" t="e">
        <f t="shared" si="8"/>
        <v>#REF!</v>
      </c>
      <c r="S12" s="293" t="e">
        <f t="shared" si="8"/>
        <v>#REF!</v>
      </c>
      <c r="T12" s="295">
        <f>E12/60</f>
        <v>0.95</v>
      </c>
    </row>
    <row r="13" spans="1:20" s="295" customFormat="1" ht="25.5" customHeight="1">
      <c r="A13" s="226">
        <v>6</v>
      </c>
      <c r="B13" s="283" t="s">
        <v>45</v>
      </c>
      <c r="C13" s="238">
        <v>187</v>
      </c>
      <c r="D13" s="238">
        <v>187</v>
      </c>
      <c r="E13" s="239">
        <v>49</v>
      </c>
      <c r="F13" s="233" t="e">
        <f>E13+'Sep ANXIII '!F13</f>
        <v>#REF!</v>
      </c>
      <c r="G13" s="239">
        <v>2091</v>
      </c>
      <c r="H13" s="239">
        <v>2209</v>
      </c>
      <c r="I13" s="233">
        <f t="shared" si="0"/>
        <v>4300</v>
      </c>
      <c r="J13" s="233">
        <f t="shared" si="1"/>
        <v>4349</v>
      </c>
      <c r="K13" s="233">
        <f t="shared" si="2"/>
        <v>23.256684491978611</v>
      </c>
      <c r="L13" s="234">
        <f t="shared" si="3"/>
        <v>95.879094550821307</v>
      </c>
      <c r="M13" s="234">
        <f t="shared" si="4"/>
        <v>95.832135395702764</v>
      </c>
      <c r="N13" s="234" t="e">
        <f>J13+'Sep ANXIII '!N13</f>
        <v>#REF!</v>
      </c>
      <c r="O13" s="235" t="e">
        <f t="shared" si="5"/>
        <v>#REF!</v>
      </c>
      <c r="P13" s="234" t="e">
        <f t="shared" si="6"/>
        <v>#REF!</v>
      </c>
      <c r="Q13" s="234" t="e">
        <f t="shared" si="7"/>
        <v>#REF!</v>
      </c>
      <c r="R13" s="293" t="e">
        <f t="shared" si="8"/>
        <v>#REF!</v>
      </c>
      <c r="S13" s="293" t="e">
        <f t="shared" si="8"/>
        <v>#REF!</v>
      </c>
      <c r="T13" s="295">
        <f>E13/60</f>
        <v>0.81666666666666665</v>
      </c>
    </row>
    <row r="14" spans="1:20" s="295" customFormat="1" ht="25.5" customHeight="1">
      <c r="A14" s="226">
        <v>7</v>
      </c>
      <c r="B14" s="283" t="s">
        <v>88</v>
      </c>
      <c r="C14" s="238">
        <v>272</v>
      </c>
      <c r="D14" s="238">
        <v>272</v>
      </c>
      <c r="E14" s="239">
        <v>45</v>
      </c>
      <c r="F14" s="233" t="e">
        <f>E14+'Sep ANXIII '!F14</f>
        <v>#REF!</v>
      </c>
      <c r="G14" s="239">
        <v>3627</v>
      </c>
      <c r="H14" s="239">
        <v>2316</v>
      </c>
      <c r="I14" s="233">
        <f t="shared" si="0"/>
        <v>5943</v>
      </c>
      <c r="J14" s="233">
        <f t="shared" si="1"/>
        <v>5988</v>
      </c>
      <c r="K14" s="233">
        <f t="shared" si="2"/>
        <v>22.014705882352942</v>
      </c>
      <c r="L14" s="234">
        <f t="shared" si="3"/>
        <v>96.084361163820361</v>
      </c>
      <c r="M14" s="234">
        <f t="shared" si="4"/>
        <v>96.054712207463638</v>
      </c>
      <c r="N14" s="234" t="e">
        <f>J14+'Sep ANXIII '!N14</f>
        <v>#REF!</v>
      </c>
      <c r="O14" s="235" t="e">
        <f t="shared" si="5"/>
        <v>#REF!</v>
      </c>
      <c r="P14" s="234" t="e">
        <f t="shared" si="6"/>
        <v>#REF!</v>
      </c>
      <c r="Q14" s="234" t="e">
        <f t="shared" si="7"/>
        <v>#REF!</v>
      </c>
      <c r="R14" s="293" t="e">
        <f t="shared" si="8"/>
        <v>#REF!</v>
      </c>
      <c r="S14" s="293" t="e">
        <f t="shared" si="8"/>
        <v>#REF!</v>
      </c>
      <c r="T14" s="295">
        <f>E14/60</f>
        <v>0.75</v>
      </c>
    </row>
    <row r="15" spans="1:20" s="295" customFormat="1" ht="25.5" customHeight="1">
      <c r="A15" s="226">
        <v>8</v>
      </c>
      <c r="B15" s="283" t="s">
        <v>30</v>
      </c>
      <c r="C15" s="253">
        <v>134</v>
      </c>
      <c r="D15" s="253">
        <v>134</v>
      </c>
      <c r="E15" s="257">
        <v>40.26</v>
      </c>
      <c r="F15" s="233" t="e">
        <f>E15+'Sep ANXIII '!F15</f>
        <v>#REF!</v>
      </c>
      <c r="G15" s="257">
        <v>543.02</v>
      </c>
      <c r="H15" s="257">
        <v>426.32</v>
      </c>
      <c r="I15" s="233">
        <f t="shared" si="0"/>
        <v>969.33999999999992</v>
      </c>
      <c r="J15" s="233">
        <f t="shared" si="1"/>
        <v>1009.5999999999999</v>
      </c>
      <c r="K15" s="233">
        <f t="shared" si="2"/>
        <v>7.5343283582089544</v>
      </c>
      <c r="L15" s="234">
        <f t="shared" si="3"/>
        <v>98.703605627775104</v>
      </c>
      <c r="M15" s="234">
        <f t="shared" si="4"/>
        <v>98.649761942973299</v>
      </c>
      <c r="N15" s="234" t="e">
        <f>J15+'Sep ANXIII '!N15</f>
        <v>#REF!</v>
      </c>
      <c r="O15" s="235" t="e">
        <f t="shared" si="5"/>
        <v>#REF!</v>
      </c>
      <c r="P15" s="234" t="e">
        <f t="shared" si="6"/>
        <v>#REF!</v>
      </c>
      <c r="Q15" s="234" t="e">
        <f t="shared" si="7"/>
        <v>#REF!</v>
      </c>
      <c r="R15" s="293" t="e">
        <f t="shared" si="8"/>
        <v>#REF!</v>
      </c>
      <c r="S15" s="293" t="e">
        <f t="shared" si="8"/>
        <v>#REF!</v>
      </c>
    </row>
    <row r="16" spans="1:20" s="295" customFormat="1" ht="25.5" customHeight="1">
      <c r="A16" s="226">
        <v>9</v>
      </c>
      <c r="B16" s="283" t="s">
        <v>47</v>
      </c>
      <c r="C16" s="253">
        <v>170</v>
      </c>
      <c r="D16" s="253">
        <v>170</v>
      </c>
      <c r="E16" s="257">
        <v>236</v>
      </c>
      <c r="F16" s="233" t="e">
        <f>E16+'Sep ANXIII '!F16</f>
        <v>#REF!</v>
      </c>
      <c r="G16" s="257">
        <v>458</v>
      </c>
      <c r="H16" s="257">
        <v>141</v>
      </c>
      <c r="I16" s="233">
        <f t="shared" si="0"/>
        <v>599</v>
      </c>
      <c r="J16" s="233">
        <f t="shared" si="1"/>
        <v>835</v>
      </c>
      <c r="K16" s="233">
        <f t="shared" si="2"/>
        <v>4.9117647058823533</v>
      </c>
      <c r="L16" s="234">
        <f t="shared" si="3"/>
        <v>99.368543116171196</v>
      </c>
      <c r="M16" s="234">
        <f t="shared" si="4"/>
        <v>99.119755429053342</v>
      </c>
      <c r="N16" s="234" t="e">
        <f>J16+'Sep ANXIII '!N16</f>
        <v>#REF!</v>
      </c>
      <c r="O16" s="235" t="e">
        <f t="shared" si="5"/>
        <v>#REF!</v>
      </c>
      <c r="P16" s="234" t="e">
        <f t="shared" si="6"/>
        <v>#REF!</v>
      </c>
      <c r="Q16" s="234" t="e">
        <f t="shared" si="7"/>
        <v>#REF!</v>
      </c>
      <c r="R16" s="293" t="e">
        <f t="shared" si="8"/>
        <v>#REF!</v>
      </c>
      <c r="S16" s="293" t="e">
        <f t="shared" si="8"/>
        <v>#REF!</v>
      </c>
      <c r="T16" s="295">
        <f>E16/60</f>
        <v>3.9333333333333331</v>
      </c>
    </row>
    <row r="17" spans="1:20" s="295" customFormat="1" ht="25.5" customHeight="1">
      <c r="A17" s="226">
        <v>10</v>
      </c>
      <c r="B17" s="283" t="s">
        <v>48</v>
      </c>
      <c r="C17" s="253">
        <v>173</v>
      </c>
      <c r="D17" s="253">
        <v>173</v>
      </c>
      <c r="E17" s="257">
        <v>453.3</v>
      </c>
      <c r="F17" s="233" t="e">
        <f>E17+'Sep ANXIII '!F17</f>
        <v>#REF!</v>
      </c>
      <c r="G17" s="257">
        <v>235.03</v>
      </c>
      <c r="H17" s="257">
        <v>173.21</v>
      </c>
      <c r="I17" s="233">
        <f t="shared" si="0"/>
        <v>408.24</v>
      </c>
      <c r="J17" s="233">
        <f t="shared" si="1"/>
        <v>861.54</v>
      </c>
      <c r="K17" s="233">
        <f t="shared" si="2"/>
        <v>4.9799999999999995</v>
      </c>
      <c r="L17" s="234">
        <f t="shared" si="3"/>
        <v>99.577102368077576</v>
      </c>
      <c r="M17" s="234">
        <f t="shared" si="4"/>
        <v>99.107526881720432</v>
      </c>
      <c r="N17" s="234" t="e">
        <f>J17+'Sep ANXIII '!N17</f>
        <v>#REF!</v>
      </c>
      <c r="O17" s="235" t="e">
        <f t="shared" si="5"/>
        <v>#REF!</v>
      </c>
      <c r="P17" s="234" t="e">
        <f t="shared" si="6"/>
        <v>#REF!</v>
      </c>
      <c r="Q17" s="234" t="e">
        <f t="shared" si="7"/>
        <v>#REF!</v>
      </c>
      <c r="R17" s="293" t="e">
        <f t="shared" si="8"/>
        <v>#REF!</v>
      </c>
      <c r="S17" s="293" t="e">
        <f t="shared" si="8"/>
        <v>#REF!</v>
      </c>
      <c r="T17" s="295">
        <f>E17/60</f>
        <v>7.5550000000000006</v>
      </c>
    </row>
    <row r="18" spans="1:20" s="295" customFormat="1" ht="25.5" customHeight="1">
      <c r="A18" s="226">
        <v>11</v>
      </c>
      <c r="B18" s="283" t="s">
        <v>63</v>
      </c>
      <c r="C18" s="253">
        <v>120</v>
      </c>
      <c r="D18" s="253">
        <v>120</v>
      </c>
      <c r="E18" s="257">
        <v>56.356000000000002</v>
      </c>
      <c r="F18" s="233" t="e">
        <f>E18+'Sep ANXIII '!F18</f>
        <v>#REF!</v>
      </c>
      <c r="G18" s="257">
        <v>402.29</v>
      </c>
      <c r="H18" s="257">
        <v>280.58</v>
      </c>
      <c r="I18" s="233">
        <f t="shared" si="0"/>
        <v>682.87</v>
      </c>
      <c r="J18" s="233">
        <f t="shared" si="1"/>
        <v>739.226</v>
      </c>
      <c r="K18" s="233">
        <f t="shared" si="2"/>
        <v>6.1602166666666669</v>
      </c>
      <c r="L18" s="234">
        <f t="shared" si="3"/>
        <v>98.980182198327356</v>
      </c>
      <c r="M18" s="234">
        <f t="shared" si="4"/>
        <v>98.896018518518531</v>
      </c>
      <c r="N18" s="234" t="e">
        <f>J18+'Sep ANXIII '!N18</f>
        <v>#REF!</v>
      </c>
      <c r="O18" s="235" t="e">
        <f t="shared" si="5"/>
        <v>#REF!</v>
      </c>
      <c r="P18" s="234" t="e">
        <f t="shared" si="6"/>
        <v>#REF!</v>
      </c>
      <c r="Q18" s="234" t="e">
        <f t="shared" si="7"/>
        <v>#REF!</v>
      </c>
      <c r="R18" s="293" t="e">
        <f t="shared" si="8"/>
        <v>#REF!</v>
      </c>
      <c r="S18" s="293" t="e">
        <f t="shared" si="8"/>
        <v>#REF!</v>
      </c>
    </row>
    <row r="19" spans="1:20" s="284" customFormat="1" ht="25.5" hidden="1" customHeight="1">
      <c r="A19" s="284">
        <v>12</v>
      </c>
      <c r="B19" s="284" t="s">
        <v>50</v>
      </c>
      <c r="C19" s="310">
        <v>34</v>
      </c>
      <c r="D19" s="310">
        <v>34</v>
      </c>
      <c r="E19" s="310">
        <v>208.17000000000002</v>
      </c>
      <c r="F19" s="307" t="e">
        <f>E19+'Sep ANXIII '!F19</f>
        <v>#REF!</v>
      </c>
      <c r="G19" s="311">
        <v>404.41666666666669</v>
      </c>
      <c r="H19" s="311">
        <v>652.38333333333333</v>
      </c>
      <c r="I19" s="312">
        <f t="shared" si="0"/>
        <v>1056.8</v>
      </c>
      <c r="J19" s="312">
        <f t="shared" si="1"/>
        <v>1264.97</v>
      </c>
      <c r="K19" s="312">
        <f t="shared" si="2"/>
        <v>37.204999999999998</v>
      </c>
      <c r="L19" s="313">
        <f t="shared" si="3"/>
        <v>94.42968585283576</v>
      </c>
      <c r="M19" s="313">
        <f t="shared" si="4"/>
        <v>93.332437275985669</v>
      </c>
      <c r="N19" s="313" t="e">
        <f>J19+'Sep ANXIII '!N19</f>
        <v>#REF!</v>
      </c>
      <c r="O19" s="313" t="e">
        <f t="shared" si="5"/>
        <v>#REF!</v>
      </c>
      <c r="P19" s="313" t="e">
        <f t="shared" si="6"/>
        <v>#REF!</v>
      </c>
      <c r="Q19" s="313" t="e">
        <f t="shared" si="7"/>
        <v>#REF!</v>
      </c>
      <c r="R19" s="285" t="e">
        <f t="shared" si="8"/>
        <v>#REF!</v>
      </c>
      <c r="S19" s="284" t="e">
        <f t="shared" si="8"/>
        <v>#REF!</v>
      </c>
    </row>
    <row r="20" spans="1:20" s="284" customFormat="1" ht="25.5" hidden="1" customHeight="1">
      <c r="A20" s="284">
        <v>13</v>
      </c>
      <c r="B20" s="284" t="s">
        <v>51</v>
      </c>
      <c r="C20" s="310">
        <v>31</v>
      </c>
      <c r="D20" s="310">
        <v>31</v>
      </c>
      <c r="E20" s="310">
        <v>321.74</v>
      </c>
      <c r="F20" s="307" t="e">
        <f>E20+'Sep ANXIII '!F20</f>
        <v>#REF!</v>
      </c>
      <c r="G20" s="311">
        <v>530.61666666666667</v>
      </c>
      <c r="H20" s="311">
        <v>1113.0333333333333</v>
      </c>
      <c r="I20" s="312">
        <f t="shared" si="0"/>
        <v>1643.65</v>
      </c>
      <c r="J20" s="312">
        <f t="shared" si="1"/>
        <v>1965.39</v>
      </c>
      <c r="K20" s="312">
        <f t="shared" si="2"/>
        <v>63.399677419354845</v>
      </c>
      <c r="L20" s="313">
        <f t="shared" si="3"/>
        <v>90.49803445485027</v>
      </c>
      <c r="M20" s="313">
        <f t="shared" si="4"/>
        <v>88.638050641692686</v>
      </c>
      <c r="N20" s="313" t="e">
        <f>J20+'Sep ANXIII '!N20</f>
        <v>#REF!</v>
      </c>
      <c r="O20" s="313" t="e">
        <f t="shared" si="5"/>
        <v>#REF!</v>
      </c>
      <c r="P20" s="313" t="e">
        <f t="shared" si="6"/>
        <v>#REF!</v>
      </c>
      <c r="Q20" s="313" t="e">
        <f t="shared" si="7"/>
        <v>#REF!</v>
      </c>
      <c r="R20" s="285" t="e">
        <f t="shared" si="8"/>
        <v>#REF!</v>
      </c>
      <c r="S20" s="284" t="e">
        <f t="shared" si="8"/>
        <v>#REF!</v>
      </c>
    </row>
    <row r="21" spans="1:20" s="297" customFormat="1" ht="25.5" customHeight="1">
      <c r="A21" s="286">
        <v>12</v>
      </c>
      <c r="B21" s="283" t="s">
        <v>99</v>
      </c>
      <c r="C21" s="259">
        <f>C19+C20</f>
        <v>65</v>
      </c>
      <c r="D21" s="259">
        <f>D19+D20</f>
        <v>65</v>
      </c>
      <c r="E21" s="259">
        <f>E19+E20</f>
        <v>529.91000000000008</v>
      </c>
      <c r="F21" s="233" t="e">
        <f>E21+'Sep ANXIII '!F21</f>
        <v>#REF!</v>
      </c>
      <c r="G21" s="261">
        <f>SUM(G19:G20)</f>
        <v>935.0333333333333</v>
      </c>
      <c r="H21" s="261">
        <f>SUM(H19:H20)</f>
        <v>1765.4166666666665</v>
      </c>
      <c r="I21" s="233">
        <f t="shared" si="0"/>
        <v>2700.45</v>
      </c>
      <c r="J21" s="233">
        <f t="shared" si="1"/>
        <v>3230.3599999999997</v>
      </c>
      <c r="K21" s="233">
        <f t="shared" si="2"/>
        <v>49.69784615384615</v>
      </c>
      <c r="L21" s="234">
        <f t="shared" si="3"/>
        <v>92.554590570719611</v>
      </c>
      <c r="M21" s="234">
        <f t="shared" si="4"/>
        <v>91.093575958092089</v>
      </c>
      <c r="N21" s="234" t="e">
        <f>J21+'Sep ANXIII '!N21</f>
        <v>#REF!</v>
      </c>
      <c r="O21" s="233" t="e">
        <f t="shared" si="5"/>
        <v>#REF!</v>
      </c>
      <c r="P21" s="234" t="e">
        <f t="shared" si="6"/>
        <v>#REF!</v>
      </c>
      <c r="Q21" s="234" t="e">
        <f t="shared" si="7"/>
        <v>#REF!</v>
      </c>
      <c r="R21" s="296"/>
      <c r="S21" s="296"/>
    </row>
    <row r="22" spans="1:20" s="299" customFormat="1" ht="25.5" customHeight="1">
      <c r="A22" s="287">
        <v>14</v>
      </c>
      <c r="B22" s="284" t="s">
        <v>52</v>
      </c>
      <c r="C22" s="314">
        <v>14</v>
      </c>
      <c r="D22" s="314">
        <v>14</v>
      </c>
      <c r="E22" s="314">
        <v>11.680000000000001</v>
      </c>
      <c r="F22" s="308" t="e">
        <f>E22+'Sep ANXIII '!F22</f>
        <v>#REF!</v>
      </c>
      <c r="G22" s="314">
        <v>88.39</v>
      </c>
      <c r="H22" s="314">
        <v>145.32</v>
      </c>
      <c r="I22" s="312">
        <f t="shared" si="0"/>
        <v>233.70999999999998</v>
      </c>
      <c r="J22" s="312">
        <f t="shared" si="1"/>
        <v>245.39</v>
      </c>
      <c r="K22" s="312">
        <f t="shared" si="2"/>
        <v>17.52785714285714</v>
      </c>
      <c r="L22" s="313">
        <f t="shared" si="3"/>
        <v>97.008320532514077</v>
      </c>
      <c r="M22" s="313">
        <f t="shared" si="4"/>
        <v>96.858806963645677</v>
      </c>
      <c r="N22" s="313" t="e">
        <f>J22+'Sep ANXIII '!N22</f>
        <v>#REF!</v>
      </c>
      <c r="O22" s="313" t="e">
        <f t="shared" si="5"/>
        <v>#REF!</v>
      </c>
      <c r="P22" s="313" t="e">
        <f t="shared" si="6"/>
        <v>#REF!</v>
      </c>
      <c r="Q22" s="313" t="e">
        <f t="shared" si="7"/>
        <v>#REF!</v>
      </c>
      <c r="R22" s="298" t="e">
        <f t="shared" si="8"/>
        <v>#REF!</v>
      </c>
      <c r="S22" s="298" t="e">
        <f t="shared" si="8"/>
        <v>#REF!</v>
      </c>
    </row>
    <row r="23" spans="1:20" s="299" customFormat="1" ht="30" customHeight="1">
      <c r="A23" s="287">
        <v>15</v>
      </c>
      <c r="B23" s="284" t="s">
        <v>53</v>
      </c>
      <c r="C23" s="314">
        <v>35</v>
      </c>
      <c r="D23" s="314">
        <v>35</v>
      </c>
      <c r="E23" s="314">
        <v>53.45000000000001</v>
      </c>
      <c r="F23" s="308" t="e">
        <f>E23+'Sep ANXIII '!F23</f>
        <v>#REF!</v>
      </c>
      <c r="G23" s="314">
        <v>4285.3999999999996</v>
      </c>
      <c r="H23" s="314">
        <v>554.79</v>
      </c>
      <c r="I23" s="312">
        <f t="shared" si="0"/>
        <v>4840.1899999999996</v>
      </c>
      <c r="J23" s="312">
        <f t="shared" si="1"/>
        <v>4893.6399999999994</v>
      </c>
      <c r="K23" s="312">
        <f t="shared" si="2"/>
        <v>139.81828571428571</v>
      </c>
      <c r="L23" s="313">
        <f t="shared" si="3"/>
        <v>75.21664106502817</v>
      </c>
      <c r="M23" s="313">
        <f t="shared" si="4"/>
        <v>74.942959549411157</v>
      </c>
      <c r="N23" s="313" t="e">
        <f>J23+'Sep ANXIII '!N23</f>
        <v>#REF!</v>
      </c>
      <c r="O23" s="313" t="e">
        <f t="shared" si="5"/>
        <v>#REF!</v>
      </c>
      <c r="P23" s="313" t="e">
        <f t="shared" si="6"/>
        <v>#REF!</v>
      </c>
      <c r="Q23" s="313" t="e">
        <f t="shared" si="7"/>
        <v>#REF!</v>
      </c>
      <c r="R23" s="298" t="e">
        <f t="shared" si="8"/>
        <v>#REF!</v>
      </c>
      <c r="S23" s="298" t="e">
        <f t="shared" si="8"/>
        <v>#REF!</v>
      </c>
    </row>
    <row r="24" spans="1:20" s="301" customFormat="1" ht="25.5" customHeight="1">
      <c r="A24" s="288">
        <v>16</v>
      </c>
      <c r="B24" s="289" t="s">
        <v>54</v>
      </c>
      <c r="C24" s="314">
        <f>7+33</f>
        <v>40</v>
      </c>
      <c r="D24" s="314">
        <v>40</v>
      </c>
      <c r="E24" s="314">
        <f>9.8+329.95</f>
        <v>339.75</v>
      </c>
      <c r="F24" s="309" t="e">
        <f>E24+'Sep ANXIII '!F24</f>
        <v>#REF!</v>
      </c>
      <c r="G24" s="314">
        <f>190.45+129.1</f>
        <v>319.54999999999995</v>
      </c>
      <c r="H24" s="314">
        <f>338.1+413.3</f>
        <v>751.40000000000009</v>
      </c>
      <c r="I24" s="315">
        <f t="shared" si="0"/>
        <v>1070.95</v>
      </c>
      <c r="J24" s="315">
        <f t="shared" si="1"/>
        <v>1410.7</v>
      </c>
      <c r="K24" s="315">
        <f t="shared" si="2"/>
        <v>35.267499999999998</v>
      </c>
      <c r="L24" s="316">
        <f t="shared" si="3"/>
        <v>95.20183691756273</v>
      </c>
      <c r="M24" s="316">
        <f t="shared" si="4"/>
        <v>93.679659498207883</v>
      </c>
      <c r="N24" s="316" t="e">
        <f>J24+'Sep ANXIII '!N24</f>
        <v>#REF!</v>
      </c>
      <c r="O24" s="316" t="e">
        <f t="shared" si="5"/>
        <v>#REF!</v>
      </c>
      <c r="P24" s="316" t="e">
        <f t="shared" si="6"/>
        <v>#REF!</v>
      </c>
      <c r="Q24" s="316" t="e">
        <f t="shared" si="7"/>
        <v>#REF!</v>
      </c>
      <c r="R24" s="300" t="e">
        <f t="shared" si="8"/>
        <v>#REF!</v>
      </c>
      <c r="S24" s="300" t="e">
        <f t="shared" si="8"/>
        <v>#REF!</v>
      </c>
    </row>
    <row r="25" spans="1:20" s="297" customFormat="1" ht="25.5" customHeight="1">
      <c r="A25" s="286">
        <v>13</v>
      </c>
      <c r="B25" s="283" t="s">
        <v>52</v>
      </c>
      <c r="C25" s="259">
        <f>C22+C23+C24</f>
        <v>89</v>
      </c>
      <c r="D25" s="259">
        <f>D22+D23+D24</f>
        <v>89</v>
      </c>
      <c r="E25" s="259">
        <f>E22+E23+E24</f>
        <v>404.88</v>
      </c>
      <c r="F25" s="233" t="e">
        <f>E25+'Sep ANXIII '!F25</f>
        <v>#REF!</v>
      </c>
      <c r="G25" s="259">
        <f>G22+G23+G24</f>
        <v>4693.34</v>
      </c>
      <c r="H25" s="259">
        <f>H22+H23+H24</f>
        <v>1451.51</v>
      </c>
      <c r="I25" s="233">
        <f>G25+H25</f>
        <v>6144.85</v>
      </c>
      <c r="J25" s="233">
        <f t="shared" si="1"/>
        <v>6549.7300000000005</v>
      </c>
      <c r="K25" s="233">
        <f>J25/C25</f>
        <v>73.592471910112366</v>
      </c>
      <c r="L25" s="234">
        <f t="shared" si="3"/>
        <v>87.626656195884181</v>
      </c>
      <c r="M25" s="234">
        <f t="shared" si="4"/>
        <v>86.811384962345457</v>
      </c>
      <c r="N25" s="234" t="e">
        <f>J25+'Sep ANXIII '!N25</f>
        <v>#REF!</v>
      </c>
      <c r="O25" s="233" t="e">
        <f t="shared" si="5"/>
        <v>#REF!</v>
      </c>
      <c r="P25" s="234" t="e">
        <f t="shared" si="6"/>
        <v>#REF!</v>
      </c>
      <c r="Q25" s="234" t="e">
        <f t="shared" si="7"/>
        <v>#REF!</v>
      </c>
      <c r="R25" s="296"/>
      <c r="S25" s="296"/>
    </row>
    <row r="26" spans="1:20" s="295" customFormat="1" ht="25.5" customHeight="1">
      <c r="A26" s="286">
        <v>14</v>
      </c>
      <c r="B26" s="283" t="s">
        <v>94</v>
      </c>
      <c r="C26" s="268">
        <v>19</v>
      </c>
      <c r="D26" s="268">
        <v>19</v>
      </c>
      <c r="E26" s="269">
        <v>0.43</v>
      </c>
      <c r="F26" s="233" t="e">
        <f>E26+'Sep ANXIII '!F26</f>
        <v>#REF!</v>
      </c>
      <c r="G26" s="269">
        <v>8.2166666666666668</v>
      </c>
      <c r="H26" s="269">
        <v>4.4854166666666666</v>
      </c>
      <c r="I26" s="233">
        <f t="shared" si="0"/>
        <v>12.702083333333334</v>
      </c>
      <c r="J26" s="233">
        <f t="shared" si="1"/>
        <v>13.132083333333334</v>
      </c>
      <c r="K26" s="233">
        <f t="shared" si="2"/>
        <v>0.69116228070175445</v>
      </c>
      <c r="L26" s="234">
        <f t="shared" si="3"/>
        <v>99.88019163050997</v>
      </c>
      <c r="M26" s="234">
        <f t="shared" si="4"/>
        <v>99.876135791988915</v>
      </c>
      <c r="N26" s="234" t="e">
        <f>J26+'Sep ANXIII '!N26</f>
        <v>#REF!</v>
      </c>
      <c r="O26" s="235" t="e">
        <f t="shared" si="5"/>
        <v>#REF!</v>
      </c>
      <c r="P26" s="234" t="e">
        <f t="shared" si="6"/>
        <v>#REF!</v>
      </c>
      <c r="Q26" s="234" t="e">
        <f t="shared" si="7"/>
        <v>#REF!</v>
      </c>
      <c r="R26" s="293" t="e">
        <f>L26-P26</f>
        <v>#REF!</v>
      </c>
      <c r="S26" s="293" t="e">
        <f>M26-Q26</f>
        <v>#REF!</v>
      </c>
    </row>
    <row r="27" spans="1:20" s="305" customFormat="1" ht="25.5" hidden="1" customHeight="1">
      <c r="A27" s="302">
        <v>18</v>
      </c>
      <c r="B27" s="303" t="s">
        <v>32</v>
      </c>
      <c r="C27" s="317">
        <v>34</v>
      </c>
      <c r="D27" s="317">
        <v>34</v>
      </c>
      <c r="E27" s="317">
        <v>26.99</v>
      </c>
      <c r="F27" s="308" t="e">
        <f>E27+'Sep ANXIII '!F27</f>
        <v>#REF!</v>
      </c>
      <c r="G27" s="317">
        <v>112.67</v>
      </c>
      <c r="H27" s="317">
        <v>22.21</v>
      </c>
      <c r="I27" s="318">
        <f t="shared" si="0"/>
        <v>134.88</v>
      </c>
      <c r="J27" s="318">
        <f t="shared" si="1"/>
        <v>161.87</v>
      </c>
      <c r="K27" s="318">
        <f t="shared" si="2"/>
        <v>4.7608823529411763</v>
      </c>
      <c r="L27" s="319">
        <f t="shared" si="3"/>
        <v>99.289057558507267</v>
      </c>
      <c r="M27" s="319">
        <f t="shared" si="4"/>
        <v>99.146795277250689</v>
      </c>
      <c r="N27" s="319" t="e">
        <f>J27+'Sep ANXIII '!N27</f>
        <v>#REF!</v>
      </c>
      <c r="O27" s="319" t="e">
        <f t="shared" si="5"/>
        <v>#REF!</v>
      </c>
      <c r="P27" s="319" t="e">
        <f t="shared" si="6"/>
        <v>#REF!</v>
      </c>
      <c r="Q27" s="319" t="e">
        <f t="shared" si="7"/>
        <v>#REF!</v>
      </c>
      <c r="R27" s="304" t="e">
        <f t="shared" si="8"/>
        <v>#REF!</v>
      </c>
      <c r="S27" s="304" t="e">
        <f t="shared" si="8"/>
        <v>#REF!</v>
      </c>
    </row>
    <row r="28" spans="1:20" s="305" customFormat="1" ht="25.5" hidden="1" customHeight="1">
      <c r="A28" s="302">
        <v>19</v>
      </c>
      <c r="B28" s="303" t="s">
        <v>55</v>
      </c>
      <c r="C28" s="317">
        <v>47</v>
      </c>
      <c r="D28" s="317">
        <v>47</v>
      </c>
      <c r="E28" s="317">
        <v>11.759999999999998</v>
      </c>
      <c r="F28" s="308" t="e">
        <f>E28+'Sep ANXIII '!F28</f>
        <v>#REF!</v>
      </c>
      <c r="G28" s="320">
        <v>177.17902777777775</v>
      </c>
      <c r="H28" s="320">
        <v>68.253611111111113</v>
      </c>
      <c r="I28" s="318">
        <v>142.23638888888888</v>
      </c>
      <c r="J28" s="318">
        <f t="shared" si="1"/>
        <v>153.99638888888887</v>
      </c>
      <c r="K28" s="318">
        <f t="shared" si="2"/>
        <v>3.2765189125295504</v>
      </c>
      <c r="L28" s="319">
        <f t="shared" si="3"/>
        <v>99.457651228212882</v>
      </c>
      <c r="M28" s="319">
        <f t="shared" si="4"/>
        <v>99.412810230729463</v>
      </c>
      <c r="N28" s="319" t="e">
        <f>J28+'Sep ANXIII '!N28</f>
        <v>#REF!</v>
      </c>
      <c r="O28" s="319" t="e">
        <f t="shared" si="5"/>
        <v>#REF!</v>
      </c>
      <c r="P28" s="319" t="e">
        <f t="shared" si="6"/>
        <v>#REF!</v>
      </c>
      <c r="Q28" s="319" t="e">
        <f t="shared" si="7"/>
        <v>#REF!</v>
      </c>
      <c r="R28" s="304" t="e">
        <f t="shared" si="8"/>
        <v>#REF!</v>
      </c>
      <c r="S28" s="304" t="e">
        <f t="shared" si="8"/>
        <v>#REF!</v>
      </c>
    </row>
    <row r="29" spans="1:20" s="297" customFormat="1" ht="25.5" customHeight="1">
      <c r="A29" s="286">
        <v>15</v>
      </c>
      <c r="B29" s="283" t="s">
        <v>32</v>
      </c>
      <c r="C29" s="268">
        <f>C27+C28</f>
        <v>81</v>
      </c>
      <c r="D29" s="268">
        <f>D27+D28</f>
        <v>81</v>
      </c>
      <c r="E29" s="268">
        <f>E27+E28</f>
        <v>38.75</v>
      </c>
      <c r="F29" s="233" t="e">
        <f>E29+'Sep ANXIII '!F29</f>
        <v>#REF!</v>
      </c>
      <c r="G29" s="269">
        <f>SUM(G27:G28)</f>
        <v>289.84902777777774</v>
      </c>
      <c r="H29" s="269">
        <f>SUM(H27:H28)</f>
        <v>90.463611111111106</v>
      </c>
      <c r="I29" s="233">
        <f t="shared" si="0"/>
        <v>380.31263888888884</v>
      </c>
      <c r="J29" s="233">
        <f t="shared" si="1"/>
        <v>419.06263888888884</v>
      </c>
      <c r="K29" s="233">
        <f t="shared" si="2"/>
        <v>5.1736128257887515</v>
      </c>
      <c r="L29" s="234">
        <f t="shared" si="3"/>
        <v>99.158563124720359</v>
      </c>
      <c r="M29" s="234">
        <f t="shared" si="4"/>
        <v>99.07282924269019</v>
      </c>
      <c r="N29" s="234" t="e">
        <f>J29+'Sep ANXIII '!N29</f>
        <v>#REF!</v>
      </c>
      <c r="O29" s="233" t="e">
        <f t="shared" si="5"/>
        <v>#REF!</v>
      </c>
      <c r="P29" s="234" t="e">
        <f t="shared" si="6"/>
        <v>#REF!</v>
      </c>
      <c r="Q29" s="234" t="e">
        <f t="shared" si="7"/>
        <v>#REF!</v>
      </c>
      <c r="R29" s="296"/>
      <c r="S29" s="296"/>
    </row>
    <row r="30" spans="1:20" s="295" customFormat="1" ht="25.5" customHeight="1">
      <c r="A30" s="286">
        <v>16</v>
      </c>
      <c r="B30" s="283" t="s">
        <v>56</v>
      </c>
      <c r="C30" s="268">
        <v>64</v>
      </c>
      <c r="D30" s="268">
        <v>64</v>
      </c>
      <c r="E30" s="269">
        <v>52.087916666666665</v>
      </c>
      <c r="F30" s="233" t="e">
        <f>E30+'Sep ANXIII '!F30</f>
        <v>#REF!</v>
      </c>
      <c r="G30" s="269">
        <v>119.3</v>
      </c>
      <c r="H30" s="269">
        <v>38.818749999999994</v>
      </c>
      <c r="I30" s="233">
        <f t="shared" si="0"/>
        <v>158.11874999999998</v>
      </c>
      <c r="J30" s="233">
        <f t="shared" si="1"/>
        <v>210.20666666666665</v>
      </c>
      <c r="K30" s="233">
        <f t="shared" si="2"/>
        <v>3.2844791666666664</v>
      </c>
      <c r="L30" s="234">
        <f t="shared" si="3"/>
        <v>99.557239163306448</v>
      </c>
      <c r="M30" s="234">
        <f t="shared" si="4"/>
        <v>99.411383661887697</v>
      </c>
      <c r="N30" s="234" t="e">
        <f>J30+'Sep ANXIII '!N30</f>
        <v>#REF!</v>
      </c>
      <c r="O30" s="233" t="e">
        <f t="shared" si="5"/>
        <v>#REF!</v>
      </c>
      <c r="P30" s="234" t="e">
        <f t="shared" si="6"/>
        <v>#REF!</v>
      </c>
      <c r="Q30" s="234" t="e">
        <f t="shared" si="7"/>
        <v>#REF!</v>
      </c>
      <c r="R30" s="293" t="e">
        <f t="shared" si="8"/>
        <v>#REF!</v>
      </c>
      <c r="S30" s="293" t="e">
        <f t="shared" si="8"/>
        <v>#REF!</v>
      </c>
    </row>
    <row r="31" spans="1:20" ht="50.25" customHeight="1" thickBot="1">
      <c r="C31" s="290">
        <f>SUM(C8:C30)</f>
        <v>2760</v>
      </c>
      <c r="D31" s="291">
        <f>SUM(D12:D30)+D8</f>
        <v>2220</v>
      </c>
      <c r="E31" s="291">
        <f t="shared" ref="E31:K31" si="9">SUM(E12:E30)+E8</f>
        <v>2978.6639166666669</v>
      </c>
      <c r="F31" s="182"/>
      <c r="G31" s="291" t="s">
        <v>131</v>
      </c>
      <c r="H31" s="291">
        <f t="shared" si="9"/>
        <v>21820.524722222213</v>
      </c>
      <c r="I31" s="291">
        <f t="shared" si="9"/>
        <v>50209.554861111101</v>
      </c>
      <c r="J31" s="291">
        <f t="shared" si="9"/>
        <v>53188.218777777773</v>
      </c>
      <c r="K31" s="291">
        <f t="shared" si="9"/>
        <v>564.35873237242288</v>
      </c>
      <c r="L31" s="291">
        <f t="shared" si="3"/>
        <v>96.739808655322378</v>
      </c>
      <c r="M31" s="291">
        <f t="shared" si="4"/>
        <v>96.546398967730383</v>
      </c>
      <c r="N31" s="291" t="e">
        <f>J31+'Sep ANXIII '!N31</f>
        <v>#REF!</v>
      </c>
      <c r="O31" s="291" t="e">
        <f>SUM(O12:O30)+O8</f>
        <v>#REF!</v>
      </c>
      <c r="P31" s="291" t="e">
        <f>SUM(P12:P30)+P8</f>
        <v>#REF!</v>
      </c>
      <c r="Q31" s="291" t="e">
        <f>SUM(Q12:Q30)+Q8</f>
        <v>#REF!</v>
      </c>
      <c r="R31" s="282" t="e">
        <f t="shared" si="8"/>
        <v>#REF!</v>
      </c>
    </row>
    <row r="32" spans="1:20" ht="12.75" customHeight="1">
      <c r="A32" s="878" t="s">
        <v>33</v>
      </c>
      <c r="B32" s="879"/>
      <c r="C32" s="879"/>
      <c r="D32" s="879"/>
      <c r="E32" s="879"/>
      <c r="F32" s="879"/>
      <c r="G32" s="879"/>
      <c r="H32" s="879"/>
      <c r="I32" s="879"/>
      <c r="J32" s="879"/>
      <c r="K32" s="879"/>
      <c r="L32" s="879"/>
      <c r="M32" s="879"/>
      <c r="N32" s="879"/>
      <c r="O32" s="879"/>
      <c r="P32" s="879"/>
      <c r="Q32" s="880"/>
      <c r="R32" s="282">
        <f t="shared" si="8"/>
        <v>0</v>
      </c>
    </row>
    <row r="33" spans="1:18" ht="28.5" customHeight="1" thickBot="1">
      <c r="A33" s="881"/>
      <c r="B33" s="882"/>
      <c r="C33" s="882"/>
      <c r="D33" s="882"/>
      <c r="E33" s="882"/>
      <c r="F33" s="882"/>
      <c r="G33" s="882"/>
      <c r="H33" s="882"/>
      <c r="I33" s="882"/>
      <c r="J33" s="882"/>
      <c r="K33" s="882"/>
      <c r="L33" s="882"/>
      <c r="M33" s="882"/>
      <c r="N33" s="882"/>
      <c r="O33" s="882"/>
      <c r="P33" s="882"/>
      <c r="Q33" s="883"/>
      <c r="R33" s="282">
        <f t="shared" si="8"/>
        <v>0</v>
      </c>
    </row>
    <row r="34" spans="1:18" ht="12.75" customHeight="1">
      <c r="A34" s="884" t="s">
        <v>34</v>
      </c>
      <c r="B34" s="885"/>
      <c r="C34" s="885"/>
      <c r="D34" s="885"/>
      <c r="E34" s="885"/>
      <c r="F34" s="885"/>
      <c r="G34" s="885"/>
      <c r="H34" s="885"/>
      <c r="I34" s="885"/>
      <c r="J34" s="885"/>
      <c r="K34" s="885"/>
      <c r="L34" s="885"/>
      <c r="M34" s="885"/>
      <c r="N34" s="885"/>
      <c r="O34" s="885"/>
      <c r="P34" s="885"/>
      <c r="Q34" s="886"/>
      <c r="R34" s="282">
        <f t="shared" si="8"/>
        <v>0</v>
      </c>
    </row>
    <row r="35" spans="1:18" ht="12.75" customHeight="1">
      <c r="A35" s="887"/>
      <c r="B35" s="888"/>
      <c r="C35" s="888"/>
      <c r="D35" s="888"/>
      <c r="E35" s="888"/>
      <c r="F35" s="888"/>
      <c r="G35" s="888"/>
      <c r="H35" s="888"/>
      <c r="I35" s="888"/>
      <c r="J35" s="888"/>
      <c r="K35" s="888"/>
      <c r="L35" s="888"/>
      <c r="M35" s="888"/>
      <c r="N35" s="888"/>
      <c r="O35" s="888"/>
      <c r="P35" s="888"/>
      <c r="Q35" s="889"/>
      <c r="R35" s="282">
        <f t="shared" si="8"/>
        <v>0</v>
      </c>
    </row>
    <row r="36" spans="1:18" ht="13.5" customHeight="1" thickBot="1">
      <c r="A36" s="890"/>
      <c r="B36" s="891"/>
      <c r="C36" s="891"/>
      <c r="D36" s="891"/>
      <c r="E36" s="891"/>
      <c r="F36" s="891"/>
      <c r="G36" s="891"/>
      <c r="H36" s="891"/>
      <c r="I36" s="891"/>
      <c r="J36" s="891"/>
      <c r="K36" s="891"/>
      <c r="L36" s="891"/>
      <c r="M36" s="891"/>
      <c r="N36" s="891"/>
      <c r="O36" s="891"/>
      <c r="P36" s="891"/>
      <c r="Q36" s="892"/>
      <c r="R36" s="282">
        <f t="shared" si="8"/>
        <v>0</v>
      </c>
    </row>
    <row r="37" spans="1:18">
      <c r="A37" s="878" t="s">
        <v>35</v>
      </c>
      <c r="B37" s="879"/>
      <c r="C37" s="879"/>
      <c r="D37" s="879"/>
      <c r="E37" s="879"/>
      <c r="F37" s="879"/>
      <c r="G37" s="879"/>
      <c r="H37" s="879"/>
      <c r="I37" s="879"/>
      <c r="J37" s="879"/>
      <c r="K37" s="879"/>
      <c r="L37" s="879"/>
      <c r="M37" s="879"/>
      <c r="N37" s="879"/>
      <c r="O37" s="879"/>
      <c r="P37" s="879"/>
      <c r="Q37" s="880"/>
      <c r="R37" s="282">
        <f t="shared" si="8"/>
        <v>0</v>
      </c>
    </row>
    <row r="38" spans="1:18" ht="20.25" customHeight="1" thickBot="1">
      <c r="A38" s="881"/>
      <c r="B38" s="882"/>
      <c r="C38" s="882"/>
      <c r="D38" s="882"/>
      <c r="E38" s="882"/>
      <c r="F38" s="882"/>
      <c r="G38" s="882"/>
      <c r="H38" s="882"/>
      <c r="I38" s="882"/>
      <c r="J38" s="882"/>
      <c r="K38" s="882"/>
      <c r="L38" s="882"/>
      <c r="M38" s="882"/>
      <c r="N38" s="882"/>
      <c r="O38" s="882"/>
      <c r="P38" s="882"/>
      <c r="Q38" s="883"/>
      <c r="R38" s="282">
        <f t="shared" si="8"/>
        <v>0</v>
      </c>
    </row>
    <row r="39" spans="1:18" ht="18.75" customHeight="1">
      <c r="A39" s="878" t="s">
        <v>36</v>
      </c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79"/>
      <c r="P39" s="879"/>
      <c r="Q39" s="880"/>
      <c r="R39" s="282">
        <f t="shared" si="8"/>
        <v>0</v>
      </c>
    </row>
    <row r="40" spans="1:18" ht="29.25" customHeight="1" thickBot="1">
      <c r="A40" s="881"/>
      <c r="B40" s="882"/>
      <c r="C40" s="882"/>
      <c r="D40" s="882"/>
      <c r="E40" s="882"/>
      <c r="F40" s="882"/>
      <c r="G40" s="882"/>
      <c r="H40" s="882"/>
      <c r="I40" s="882"/>
      <c r="J40" s="882"/>
      <c r="K40" s="882"/>
      <c r="L40" s="882"/>
      <c r="M40" s="882"/>
      <c r="N40" s="882"/>
      <c r="O40" s="882"/>
      <c r="P40" s="882"/>
      <c r="Q40" s="883"/>
      <c r="R40" s="282">
        <f t="shared" si="8"/>
        <v>0</v>
      </c>
    </row>
    <row r="41" spans="1:18">
      <c r="R41" s="282">
        <f t="shared" si="8"/>
        <v>0</v>
      </c>
    </row>
    <row r="42" spans="1:18">
      <c r="R42" s="282">
        <f t="shared" si="8"/>
        <v>0</v>
      </c>
    </row>
    <row r="43" spans="1:18">
      <c r="R43" s="282">
        <f t="shared" si="8"/>
        <v>0</v>
      </c>
    </row>
    <row r="44" spans="1:18" ht="15" customHeight="1">
      <c r="P44" s="292"/>
      <c r="Q44" s="292"/>
      <c r="R44" s="282">
        <f t="shared" si="8"/>
        <v>0</v>
      </c>
    </row>
    <row r="45" spans="1:18" ht="15" customHeight="1">
      <c r="P45" s="292">
        <f>98.57</f>
        <v>98.57</v>
      </c>
      <c r="Q45" s="292">
        <f>97.92</f>
        <v>97.92</v>
      </c>
      <c r="R45" s="282">
        <f t="shared" si="8"/>
        <v>-98.57</v>
      </c>
    </row>
    <row r="46" spans="1:18" ht="15" customHeight="1">
      <c r="R46" s="282">
        <f t="shared" si="8"/>
        <v>0</v>
      </c>
    </row>
    <row r="47" spans="1:18" ht="15" customHeight="1">
      <c r="C47" s="290"/>
      <c r="R47" s="282">
        <f t="shared" si="8"/>
        <v>0</v>
      </c>
    </row>
    <row r="48" spans="1:18" ht="15" customHeight="1">
      <c r="C48" s="290"/>
      <c r="R48" s="282">
        <f t="shared" si="8"/>
        <v>0</v>
      </c>
    </row>
    <row r="49" spans="3:18" ht="15" customHeight="1">
      <c r="K49" s="222">
        <f>85+86+94</f>
        <v>265</v>
      </c>
      <c r="R49" s="282">
        <f t="shared" si="8"/>
        <v>0</v>
      </c>
    </row>
    <row r="50" spans="3:18" ht="15" customHeight="1">
      <c r="K50" s="222">
        <f>K49/3</f>
        <v>88.333333333333329</v>
      </c>
      <c r="R50" s="282">
        <f t="shared" si="8"/>
        <v>0</v>
      </c>
    </row>
    <row r="51" spans="3:18" ht="15" customHeight="1">
      <c r="R51" s="282">
        <f t="shared" si="8"/>
        <v>0</v>
      </c>
    </row>
    <row r="52" spans="3:18" ht="11.25" customHeight="1">
      <c r="R52" s="282">
        <f t="shared" si="8"/>
        <v>0</v>
      </c>
    </row>
    <row r="53" spans="3:18" ht="11.25" customHeight="1">
      <c r="R53" s="282">
        <f t="shared" si="8"/>
        <v>0</v>
      </c>
    </row>
    <row r="54" spans="3:18" ht="11.25" customHeight="1">
      <c r="R54" s="282">
        <f t="shared" si="8"/>
        <v>0</v>
      </c>
    </row>
    <row r="55" spans="3:18" ht="11.25" customHeight="1">
      <c r="R55" s="282">
        <f t="shared" si="8"/>
        <v>0</v>
      </c>
    </row>
    <row r="56" spans="3:18" ht="11.25" customHeight="1"/>
    <row r="57" spans="3:18" ht="11.25" customHeight="1">
      <c r="C57" s="290" t="e">
        <f>C8:C30</f>
        <v>#VALUE!</v>
      </c>
      <c r="L57" s="282">
        <f>L8+L9+L10+L11+L12+L13+L14+L15+L16+L17+L18+L26+L19+L20+L22+L23+L24+L27+L28+L30</f>
        <v>1914.1688214310252</v>
      </c>
      <c r="M57" s="282">
        <f>M8+M9+M10+M11+M12+M13+M14+M15+M16+M17+M18+M26+M19+M20+M22+M23+M24+M27+M28+M30</f>
        <v>1907.6773897143446</v>
      </c>
    </row>
    <row r="58" spans="3:18" ht="11.25" customHeight="1">
      <c r="C58" s="290">
        <f>C8+C9+C10+C11+C12+C13+C14+C15+C16+C17+C18+C19+C20+C22+C23+C24+C26+C27+C28+C30</f>
        <v>2525</v>
      </c>
      <c r="L58" s="222">
        <f>L57/20</f>
        <v>95.708441071551263</v>
      </c>
      <c r="M58" s="222">
        <f>M57/20</f>
        <v>95.383869485717227</v>
      </c>
    </row>
    <row r="59" spans="3:18">
      <c r="F59" s="222">
        <f>1013.5+118.24</f>
        <v>1131.74</v>
      </c>
      <c r="P59" s="282" t="e">
        <f>P8+P9+P10+P11+P12+P13+P14+P15+P16+P17+P18+P26+P19+P20+P22+P23+P24+P27+P28+P30</f>
        <v>#REF!</v>
      </c>
      <c r="Q59" s="282" t="e">
        <f>Q8+Q9+Q10+Q11+Q12+Q13+Q14+Q15+Q16+Q17+Q18+Q26+Q19+Q20+Q22+Q23+Q24+Q27+Q28+Q30</f>
        <v>#REF!</v>
      </c>
    </row>
    <row r="60" spans="3:18">
      <c r="C60" s="290">
        <f>C30+C29+C26+C25+C21+C18+C17+C16+C15+C14+C13+C12+C11+C10+C9+C8</f>
        <v>2525</v>
      </c>
    </row>
    <row r="61" spans="3:18">
      <c r="C61" s="222">
        <v>1420</v>
      </c>
      <c r="K61" s="282">
        <f>3258+J21</f>
        <v>6488.36</v>
      </c>
      <c r="P61" s="222" t="e">
        <f>P59/20</f>
        <v>#REF!</v>
      </c>
      <c r="Q61" s="222" t="e">
        <f>Q59/20</f>
        <v>#REF!</v>
      </c>
    </row>
    <row r="62" spans="3:18">
      <c r="C62" s="222">
        <v>529</v>
      </c>
    </row>
    <row r="63" spans="3:18">
      <c r="C63" s="290">
        <f>SUM(C60:C62)</f>
        <v>4474</v>
      </c>
    </row>
    <row r="64" spans="3:18">
      <c r="G64" s="222">
        <f>71.34+67.53</f>
        <v>138.87</v>
      </c>
    </row>
  </sheetData>
  <mergeCells count="17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A39:Q40"/>
    <mergeCell ref="G5:I5"/>
    <mergeCell ref="J5:M5"/>
    <mergeCell ref="N5:Q5"/>
    <mergeCell ref="A32:Q33"/>
    <mergeCell ref="A34:Q36"/>
    <mergeCell ref="A37:Q38"/>
  </mergeCells>
  <printOptions horizontalCentered="1"/>
  <pageMargins left="0" right="0" top="0.5" bottom="0" header="0.19" footer="0.5"/>
  <pageSetup paperSize="9" scale="6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view="pageBreakPreview" zoomScale="80" zoomScaleSheetLayoutView="80" workbookViewId="0">
      <selection activeCell="I34" activeCellId="1" sqref="I34 L36"/>
    </sheetView>
  </sheetViews>
  <sheetFormatPr defaultRowHeight="12.75"/>
  <cols>
    <col min="1" max="1" width="5" style="325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7.42578125" style="2" customWidth="1"/>
    <col min="8" max="8" width="18.5703125" style="2" customWidth="1"/>
    <col min="9" max="9" width="15.8554687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5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5" ht="18" customHeight="1">
      <c r="A3" s="826" t="s">
        <v>132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5" ht="15" customHeight="1">
      <c r="A4" s="279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5" s="88" customFormat="1" ht="28.5" customHeight="1">
      <c r="A5" s="821" t="s">
        <v>2</v>
      </c>
      <c r="B5" s="821" t="s">
        <v>3</v>
      </c>
      <c r="C5" s="873" t="s">
        <v>4</v>
      </c>
      <c r="D5" s="873" t="s">
        <v>5</v>
      </c>
      <c r="E5" s="873" t="s">
        <v>6</v>
      </c>
      <c r="F5" s="821" t="s">
        <v>7</v>
      </c>
      <c r="G5" s="822" t="s">
        <v>8</v>
      </c>
      <c r="H5" s="823"/>
      <c r="I5" s="823"/>
      <c r="J5" s="823" t="s">
        <v>133</v>
      </c>
      <c r="K5" s="823"/>
      <c r="L5" s="823"/>
      <c r="M5" s="823"/>
      <c r="N5" s="823" t="s">
        <v>84</v>
      </c>
      <c r="O5" s="823"/>
      <c r="P5" s="823"/>
      <c r="Q5" s="823"/>
      <c r="V5" s="81">
        <v>42583</v>
      </c>
      <c r="W5" s="82">
        <v>31</v>
      </c>
      <c r="X5" s="82">
        <f t="shared" si="0"/>
        <v>31</v>
      </c>
      <c r="Y5" s="89"/>
    </row>
    <row r="6" spans="1:25" s="90" customFormat="1" ht="114" customHeight="1">
      <c r="A6" s="821"/>
      <c r="B6" s="821"/>
      <c r="C6" s="873"/>
      <c r="D6" s="873"/>
      <c r="E6" s="873"/>
      <c r="F6" s="821"/>
      <c r="G6" s="327" t="s">
        <v>9</v>
      </c>
      <c r="H6" s="327" t="s">
        <v>10</v>
      </c>
      <c r="I6" s="323" t="s">
        <v>11</v>
      </c>
      <c r="J6" s="323" t="s">
        <v>12</v>
      </c>
      <c r="K6" s="323" t="s">
        <v>13</v>
      </c>
      <c r="L6" s="180" t="s">
        <v>78</v>
      </c>
      <c r="M6" s="180" t="s">
        <v>14</v>
      </c>
      <c r="N6" s="180" t="s">
        <v>15</v>
      </c>
      <c r="O6" s="323" t="s">
        <v>16</v>
      </c>
      <c r="P6" s="180" t="s">
        <v>17</v>
      </c>
      <c r="Q6" s="180" t="s">
        <v>18</v>
      </c>
      <c r="V6" s="81">
        <v>42614</v>
      </c>
      <c r="W6" s="82">
        <v>30</v>
      </c>
      <c r="X6" s="82">
        <f t="shared" si="0"/>
        <v>30</v>
      </c>
      <c r="Y6" s="83"/>
    </row>
    <row r="7" spans="1:25" s="278" customFormat="1" ht="24" customHeight="1">
      <c r="A7" s="6">
        <v>1</v>
      </c>
      <c r="B7" s="6">
        <v>2</v>
      </c>
      <c r="C7" s="178">
        <v>3</v>
      </c>
      <c r="D7" s="178">
        <v>4</v>
      </c>
      <c r="E7" s="178">
        <v>5</v>
      </c>
      <c r="F7" s="6" t="s">
        <v>19</v>
      </c>
      <c r="G7" s="178">
        <v>6</v>
      </c>
      <c r="H7" s="178">
        <v>7</v>
      </c>
      <c r="I7" s="6" t="s">
        <v>20</v>
      </c>
      <c r="J7" s="6" t="s">
        <v>21</v>
      </c>
      <c r="K7" s="7" t="s">
        <v>22</v>
      </c>
      <c r="L7" s="179" t="s">
        <v>23</v>
      </c>
      <c r="M7" s="179" t="s">
        <v>24</v>
      </c>
      <c r="N7" s="179">
        <v>13</v>
      </c>
      <c r="O7" s="6" t="s">
        <v>64</v>
      </c>
      <c r="P7" s="179">
        <v>15</v>
      </c>
      <c r="Q7" s="179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5" s="345" customFormat="1" ht="42" customHeight="1">
      <c r="A8" s="338">
        <v>1</v>
      </c>
      <c r="B8" s="339" t="s">
        <v>26</v>
      </c>
      <c r="C8" s="400">
        <v>34</v>
      </c>
      <c r="D8" s="400">
        <v>31</v>
      </c>
      <c r="E8" s="403">
        <v>3.1</v>
      </c>
      <c r="F8" s="340" t="e">
        <f>E8+'Oct ANX I    '!F8</f>
        <v>#REF!</v>
      </c>
      <c r="G8" s="403">
        <v>179.65000000000003</v>
      </c>
      <c r="H8" s="403">
        <v>26.85</v>
      </c>
      <c r="I8" s="341">
        <f>G8+H8</f>
        <v>206.50000000000003</v>
      </c>
      <c r="J8" s="341">
        <f>E8+I8</f>
        <v>209.60000000000002</v>
      </c>
      <c r="K8" s="341">
        <f>J8/C8</f>
        <v>6.1647058823529415</v>
      </c>
      <c r="L8" s="342">
        <f>+(((C8*24)*30)-I8)*100/((C8*24)*30)</f>
        <v>99.156454248366018</v>
      </c>
      <c r="M8" s="342">
        <f>+(((C8*24)*30)-J8)*100/((C8*24)*30)</f>
        <v>99.143790849673209</v>
      </c>
      <c r="N8" s="342" t="e">
        <f>J8+'Oct ANX I    '!N8</f>
        <v>#REF!</v>
      </c>
      <c r="O8" s="343" t="e">
        <f>N8/C8</f>
        <v>#REF!</v>
      </c>
      <c r="P8" s="342" t="e">
        <f>((C8*24*244)-(N8-E8))*100/(C8*24*244)</f>
        <v>#REF!</v>
      </c>
      <c r="Q8" s="342" t="e">
        <f>((C8*24*244)-(N8))*100/(C8*24*244)</f>
        <v>#REF!</v>
      </c>
      <c r="R8" s="341"/>
      <c r="S8" s="344" t="e">
        <f>L8-P8</f>
        <v>#REF!</v>
      </c>
      <c r="T8" s="344" t="e">
        <f>M8-Q8</f>
        <v>#REF!</v>
      </c>
      <c r="V8" s="346">
        <v>42675</v>
      </c>
      <c r="W8" s="347">
        <v>30</v>
      </c>
      <c r="X8" s="347">
        <f t="shared" si="0"/>
        <v>30</v>
      </c>
      <c r="Y8" s="345">
        <f>122+31</f>
        <v>153</v>
      </c>
    </row>
    <row r="9" spans="1:25" s="345" customFormat="1" ht="42" customHeight="1">
      <c r="A9" s="338">
        <v>2</v>
      </c>
      <c r="B9" s="339" t="s">
        <v>27</v>
      </c>
      <c r="C9" s="401">
        <v>11</v>
      </c>
      <c r="D9" s="401">
        <v>11</v>
      </c>
      <c r="E9" s="403">
        <v>10.5</v>
      </c>
      <c r="F9" s="340" t="e">
        <f>E9+'Oct ANX I    '!F9</f>
        <v>#REF!</v>
      </c>
      <c r="G9" s="403">
        <v>214.29</v>
      </c>
      <c r="H9" s="403">
        <v>153.08000000000001</v>
      </c>
      <c r="I9" s="341">
        <f t="shared" ref="I9:I14" si="1">G9+H9</f>
        <v>367.37</v>
      </c>
      <c r="J9" s="341">
        <f t="shared" ref="J9:J14" si="2">E9+I9</f>
        <v>377.87</v>
      </c>
      <c r="K9" s="341">
        <f t="shared" ref="K9:K14" si="3">J9/C9</f>
        <v>34.351818181818182</v>
      </c>
      <c r="L9" s="342">
        <f t="shared" ref="L9:L15" si="4">+(((C9*24)*31)-I9)*100/((C9*24)*31)</f>
        <v>95.511119257087003</v>
      </c>
      <c r="M9" s="342">
        <f t="shared" ref="M9:M15" si="5">+(((C9*24)*31)-J9)*100/((C9*24)*31)</f>
        <v>95.382820136852402</v>
      </c>
      <c r="N9" s="342" t="e">
        <f>J9+'Oct ANX I    '!N9</f>
        <v>#REF!</v>
      </c>
      <c r="O9" s="343" t="e">
        <f t="shared" ref="O9:O14" si="6">N9/C9</f>
        <v>#REF!</v>
      </c>
      <c r="P9" s="342" t="e">
        <f t="shared" ref="P9:P15" si="7">((C9*24*244)-(N9-E9))*100/(C9*24*244)</f>
        <v>#REF!</v>
      </c>
      <c r="Q9" s="342" t="e">
        <f t="shared" ref="Q9:Q15" si="8">((C9*24*244)-(N9))*100/(C9*24*244)</f>
        <v>#REF!</v>
      </c>
      <c r="R9" s="341"/>
      <c r="S9" s="344" t="e">
        <f t="shared" ref="S9:T24" si="9">L9-P9</f>
        <v>#REF!</v>
      </c>
      <c r="T9" s="344" t="e">
        <f t="shared" si="9"/>
        <v>#REF!</v>
      </c>
      <c r="V9" s="346">
        <v>42705</v>
      </c>
      <c r="W9" s="347">
        <v>31</v>
      </c>
      <c r="X9" s="347">
        <v>31</v>
      </c>
    </row>
    <row r="10" spans="1:25" s="348" customFormat="1" ht="42" customHeight="1">
      <c r="A10" s="338">
        <v>3</v>
      </c>
      <c r="B10" s="339" t="s">
        <v>28</v>
      </c>
      <c r="C10" s="402">
        <v>30</v>
      </c>
      <c r="D10" s="402">
        <v>30</v>
      </c>
      <c r="E10" s="404">
        <v>70</v>
      </c>
      <c r="F10" s="340" t="e">
        <f>E10+'Oct ANX I    '!F10</f>
        <v>#REF!</v>
      </c>
      <c r="G10" s="404">
        <v>347</v>
      </c>
      <c r="H10" s="404">
        <v>162</v>
      </c>
      <c r="I10" s="341">
        <f t="shared" si="1"/>
        <v>509</v>
      </c>
      <c r="J10" s="341">
        <f t="shared" si="2"/>
        <v>579</v>
      </c>
      <c r="K10" s="341">
        <f t="shared" si="3"/>
        <v>19.3</v>
      </c>
      <c r="L10" s="342">
        <f t="shared" si="4"/>
        <v>97.719534050179206</v>
      </c>
      <c r="M10" s="342">
        <f t="shared" si="5"/>
        <v>97.405913978494624</v>
      </c>
      <c r="N10" s="342" t="e">
        <f>J10+'Oct ANX I    '!N10</f>
        <v>#REF!</v>
      </c>
      <c r="O10" s="343" t="e">
        <f t="shared" si="6"/>
        <v>#REF!</v>
      </c>
      <c r="P10" s="342" t="e">
        <f t="shared" si="7"/>
        <v>#REF!</v>
      </c>
      <c r="Q10" s="342" t="e">
        <f t="shared" si="8"/>
        <v>#REF!</v>
      </c>
      <c r="R10" s="343"/>
      <c r="S10" s="344" t="e">
        <f t="shared" si="9"/>
        <v>#REF!</v>
      </c>
      <c r="T10" s="344" t="e">
        <f t="shared" si="9"/>
        <v>#REF!</v>
      </c>
      <c r="V10" s="349">
        <v>42370</v>
      </c>
      <c r="W10" s="350">
        <v>31</v>
      </c>
      <c r="X10" s="350">
        <f t="shared" si="0"/>
        <v>31</v>
      </c>
    </row>
    <row r="11" spans="1:25" s="355" customFormat="1" ht="42" customHeight="1">
      <c r="A11" s="351">
        <v>4</v>
      </c>
      <c r="B11" s="339" t="s">
        <v>29</v>
      </c>
      <c r="C11" s="217">
        <v>1342</v>
      </c>
      <c r="D11" s="217">
        <v>1136</v>
      </c>
      <c r="E11" s="217">
        <v>728</v>
      </c>
      <c r="F11" s="340" t="e">
        <f>E11+'Oct ANX I    '!F11</f>
        <v>#REF!</v>
      </c>
      <c r="G11" s="217">
        <v>3546</v>
      </c>
      <c r="H11" s="217">
        <v>2768</v>
      </c>
      <c r="I11" s="341">
        <f>G11+H11</f>
        <v>6314</v>
      </c>
      <c r="J11" s="352">
        <f t="shared" si="2"/>
        <v>7042</v>
      </c>
      <c r="K11" s="352">
        <f t="shared" si="3"/>
        <v>5.247391952309985</v>
      </c>
      <c r="L11" s="342">
        <f t="shared" si="4"/>
        <v>99.367618543980257</v>
      </c>
      <c r="M11" s="342">
        <f t="shared" si="5"/>
        <v>99.294705382754032</v>
      </c>
      <c r="N11" s="342" t="e">
        <f>J11+'Oct ANX I    '!N11</f>
        <v>#REF!</v>
      </c>
      <c r="O11" s="353" t="e">
        <f t="shared" si="6"/>
        <v>#REF!</v>
      </c>
      <c r="P11" s="342" t="e">
        <f t="shared" si="7"/>
        <v>#REF!</v>
      </c>
      <c r="Q11" s="342" t="e">
        <f t="shared" si="8"/>
        <v>#REF!</v>
      </c>
      <c r="R11" s="354"/>
      <c r="S11" s="344" t="e">
        <f t="shared" si="9"/>
        <v>#REF!</v>
      </c>
      <c r="T11" s="344" t="e">
        <f t="shared" si="9"/>
        <v>#REF!</v>
      </c>
      <c r="V11" s="356">
        <v>42401</v>
      </c>
      <c r="W11" s="357">
        <v>29</v>
      </c>
      <c r="X11" s="357">
        <f t="shared" si="0"/>
        <v>29</v>
      </c>
    </row>
    <row r="12" spans="1:25" s="358" customFormat="1" ht="42" customHeight="1">
      <c r="A12" s="338">
        <v>5</v>
      </c>
      <c r="B12" s="339" t="s">
        <v>32</v>
      </c>
      <c r="C12" s="360">
        <v>4</v>
      </c>
      <c r="D12" s="360">
        <v>4</v>
      </c>
      <c r="E12" s="360">
        <v>8.8000000000000007</v>
      </c>
      <c r="F12" s="340" t="e">
        <f>E12+'Oct ANX I    '!F12</f>
        <v>#REF!</v>
      </c>
      <c r="G12" s="361">
        <v>6.3270833333333343</v>
      </c>
      <c r="H12" s="361">
        <v>7.1958333333333329</v>
      </c>
      <c r="I12" s="341">
        <f>G12+H12</f>
        <v>13.522916666666667</v>
      </c>
      <c r="J12" s="341">
        <f t="shared" si="2"/>
        <v>22.322916666666668</v>
      </c>
      <c r="K12" s="341">
        <f t="shared" si="3"/>
        <v>5.580729166666667</v>
      </c>
      <c r="L12" s="342">
        <f t="shared" si="4"/>
        <v>99.545600918458774</v>
      </c>
      <c r="M12" s="342">
        <f t="shared" si="5"/>
        <v>99.249901993727605</v>
      </c>
      <c r="N12" s="342" t="e">
        <f>J12+'Oct ANX I    '!N12</f>
        <v>#REF!</v>
      </c>
      <c r="O12" s="343" t="e">
        <f t="shared" si="6"/>
        <v>#REF!</v>
      </c>
      <c r="P12" s="342" t="e">
        <f t="shared" si="7"/>
        <v>#REF!</v>
      </c>
      <c r="Q12" s="342" t="e">
        <f t="shared" si="8"/>
        <v>#REF!</v>
      </c>
      <c r="R12" s="343"/>
      <c r="S12" s="344" t="e">
        <f t="shared" si="9"/>
        <v>#REF!</v>
      </c>
      <c r="T12" s="344" t="e">
        <f t="shared" si="9"/>
        <v>#REF!</v>
      </c>
      <c r="V12" s="349">
        <v>42430</v>
      </c>
      <c r="W12" s="350">
        <v>31</v>
      </c>
      <c r="X12" s="350">
        <v>31</v>
      </c>
    </row>
    <row r="13" spans="1:25" s="358" customFormat="1" ht="42" customHeight="1">
      <c r="A13" s="338">
        <v>6</v>
      </c>
      <c r="B13" s="339" t="s">
        <v>30</v>
      </c>
      <c r="C13" s="385">
        <v>12</v>
      </c>
      <c r="D13" s="385">
        <v>12</v>
      </c>
      <c r="E13" s="384">
        <v>1.06</v>
      </c>
      <c r="F13" s="340" t="e">
        <f>E13+'Oct ANX I    '!F13</f>
        <v>#REF!</v>
      </c>
      <c r="G13" s="384">
        <v>86.11</v>
      </c>
      <c r="H13" s="384">
        <v>55.92</v>
      </c>
      <c r="I13" s="341">
        <f t="shared" si="1"/>
        <v>142.03</v>
      </c>
      <c r="J13" s="341">
        <f t="shared" si="2"/>
        <v>143.09</v>
      </c>
      <c r="K13" s="341">
        <f t="shared" si="3"/>
        <v>11.924166666666666</v>
      </c>
      <c r="L13" s="342">
        <f t="shared" si="4"/>
        <v>98.409162186379916</v>
      </c>
      <c r="M13" s="342">
        <f t="shared" si="5"/>
        <v>98.397289426523301</v>
      </c>
      <c r="N13" s="342" t="e">
        <f>J13+'Oct ANX I    '!N13</f>
        <v>#REF!</v>
      </c>
      <c r="O13" s="343" t="e">
        <f t="shared" si="6"/>
        <v>#REF!</v>
      </c>
      <c r="P13" s="342" t="e">
        <f t="shared" si="7"/>
        <v>#REF!</v>
      </c>
      <c r="Q13" s="342" t="e">
        <f t="shared" si="8"/>
        <v>#REF!</v>
      </c>
      <c r="R13" s="343"/>
      <c r="S13" s="344" t="e">
        <f>L14-P14</f>
        <v>#REF!</v>
      </c>
      <c r="T13" s="344" t="e">
        <f>M14-Q14</f>
        <v>#REF!</v>
      </c>
      <c r="V13" s="350"/>
      <c r="W13" s="350">
        <f>SUM(W1:W12)</f>
        <v>366</v>
      </c>
      <c r="X13" s="350">
        <f>SUM(W14)</f>
        <v>0</v>
      </c>
    </row>
    <row r="14" spans="1:25" s="358" customFormat="1" ht="42" customHeight="1">
      <c r="A14" s="338">
        <v>7</v>
      </c>
      <c r="B14" s="339" t="s">
        <v>31</v>
      </c>
      <c r="C14" s="385">
        <v>9</v>
      </c>
      <c r="D14" s="385">
        <v>9</v>
      </c>
      <c r="E14" s="384">
        <v>22.05</v>
      </c>
      <c r="F14" s="340" t="e">
        <f>E14+'Oct ANX I    '!F14</f>
        <v>#REF!</v>
      </c>
      <c r="G14" s="384">
        <v>41</v>
      </c>
      <c r="H14" s="384">
        <v>35.36</v>
      </c>
      <c r="I14" s="341">
        <f t="shared" si="1"/>
        <v>76.36</v>
      </c>
      <c r="J14" s="341">
        <f t="shared" si="2"/>
        <v>98.41</v>
      </c>
      <c r="K14" s="341">
        <f t="shared" si="3"/>
        <v>10.934444444444445</v>
      </c>
      <c r="L14" s="342">
        <f t="shared" si="4"/>
        <v>98.859617682198333</v>
      </c>
      <c r="M14" s="342">
        <f t="shared" si="5"/>
        <v>98.530316606929503</v>
      </c>
      <c r="N14" s="342" t="e">
        <f>J14+'Oct ANX I    '!N14</f>
        <v>#REF!</v>
      </c>
      <c r="O14" s="343" t="e">
        <f t="shared" si="6"/>
        <v>#REF!</v>
      </c>
      <c r="P14" s="342" t="e">
        <f t="shared" si="7"/>
        <v>#REF!</v>
      </c>
      <c r="Q14" s="342" t="e">
        <f t="shared" si="8"/>
        <v>#REF!</v>
      </c>
      <c r="R14" s="359"/>
      <c r="S14" s="344" t="e">
        <f t="shared" si="9"/>
        <v>#REF!</v>
      </c>
      <c r="T14" s="344" t="e">
        <f t="shared" si="9"/>
        <v>#REF!</v>
      </c>
    </row>
    <row r="15" spans="1:25" ht="27.75" hidden="1" customHeight="1" thickBot="1">
      <c r="A15" s="16"/>
      <c r="B15" s="17"/>
      <c r="C15" s="18">
        <f t="shared" ref="C15:K15" si="10">C8+C9+C10+C11+C12+C14+C14</f>
        <v>1439</v>
      </c>
      <c r="D15" s="18">
        <f t="shared" si="10"/>
        <v>1230</v>
      </c>
      <c r="E15" s="18">
        <f t="shared" si="10"/>
        <v>864.49999999999989</v>
      </c>
      <c r="F15" s="193" t="e">
        <f>E15+'Oct ANX I    '!F15</f>
        <v>#REF!</v>
      </c>
      <c r="G15" s="18">
        <f>G8+G9+G10+G11+G12+G14+G14</f>
        <v>4375.2670833333341</v>
      </c>
      <c r="H15" s="18">
        <f>H8+H9+H10+H11+H12+H14+H14</f>
        <v>3187.8458333333333</v>
      </c>
      <c r="I15" s="18">
        <f t="shared" si="10"/>
        <v>7563.112916666666</v>
      </c>
      <c r="J15" s="18">
        <f t="shared" si="10"/>
        <v>8427.6129166666651</v>
      </c>
      <c r="K15" s="18">
        <f t="shared" si="10"/>
        <v>92.513534072036663</v>
      </c>
      <c r="L15" s="181">
        <f t="shared" si="4"/>
        <v>99.2935737074108</v>
      </c>
      <c r="M15" s="181">
        <f t="shared" si="5"/>
        <v>99.212825801532333</v>
      </c>
      <c r="N15" s="18" t="e">
        <f>N8+N9+N10+N11+N12+N14+N14</f>
        <v>#REF!</v>
      </c>
      <c r="O15" s="18" t="e">
        <f>O8+O9+O10+O11+O12+O14+O14</f>
        <v>#REF!</v>
      </c>
      <c r="P15" s="215" t="e">
        <f t="shared" si="7"/>
        <v>#REF!</v>
      </c>
      <c r="Q15" s="215" t="e">
        <f t="shared" si="8"/>
        <v>#REF!</v>
      </c>
      <c r="T15" s="43" t="e">
        <f t="shared" si="9"/>
        <v>#REF!</v>
      </c>
    </row>
    <row r="16" spans="1:25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:20" ht="24.75" hidden="1" customHeight="1">
      <c r="P33" s="21"/>
      <c r="Q33" s="21"/>
      <c r="T33" s="43">
        <f t="shared" si="11"/>
        <v>0</v>
      </c>
    </row>
    <row r="34" spans="1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:20" ht="18" hidden="1">
      <c r="T36" s="43">
        <f t="shared" si="11"/>
        <v>0</v>
      </c>
    </row>
    <row r="37" spans="1:20" ht="18" hidden="1">
      <c r="T37" s="43">
        <f t="shared" si="11"/>
        <v>0</v>
      </c>
    </row>
    <row r="38" spans="1:20" ht="18" hidden="1">
      <c r="N38" s="23"/>
      <c r="O38" s="23"/>
      <c r="P38" s="24"/>
      <c r="Q38" s="24"/>
      <c r="R38" s="21"/>
      <c r="T38" s="43">
        <f t="shared" si="11"/>
        <v>0</v>
      </c>
    </row>
    <row r="39" spans="1:20" ht="18" hidden="1">
      <c r="N39" s="23"/>
      <c r="O39" s="23"/>
      <c r="P39" s="23"/>
      <c r="Q39" s="23"/>
      <c r="T39" s="43">
        <f t="shared" si="11"/>
        <v>0</v>
      </c>
    </row>
    <row r="40" spans="1:20" ht="18" hidden="1">
      <c r="N40" s="23"/>
      <c r="O40" s="23"/>
      <c r="P40" s="23"/>
      <c r="Q40" s="23"/>
      <c r="T40" s="43">
        <f t="shared" si="11"/>
        <v>0</v>
      </c>
    </row>
    <row r="41" spans="1:20" ht="18" hidden="1">
      <c r="N41" s="23"/>
      <c r="O41" s="23"/>
      <c r="P41" s="23"/>
      <c r="Q41" s="23"/>
      <c r="T41" s="43">
        <f t="shared" si="11"/>
        <v>0</v>
      </c>
    </row>
    <row r="42" spans="1:20" ht="18" hidden="1">
      <c r="N42" s="23"/>
      <c r="O42" s="23"/>
      <c r="P42" s="23"/>
      <c r="Q42" s="23"/>
      <c r="T42" s="43">
        <f t="shared" si="11"/>
        <v>0</v>
      </c>
    </row>
    <row r="43" spans="1:20" ht="18" hidden="1">
      <c r="N43" s="23"/>
      <c r="O43" s="23"/>
      <c r="P43" s="23"/>
      <c r="Q43" s="23"/>
      <c r="T43" s="43">
        <f t="shared" si="11"/>
        <v>0</v>
      </c>
    </row>
    <row r="44" spans="1:20" ht="18" hidden="1">
      <c r="N44" s="23"/>
      <c r="O44" s="23"/>
      <c r="P44" s="23"/>
      <c r="Q44" s="23"/>
      <c r="T44" s="43">
        <f t="shared" si="11"/>
        <v>0</v>
      </c>
    </row>
    <row r="45" spans="1:20" s="25" customFormat="1" ht="18" hidden="1">
      <c r="A45" s="280"/>
      <c r="T45" s="43">
        <f t="shared" si="11"/>
        <v>0</v>
      </c>
    </row>
    <row r="46" spans="1:20" s="25" customFormat="1" ht="18" hidden="1">
      <c r="A46" s="280"/>
      <c r="P46" s="26"/>
      <c r="Q46" s="26"/>
      <c r="T46" s="43">
        <f t="shared" si="11"/>
        <v>0</v>
      </c>
    </row>
    <row r="47" spans="1:20" s="25" customFormat="1" ht="18" hidden="1">
      <c r="A47" s="280"/>
      <c r="P47" s="26"/>
      <c r="Q47" s="26"/>
      <c r="T47" s="43">
        <f t="shared" si="11"/>
        <v>0</v>
      </c>
    </row>
    <row r="48" spans="1:20" s="25" customFormat="1" ht="18" hidden="1">
      <c r="A48" s="280"/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1:20" s="25" customFormat="1" ht="18" hidden="1">
      <c r="A49" s="280"/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1:20" s="25" customFormat="1" ht="18" hidden="1">
      <c r="A50" s="280"/>
      <c r="T50" s="43">
        <f t="shared" si="11"/>
        <v>0</v>
      </c>
    </row>
    <row r="51" spans="1:20" s="25" customFormat="1" ht="18" hidden="1">
      <c r="A51" s="280"/>
      <c r="T51" s="43">
        <f t="shared" si="11"/>
        <v>0</v>
      </c>
    </row>
    <row r="52" spans="1:20" ht="18" hidden="1">
      <c r="T52" s="43">
        <f t="shared" si="11"/>
        <v>0</v>
      </c>
    </row>
    <row r="53" spans="1:20" ht="18" hidden="1">
      <c r="T53" s="43">
        <f t="shared" si="11"/>
        <v>0</v>
      </c>
    </row>
    <row r="54" spans="1:20" ht="18" hidden="1">
      <c r="T54" s="43">
        <f t="shared" si="11"/>
        <v>0</v>
      </c>
    </row>
    <row r="55" spans="1:20" ht="18" hidden="1">
      <c r="T55" s="43">
        <f t="shared" si="11"/>
        <v>0</v>
      </c>
    </row>
    <row r="56" spans="1:20">
      <c r="C56" s="326"/>
    </row>
    <row r="57" spans="1:20">
      <c r="C57" s="144"/>
    </row>
    <row r="58" spans="1:20" ht="48.75" customHeight="1">
      <c r="C58" s="144"/>
      <c r="L58" s="21"/>
      <c r="M58" s="21"/>
      <c r="N58" s="21"/>
    </row>
    <row r="59" spans="1:20" ht="18.75" customHeight="1">
      <c r="B59" s="819" t="s">
        <v>67</v>
      </c>
      <c r="C59" s="819"/>
      <c r="D59" s="819"/>
      <c r="E59" s="819"/>
      <c r="F59" s="819"/>
      <c r="G59" s="324"/>
      <c r="H59" s="324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1:20" ht="18.75" customHeight="1">
      <c r="B60" s="819" t="s">
        <v>69</v>
      </c>
      <c r="C60" s="819"/>
      <c r="D60" s="819"/>
      <c r="E60" s="819"/>
      <c r="F60" s="819"/>
      <c r="G60" s="324"/>
      <c r="H60" s="324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1:20" ht="18.75">
      <c r="B61" s="121"/>
      <c r="C61" s="122"/>
      <c r="D61" s="122"/>
      <c r="E61" s="324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1:20" ht="18.75">
      <c r="B62" s="121"/>
      <c r="C62" s="122"/>
      <c r="D62" s="122"/>
      <c r="E62" s="324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7" spans="7:10" ht="18">
      <c r="G67" s="188">
        <v>159.16666666666666</v>
      </c>
      <c r="H67" s="188">
        <v>137.17430555555555</v>
      </c>
    </row>
    <row r="69" spans="7:10">
      <c r="J69" s="174">
        <f>686.1</f>
        <v>686.1</v>
      </c>
    </row>
    <row r="70" spans="7:10">
      <c r="J70" s="2">
        <f>J69/7</f>
        <v>98.01428571428572</v>
      </c>
    </row>
  </sheetData>
  <mergeCells count="25"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view="pageBreakPreview" topLeftCell="A6" zoomScale="80" zoomScaleSheetLayoutView="80" workbookViewId="0">
      <selection activeCell="I34" activeCellId="1" sqref="I34 L36"/>
    </sheetView>
  </sheetViews>
  <sheetFormatPr defaultRowHeight="12.75"/>
  <cols>
    <col min="1" max="1" width="7.140625" style="271" customWidth="1"/>
    <col min="2" max="2" width="24.140625" style="272" customWidth="1"/>
    <col min="3" max="3" width="8.5703125" style="146" customWidth="1"/>
    <col min="4" max="4" width="7.42578125" style="146" customWidth="1"/>
    <col min="5" max="5" width="22.42578125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12.5703125" style="146" customWidth="1"/>
    <col min="13" max="13" width="12.140625" style="146" customWidth="1"/>
    <col min="14" max="14" width="15.140625" style="146" customWidth="1"/>
    <col min="15" max="16" width="14.42578125" style="146" customWidth="1"/>
    <col min="17" max="17" width="13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117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134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322"/>
      <c r="B9" s="273"/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</row>
    <row r="10" spans="1:20" ht="12" customHeight="1">
      <c r="A10" s="836"/>
      <c r="B10" s="836"/>
      <c r="C10" s="836"/>
      <c r="D10" s="836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</row>
    <row r="11" spans="1:20" s="90" customFormat="1" ht="14.25" customHeight="1">
      <c r="A11" s="874" t="s">
        <v>2</v>
      </c>
      <c r="B11" s="875" t="s">
        <v>38</v>
      </c>
      <c r="C11" s="877" t="s">
        <v>4</v>
      </c>
      <c r="D11" s="877" t="s">
        <v>5</v>
      </c>
      <c r="E11" s="877" t="s">
        <v>6</v>
      </c>
      <c r="F11" s="874" t="s">
        <v>7</v>
      </c>
      <c r="G11" s="823" t="s">
        <v>39</v>
      </c>
      <c r="H11" s="823"/>
      <c r="I11" s="823"/>
      <c r="J11" s="823" t="s">
        <v>133</v>
      </c>
      <c r="K11" s="823"/>
      <c r="L11" s="823"/>
      <c r="M11" s="823"/>
      <c r="N11" s="823" t="s">
        <v>84</v>
      </c>
      <c r="O11" s="823"/>
      <c r="P11" s="823"/>
      <c r="Q11" s="823"/>
    </row>
    <row r="12" spans="1:20" s="90" customFormat="1" ht="117.75" customHeight="1">
      <c r="A12" s="874"/>
      <c r="B12" s="876"/>
      <c r="C12" s="877"/>
      <c r="D12" s="877"/>
      <c r="E12" s="877"/>
      <c r="F12" s="874"/>
      <c r="G12" s="329" t="s">
        <v>9</v>
      </c>
      <c r="H12" s="329" t="s">
        <v>10</v>
      </c>
      <c r="I12" s="328" t="s">
        <v>11</v>
      </c>
      <c r="J12" s="328" t="s">
        <v>12</v>
      </c>
      <c r="K12" s="328" t="s">
        <v>13</v>
      </c>
      <c r="L12" s="225" t="s">
        <v>78</v>
      </c>
      <c r="M12" s="225" t="s">
        <v>14</v>
      </c>
      <c r="N12" s="225" t="s">
        <v>15</v>
      </c>
      <c r="O12" s="328" t="s">
        <v>16</v>
      </c>
      <c r="P12" s="225" t="s">
        <v>17</v>
      </c>
      <c r="Q12" s="225" t="s">
        <v>18</v>
      </c>
    </row>
    <row r="13" spans="1:20" s="277" customFormat="1" ht="14.25" customHeight="1">
      <c r="A13" s="219">
        <v>1</v>
      </c>
      <c r="B13" s="219" t="s">
        <v>40</v>
      </c>
      <c r="C13" s="276">
        <v>3</v>
      </c>
      <c r="D13" s="276">
        <v>4</v>
      </c>
      <c r="E13" s="276">
        <v>5</v>
      </c>
      <c r="F13" s="219" t="s">
        <v>19</v>
      </c>
      <c r="G13" s="276">
        <v>6</v>
      </c>
      <c r="H13" s="276">
        <v>7</v>
      </c>
      <c r="I13" s="219" t="s">
        <v>20</v>
      </c>
      <c r="J13" s="219" t="s">
        <v>21</v>
      </c>
      <c r="K13" s="220" t="s">
        <v>22</v>
      </c>
      <c r="L13" s="221" t="s">
        <v>23</v>
      </c>
      <c r="M13" s="221" t="s">
        <v>24</v>
      </c>
      <c r="N13" s="221">
        <v>13</v>
      </c>
      <c r="O13" s="219" t="s">
        <v>25</v>
      </c>
      <c r="P13" s="221">
        <v>15</v>
      </c>
      <c r="Q13" s="221">
        <v>16</v>
      </c>
    </row>
    <row r="14" spans="1:20" s="330" customFormat="1" ht="24.95" customHeight="1">
      <c r="A14" s="228">
        <v>1</v>
      </c>
      <c r="B14" s="229" t="s">
        <v>41</v>
      </c>
      <c r="C14" s="405">
        <v>1</v>
      </c>
      <c r="D14" s="405">
        <v>1</v>
      </c>
      <c r="E14" s="409">
        <v>22.2</v>
      </c>
      <c r="F14" s="262" t="e">
        <f>E14+'oct ANX II '!F14</f>
        <v>#REF!</v>
      </c>
      <c r="G14" s="409">
        <v>5.85</v>
      </c>
      <c r="H14" s="409">
        <v>1.5</v>
      </c>
      <c r="I14" s="262">
        <f>G14+H14</f>
        <v>7.35</v>
      </c>
      <c r="J14" s="262">
        <f>E14+I14</f>
        <v>29.549999999999997</v>
      </c>
      <c r="K14" s="262">
        <f>J14/C14</f>
        <v>29.549999999999997</v>
      </c>
      <c r="L14" s="263">
        <f>+(((C14*24)*30)-I14)*100/((C14*24)*30)</f>
        <v>98.979166666666671</v>
      </c>
      <c r="M14" s="263">
        <f>+(((C14*24)*30)-J14)*100/((C14*24)*30)</f>
        <v>95.895833333333329</v>
      </c>
      <c r="N14" s="263" t="e">
        <f>J14+'oct ANX II '!N14</f>
        <v>#REF!</v>
      </c>
      <c r="O14" s="264" t="e">
        <f>N14/C14</f>
        <v>#REF!</v>
      </c>
      <c r="P14" s="263" t="e">
        <f>((C14*24*244)-(N14-E14))*100/(C14*24*244)</f>
        <v>#REF!</v>
      </c>
      <c r="Q14" s="263" t="e">
        <f>((C14*24*244)-(N14))*100/(C14*24*244)</f>
        <v>#REF!</v>
      </c>
      <c r="R14" s="265"/>
      <c r="S14" s="265" t="e">
        <f>L14-P14</f>
        <v>#REF!</v>
      </c>
      <c r="T14" s="265" t="e">
        <f>M14-Q14</f>
        <v>#REF!</v>
      </c>
    </row>
    <row r="15" spans="1:20" s="330" customFormat="1" ht="24.95" customHeight="1">
      <c r="A15" s="228">
        <v>2</v>
      </c>
      <c r="B15" s="229" t="s">
        <v>42</v>
      </c>
      <c r="C15" s="405">
        <v>1</v>
      </c>
      <c r="D15" s="405">
        <v>1</v>
      </c>
      <c r="E15" s="409">
        <v>12.1</v>
      </c>
      <c r="F15" s="262" t="e">
        <f>E15+'oct ANX II '!F15</f>
        <v>#REF!</v>
      </c>
      <c r="G15" s="409">
        <v>22.5</v>
      </c>
      <c r="H15" s="409">
        <v>0.35</v>
      </c>
      <c r="I15" s="262">
        <f t="shared" ref="I15:I39" si="0">G15+H15</f>
        <v>22.85</v>
      </c>
      <c r="J15" s="262">
        <f t="shared" ref="J15:J39" si="1">E15+I15</f>
        <v>34.950000000000003</v>
      </c>
      <c r="K15" s="262">
        <f t="shared" ref="K15:K39" si="2">J15/C15</f>
        <v>34.950000000000003</v>
      </c>
      <c r="L15" s="263">
        <f t="shared" ref="L15:L39" si="3">+(((C15*24)*30)-I15)*100/((C15*24)*30)</f>
        <v>96.826388888888886</v>
      </c>
      <c r="M15" s="263">
        <f t="shared" ref="M15:M39" si="4">+(((C15*24)*30)-J15)*100/((C15*24)*30)</f>
        <v>95.145833333333329</v>
      </c>
      <c r="N15" s="263" t="e">
        <f>J15+'oct ANX II '!N15</f>
        <v>#REF!</v>
      </c>
      <c r="O15" s="264" t="e">
        <f t="shared" ref="O15:O39" si="5">N15/C15</f>
        <v>#REF!</v>
      </c>
      <c r="P15" s="263" t="e">
        <f t="shared" ref="P15:P39" si="6">((C15*24*244)-(N15-E15))*100/(C15*24*244)</f>
        <v>#REF!</v>
      </c>
      <c r="Q15" s="263" t="e">
        <f t="shared" ref="Q15:Q39" si="7">((C15*24*244)-(N15))*100/(C15*24*244)</f>
        <v>#REF!</v>
      </c>
      <c r="R15" s="265"/>
      <c r="S15" s="265" t="e">
        <f t="shared" ref="S15:T39" si="8">L15-P15</f>
        <v>#REF!</v>
      </c>
      <c r="T15" s="265" t="e">
        <f t="shared" si="8"/>
        <v>#REF!</v>
      </c>
    </row>
    <row r="16" spans="1:20" s="330" customFormat="1" ht="24.95" customHeight="1">
      <c r="A16" s="228">
        <v>3</v>
      </c>
      <c r="B16" s="229" t="s">
        <v>43</v>
      </c>
      <c r="C16" s="406">
        <v>11</v>
      </c>
      <c r="D16" s="406">
        <v>11</v>
      </c>
      <c r="E16" s="410">
        <v>5.8900000000000006</v>
      </c>
      <c r="F16" s="262" t="e">
        <f>E16+'oct ANX II '!F16</f>
        <v>#REF!</v>
      </c>
      <c r="G16" s="411">
        <v>49.34</v>
      </c>
      <c r="H16" s="411">
        <v>30.330000000000002</v>
      </c>
      <c r="I16" s="262">
        <f t="shared" si="0"/>
        <v>79.67</v>
      </c>
      <c r="J16" s="262">
        <f t="shared" si="1"/>
        <v>85.56</v>
      </c>
      <c r="K16" s="262">
        <f t="shared" si="2"/>
        <v>7.7781818181818183</v>
      </c>
      <c r="L16" s="263">
        <f t="shared" si="3"/>
        <v>98.994065656565652</v>
      </c>
      <c r="M16" s="263">
        <f t="shared" si="4"/>
        <v>98.919696969696972</v>
      </c>
      <c r="N16" s="263" t="e">
        <f>J16+'oct ANX II '!N16</f>
        <v>#REF!</v>
      </c>
      <c r="O16" s="264" t="e">
        <f t="shared" si="5"/>
        <v>#REF!</v>
      </c>
      <c r="P16" s="263" t="e">
        <f t="shared" si="6"/>
        <v>#REF!</v>
      </c>
      <c r="Q16" s="263" t="e">
        <f t="shared" si="7"/>
        <v>#REF!</v>
      </c>
      <c r="R16" s="265"/>
      <c r="S16" s="265" t="e">
        <f t="shared" si="8"/>
        <v>#REF!</v>
      </c>
      <c r="T16" s="265" t="e">
        <f t="shared" si="8"/>
        <v>#REF!</v>
      </c>
    </row>
    <row r="17" spans="1:20" s="330" customFormat="1" ht="24.95" customHeight="1">
      <c r="A17" s="228">
        <v>4</v>
      </c>
      <c r="B17" s="229" t="s">
        <v>73</v>
      </c>
      <c r="C17" s="406">
        <v>2</v>
      </c>
      <c r="D17" s="406">
        <v>2</v>
      </c>
      <c r="E17" s="410">
        <v>3.5</v>
      </c>
      <c r="F17" s="262" t="e">
        <f>E17+'oct ANX II '!F17</f>
        <v>#REF!</v>
      </c>
      <c r="G17" s="411">
        <v>36.5</v>
      </c>
      <c r="H17" s="412">
        <v>3.0999999999999996</v>
      </c>
      <c r="I17" s="262">
        <f t="shared" si="0"/>
        <v>39.6</v>
      </c>
      <c r="J17" s="262">
        <f t="shared" si="1"/>
        <v>43.1</v>
      </c>
      <c r="K17" s="262">
        <f t="shared" si="2"/>
        <v>21.55</v>
      </c>
      <c r="L17" s="263">
        <f t="shared" si="3"/>
        <v>97.25</v>
      </c>
      <c r="M17" s="263">
        <f t="shared" si="4"/>
        <v>97.006944444444443</v>
      </c>
      <c r="N17" s="263" t="e">
        <f>J17+'oct ANX II '!N17</f>
        <v>#REF!</v>
      </c>
      <c r="O17" s="264" t="e">
        <f t="shared" si="5"/>
        <v>#REF!</v>
      </c>
      <c r="P17" s="263" t="e">
        <f t="shared" si="6"/>
        <v>#REF!</v>
      </c>
      <c r="Q17" s="263" t="e">
        <f t="shared" si="7"/>
        <v>#REF!</v>
      </c>
      <c r="R17" s="265"/>
      <c r="S17" s="265" t="e">
        <f>L17-P17</f>
        <v>#REF!</v>
      </c>
      <c r="T17" s="265" t="e">
        <f>M17-Q17</f>
        <v>#REF!</v>
      </c>
    </row>
    <row r="18" spans="1:20" s="330" customFormat="1" ht="24.95" customHeight="1">
      <c r="A18" s="228">
        <v>5</v>
      </c>
      <c r="B18" s="229" t="s">
        <v>79</v>
      </c>
      <c r="C18" s="407">
        <v>4</v>
      </c>
      <c r="D18" s="407">
        <v>4</v>
      </c>
      <c r="E18" s="411">
        <v>3.4</v>
      </c>
      <c r="F18" s="262" t="e">
        <f>E18+'oct ANX II '!F18</f>
        <v>#REF!</v>
      </c>
      <c r="G18" s="411">
        <v>25.799999999999997</v>
      </c>
      <c r="H18" s="411">
        <v>0.85000000000000009</v>
      </c>
      <c r="I18" s="262">
        <f t="shared" si="0"/>
        <v>26.65</v>
      </c>
      <c r="J18" s="262">
        <f t="shared" si="1"/>
        <v>30.049999999999997</v>
      </c>
      <c r="K18" s="262">
        <f t="shared" si="2"/>
        <v>7.5124999999999993</v>
      </c>
      <c r="L18" s="263">
        <f t="shared" si="3"/>
        <v>99.074652777777771</v>
      </c>
      <c r="M18" s="263">
        <f t="shared" si="4"/>
        <v>98.956597222222229</v>
      </c>
      <c r="N18" s="263" t="e">
        <f>J18+'oct ANX II '!N18</f>
        <v>#REF!</v>
      </c>
      <c r="O18" s="264" t="e">
        <f t="shared" si="5"/>
        <v>#REF!</v>
      </c>
      <c r="P18" s="263" t="e">
        <f t="shared" si="6"/>
        <v>#REF!</v>
      </c>
      <c r="Q18" s="263" t="e">
        <f t="shared" si="7"/>
        <v>#REF!</v>
      </c>
      <c r="R18" s="265"/>
      <c r="S18" s="265" t="e">
        <f>L18-P18</f>
        <v>#REF!</v>
      </c>
      <c r="T18" s="265" t="e">
        <f>M18-Q18</f>
        <v>#REF!</v>
      </c>
    </row>
    <row r="19" spans="1:20" s="330" customFormat="1" ht="24.95" customHeight="1">
      <c r="A19" s="228">
        <v>6</v>
      </c>
      <c r="B19" s="229" t="s">
        <v>80</v>
      </c>
      <c r="C19" s="407">
        <v>1</v>
      </c>
      <c r="D19" s="407">
        <v>1</v>
      </c>
      <c r="E19" s="411">
        <v>5.6</v>
      </c>
      <c r="F19" s="262" t="e">
        <f>E19+'oct ANX II '!F19</f>
        <v>#REF!</v>
      </c>
      <c r="G19" s="411">
        <v>21.94</v>
      </c>
      <c r="H19" s="411">
        <v>12.49</v>
      </c>
      <c r="I19" s="262">
        <f t="shared" si="0"/>
        <v>34.43</v>
      </c>
      <c r="J19" s="262">
        <f t="shared" si="1"/>
        <v>40.03</v>
      </c>
      <c r="K19" s="262">
        <f t="shared" si="2"/>
        <v>40.03</v>
      </c>
      <c r="L19" s="263">
        <f t="shared" si="3"/>
        <v>95.218055555555551</v>
      </c>
      <c r="M19" s="263">
        <f t="shared" si="4"/>
        <v>94.44027777777778</v>
      </c>
      <c r="N19" s="263" t="e">
        <f>J19+'oct ANX II '!N19</f>
        <v>#REF!</v>
      </c>
      <c r="O19" s="264" t="e">
        <f t="shared" si="5"/>
        <v>#REF!</v>
      </c>
      <c r="P19" s="263" t="e">
        <f t="shared" si="6"/>
        <v>#REF!</v>
      </c>
      <c r="Q19" s="263" t="e">
        <f t="shared" si="7"/>
        <v>#REF!</v>
      </c>
      <c r="R19" s="265"/>
      <c r="S19" s="265" t="e">
        <f t="shared" si="8"/>
        <v>#REF!</v>
      </c>
      <c r="T19" s="265" t="e">
        <f t="shared" si="8"/>
        <v>#REF!</v>
      </c>
    </row>
    <row r="20" spans="1:20" s="330" customFormat="1" ht="24.95" customHeight="1">
      <c r="A20" s="228">
        <v>7</v>
      </c>
      <c r="B20" s="229" t="s">
        <v>74</v>
      </c>
      <c r="C20" s="407">
        <v>2</v>
      </c>
      <c r="D20" s="407">
        <v>2</v>
      </c>
      <c r="E20" s="411">
        <v>11.5</v>
      </c>
      <c r="F20" s="262" t="e">
        <f>E20+'oct ANX II '!F20</f>
        <v>#REF!</v>
      </c>
      <c r="G20" s="411">
        <v>47.69</v>
      </c>
      <c r="H20" s="411">
        <v>37.42</v>
      </c>
      <c r="I20" s="262">
        <f t="shared" si="0"/>
        <v>85.11</v>
      </c>
      <c r="J20" s="262">
        <f t="shared" si="1"/>
        <v>96.61</v>
      </c>
      <c r="K20" s="262">
        <f t="shared" si="2"/>
        <v>48.305</v>
      </c>
      <c r="L20" s="263">
        <f t="shared" si="3"/>
        <v>94.089583333333337</v>
      </c>
      <c r="M20" s="263">
        <f t="shared" si="4"/>
        <v>93.290972222222223</v>
      </c>
      <c r="N20" s="263" t="e">
        <f>J20+'oct ANX II '!N20</f>
        <v>#REF!</v>
      </c>
      <c r="O20" s="264" t="e">
        <f t="shared" si="5"/>
        <v>#REF!</v>
      </c>
      <c r="P20" s="263" t="e">
        <f t="shared" si="6"/>
        <v>#REF!</v>
      </c>
      <c r="Q20" s="263" t="e">
        <f t="shared" si="7"/>
        <v>#REF!</v>
      </c>
      <c r="R20" s="265"/>
      <c r="S20" s="265" t="e">
        <f t="shared" si="8"/>
        <v>#REF!</v>
      </c>
      <c r="T20" s="265" t="e">
        <f t="shared" si="8"/>
        <v>#REF!</v>
      </c>
    </row>
    <row r="21" spans="1:20" s="330" customFormat="1" ht="24.95" customHeight="1">
      <c r="A21" s="228">
        <v>8</v>
      </c>
      <c r="B21" s="229" t="s">
        <v>44</v>
      </c>
      <c r="C21" s="408">
        <v>3</v>
      </c>
      <c r="D21" s="408">
        <v>3</v>
      </c>
      <c r="E21" s="411">
        <v>12.109736115494895</v>
      </c>
      <c r="F21" s="262" t="e">
        <f>E21+'oct ANX II '!F21</f>
        <v>#REF!</v>
      </c>
      <c r="G21" s="413">
        <v>61.9</v>
      </c>
      <c r="H21" s="411">
        <v>4.3499999999999996</v>
      </c>
      <c r="I21" s="262">
        <f t="shared" si="0"/>
        <v>66.25</v>
      </c>
      <c r="J21" s="262">
        <f t="shared" si="1"/>
        <v>78.359736115494897</v>
      </c>
      <c r="K21" s="262">
        <f t="shared" si="2"/>
        <v>26.119912038498299</v>
      </c>
      <c r="L21" s="263">
        <f t="shared" si="3"/>
        <v>96.932870370370367</v>
      </c>
      <c r="M21" s="263">
        <f t="shared" si="4"/>
        <v>96.372234439097468</v>
      </c>
      <c r="N21" s="263" t="e">
        <f>J21+'oct ANX II '!N21</f>
        <v>#REF!</v>
      </c>
      <c r="O21" s="264" t="e">
        <f t="shared" si="5"/>
        <v>#REF!</v>
      </c>
      <c r="P21" s="263" t="e">
        <f t="shared" si="6"/>
        <v>#REF!</v>
      </c>
      <c r="Q21" s="263" t="e">
        <f t="shared" si="7"/>
        <v>#REF!</v>
      </c>
      <c r="R21" s="265"/>
      <c r="S21" s="265" t="e">
        <f t="shared" si="8"/>
        <v>#REF!</v>
      </c>
      <c r="T21" s="265" t="e">
        <f t="shared" si="8"/>
        <v>#REF!</v>
      </c>
    </row>
    <row r="22" spans="1:20" s="330" customFormat="1" ht="24.95" customHeight="1">
      <c r="A22" s="228">
        <v>9</v>
      </c>
      <c r="B22" s="229" t="s">
        <v>75</v>
      </c>
      <c r="C22" s="408">
        <v>5</v>
      </c>
      <c r="D22" s="408">
        <v>5</v>
      </c>
      <c r="E22" s="411">
        <v>14.041350465205763</v>
      </c>
      <c r="F22" s="262" t="e">
        <f>E22+'oct ANX II '!F22</f>
        <v>#REF!</v>
      </c>
      <c r="G22" s="413">
        <v>13.6</v>
      </c>
      <c r="H22" s="411">
        <v>7.2</v>
      </c>
      <c r="I22" s="262">
        <f t="shared" si="0"/>
        <v>20.8</v>
      </c>
      <c r="J22" s="262">
        <f t="shared" si="1"/>
        <v>34.841350465205764</v>
      </c>
      <c r="K22" s="262">
        <f t="shared" si="2"/>
        <v>6.968270093041153</v>
      </c>
      <c r="L22" s="263">
        <f t="shared" si="3"/>
        <v>99.422222222222217</v>
      </c>
      <c r="M22" s="263">
        <f t="shared" si="4"/>
        <v>99.032184709299841</v>
      </c>
      <c r="N22" s="263" t="e">
        <f>J22+'oct ANX II '!N22</f>
        <v>#REF!</v>
      </c>
      <c r="O22" s="264" t="e">
        <f t="shared" si="5"/>
        <v>#REF!</v>
      </c>
      <c r="P22" s="263" t="e">
        <f t="shared" si="6"/>
        <v>#REF!</v>
      </c>
      <c r="Q22" s="263" t="e">
        <f t="shared" si="7"/>
        <v>#REF!</v>
      </c>
      <c r="R22" s="265"/>
      <c r="S22" s="265" t="e">
        <f t="shared" si="8"/>
        <v>#REF!</v>
      </c>
      <c r="T22" s="265" t="e">
        <f t="shared" si="8"/>
        <v>#REF!</v>
      </c>
    </row>
    <row r="23" spans="1:20" s="330" customFormat="1" ht="24.95" customHeight="1">
      <c r="A23" s="228">
        <v>10</v>
      </c>
      <c r="B23" s="229" t="s">
        <v>76</v>
      </c>
      <c r="C23" s="408">
        <v>1</v>
      </c>
      <c r="D23" s="408">
        <v>1</v>
      </c>
      <c r="E23" s="411">
        <v>1.9210343462718993</v>
      </c>
      <c r="F23" s="262" t="e">
        <f>E23+'oct ANX II '!F23</f>
        <v>#REF!</v>
      </c>
      <c r="G23" s="413">
        <v>9.8000000000000007</v>
      </c>
      <c r="H23" s="411">
        <v>1.45</v>
      </c>
      <c r="I23" s="262">
        <f t="shared" si="0"/>
        <v>11.25</v>
      </c>
      <c r="J23" s="262">
        <f t="shared" si="1"/>
        <v>13.171034346271899</v>
      </c>
      <c r="K23" s="262">
        <f t="shared" si="2"/>
        <v>13.171034346271899</v>
      </c>
      <c r="L23" s="263">
        <f t="shared" si="3"/>
        <v>98.4375</v>
      </c>
      <c r="M23" s="263">
        <f t="shared" si="4"/>
        <v>98.170689674128894</v>
      </c>
      <c r="N23" s="263" t="e">
        <f>J23+'oct ANX II '!N23</f>
        <v>#REF!</v>
      </c>
      <c r="O23" s="264" t="e">
        <f t="shared" si="5"/>
        <v>#REF!</v>
      </c>
      <c r="P23" s="263" t="e">
        <f t="shared" si="6"/>
        <v>#REF!</v>
      </c>
      <c r="Q23" s="263" t="e">
        <f t="shared" si="7"/>
        <v>#REF!</v>
      </c>
      <c r="R23" s="265"/>
      <c r="S23" s="265" t="e">
        <f t="shared" si="8"/>
        <v>#REF!</v>
      </c>
      <c r="T23" s="265" t="e">
        <f t="shared" si="8"/>
        <v>#REF!</v>
      </c>
    </row>
    <row r="24" spans="1:20" s="266" customFormat="1" ht="24.95" customHeight="1">
      <c r="A24" s="228">
        <v>11</v>
      </c>
      <c r="B24" s="229" t="s">
        <v>28</v>
      </c>
      <c r="C24" s="414">
        <v>7</v>
      </c>
      <c r="D24" s="414">
        <v>7</v>
      </c>
      <c r="E24" s="414">
        <v>10</v>
      </c>
      <c r="F24" s="415" t="e">
        <f>E24+'oct ANX II '!F24</f>
        <v>#REF!</v>
      </c>
      <c r="G24" s="414">
        <v>100</v>
      </c>
      <c r="H24" s="414">
        <v>250</v>
      </c>
      <c r="I24" s="262">
        <f t="shared" si="0"/>
        <v>350</v>
      </c>
      <c r="J24" s="262">
        <f t="shared" si="1"/>
        <v>360</v>
      </c>
      <c r="K24" s="262">
        <f t="shared" si="2"/>
        <v>51.428571428571431</v>
      </c>
      <c r="L24" s="263">
        <f t="shared" si="3"/>
        <v>93.055555555555557</v>
      </c>
      <c r="M24" s="263">
        <f t="shared" si="4"/>
        <v>92.857142857142861</v>
      </c>
      <c r="N24" s="263" t="e">
        <f>J24+'oct ANX II '!N24</f>
        <v>#REF!</v>
      </c>
      <c r="O24" s="264" t="e">
        <f t="shared" si="5"/>
        <v>#REF!</v>
      </c>
      <c r="P24" s="263" t="e">
        <f t="shared" si="6"/>
        <v>#REF!</v>
      </c>
      <c r="Q24" s="263" t="e">
        <f t="shared" si="7"/>
        <v>#REF!</v>
      </c>
      <c r="R24" s="265"/>
      <c r="S24" s="265" t="e">
        <f t="shared" si="8"/>
        <v>#REF!</v>
      </c>
      <c r="T24" s="265" t="e">
        <f t="shared" si="8"/>
        <v>#REF!</v>
      </c>
    </row>
    <row r="25" spans="1:20" s="266" customFormat="1" ht="24.95" customHeight="1">
      <c r="A25" s="228">
        <v>12</v>
      </c>
      <c r="B25" s="229" t="s">
        <v>45</v>
      </c>
      <c r="C25" s="414">
        <v>11</v>
      </c>
      <c r="D25" s="414">
        <v>11</v>
      </c>
      <c r="E25" s="414">
        <v>13</v>
      </c>
      <c r="F25" s="415" t="e">
        <f>E25+'oct ANX II '!F25</f>
        <v>#REF!</v>
      </c>
      <c r="G25" s="414">
        <v>167</v>
      </c>
      <c r="H25" s="414">
        <v>283</v>
      </c>
      <c r="I25" s="262">
        <f>G25+H25</f>
        <v>450</v>
      </c>
      <c r="J25" s="262">
        <f t="shared" si="1"/>
        <v>463</v>
      </c>
      <c r="K25" s="262">
        <f t="shared" si="2"/>
        <v>42.090909090909093</v>
      </c>
      <c r="L25" s="263">
        <f t="shared" si="3"/>
        <v>94.318181818181813</v>
      </c>
      <c r="M25" s="263">
        <f t="shared" si="4"/>
        <v>94.154040404040401</v>
      </c>
      <c r="N25" s="263" t="e">
        <f>J25+'oct ANX II '!N25</f>
        <v>#REF!</v>
      </c>
      <c r="O25" s="264" t="e">
        <f t="shared" si="5"/>
        <v>#REF!</v>
      </c>
      <c r="P25" s="263" t="e">
        <f t="shared" si="6"/>
        <v>#REF!</v>
      </c>
      <c r="Q25" s="263" t="e">
        <f t="shared" si="7"/>
        <v>#REF!</v>
      </c>
      <c r="R25" s="265"/>
      <c r="S25" s="265" t="e">
        <f t="shared" si="8"/>
        <v>#REF!</v>
      </c>
      <c r="T25" s="265" t="e">
        <f t="shared" si="8"/>
        <v>#REF!</v>
      </c>
    </row>
    <row r="26" spans="1:20" s="266" customFormat="1" ht="24.95" customHeight="1">
      <c r="A26" s="228">
        <v>13</v>
      </c>
      <c r="B26" s="229" t="s">
        <v>46</v>
      </c>
      <c r="C26" s="414">
        <v>8</v>
      </c>
      <c r="D26" s="414">
        <v>8</v>
      </c>
      <c r="E26" s="414">
        <v>10</v>
      </c>
      <c r="F26" s="415" t="e">
        <f>E26+'oct ANX II '!F26</f>
        <v>#REF!</v>
      </c>
      <c r="G26" s="414">
        <v>80</v>
      </c>
      <c r="H26" s="414">
        <v>204</v>
      </c>
      <c r="I26" s="262">
        <f t="shared" si="0"/>
        <v>284</v>
      </c>
      <c r="J26" s="262">
        <f t="shared" si="1"/>
        <v>294</v>
      </c>
      <c r="K26" s="262">
        <f t="shared" si="2"/>
        <v>36.75</v>
      </c>
      <c r="L26" s="263">
        <f t="shared" si="3"/>
        <v>95.069444444444443</v>
      </c>
      <c r="M26" s="263">
        <f t="shared" si="4"/>
        <v>94.895833333333329</v>
      </c>
      <c r="N26" s="263" t="e">
        <f>J26+'oct ANX II '!N26</f>
        <v>#REF!</v>
      </c>
      <c r="O26" s="264" t="e">
        <f t="shared" si="5"/>
        <v>#REF!</v>
      </c>
      <c r="P26" s="263" t="e">
        <f t="shared" si="6"/>
        <v>#REF!</v>
      </c>
      <c r="Q26" s="263" t="e">
        <f t="shared" si="7"/>
        <v>#REF!</v>
      </c>
      <c r="R26" s="265"/>
      <c r="S26" s="265" t="e">
        <f t="shared" si="8"/>
        <v>#REF!</v>
      </c>
      <c r="T26" s="265" t="e">
        <f t="shared" si="8"/>
        <v>#REF!</v>
      </c>
    </row>
    <row r="27" spans="1:20" s="266" customFormat="1" ht="24.95" customHeight="1">
      <c r="A27" s="228">
        <v>14</v>
      </c>
      <c r="B27" s="229" t="s">
        <v>77</v>
      </c>
      <c r="C27" s="386">
        <v>4</v>
      </c>
      <c r="D27" s="386">
        <v>4</v>
      </c>
      <c r="E27" s="387">
        <v>1.2</v>
      </c>
      <c r="F27" s="262" t="e">
        <f>E27+'oct ANX II '!F27</f>
        <v>#REF!</v>
      </c>
      <c r="G27" s="394">
        <v>45.8</v>
      </c>
      <c r="H27" s="387">
        <v>36.799999999999997</v>
      </c>
      <c r="I27" s="262">
        <f t="shared" si="0"/>
        <v>82.6</v>
      </c>
      <c r="J27" s="262">
        <f t="shared" si="1"/>
        <v>83.8</v>
      </c>
      <c r="K27" s="262">
        <f t="shared" si="2"/>
        <v>20.95</v>
      </c>
      <c r="L27" s="263">
        <f t="shared" si="3"/>
        <v>97.131944444444443</v>
      </c>
      <c r="M27" s="263">
        <f t="shared" si="4"/>
        <v>97.090277777777771</v>
      </c>
      <c r="N27" s="263" t="e">
        <f>J27+'oct ANX II '!N27</f>
        <v>#REF!</v>
      </c>
      <c r="O27" s="264" t="e">
        <f t="shared" si="5"/>
        <v>#REF!</v>
      </c>
      <c r="P27" s="263" t="e">
        <f t="shared" si="6"/>
        <v>#REF!</v>
      </c>
      <c r="Q27" s="263" t="e">
        <f t="shared" si="7"/>
        <v>#REF!</v>
      </c>
      <c r="R27" s="265"/>
      <c r="S27" s="265" t="e">
        <f>L27-P27</f>
        <v>#REF!</v>
      </c>
      <c r="T27" s="265" t="e">
        <f>M27-Q27</f>
        <v>#REF!</v>
      </c>
    </row>
    <row r="28" spans="1:20" s="266" customFormat="1" ht="24.95" customHeight="1">
      <c r="A28" s="228">
        <v>15</v>
      </c>
      <c r="B28" s="229" t="s">
        <v>47</v>
      </c>
      <c r="C28" s="388">
        <v>30</v>
      </c>
      <c r="D28" s="388">
        <v>30</v>
      </c>
      <c r="E28" s="389">
        <v>150</v>
      </c>
      <c r="F28" s="262" t="e">
        <f>E28+'oct ANX II '!F28</f>
        <v>#REF!</v>
      </c>
      <c r="G28" s="395">
        <v>159</v>
      </c>
      <c r="H28" s="389">
        <v>90</v>
      </c>
      <c r="I28" s="262">
        <f t="shared" si="0"/>
        <v>249</v>
      </c>
      <c r="J28" s="262">
        <f t="shared" si="1"/>
        <v>399</v>
      </c>
      <c r="K28" s="262">
        <f t="shared" si="2"/>
        <v>13.3</v>
      </c>
      <c r="L28" s="263">
        <f t="shared" si="3"/>
        <v>98.847222222222229</v>
      </c>
      <c r="M28" s="263">
        <f t="shared" si="4"/>
        <v>98.152777777777771</v>
      </c>
      <c r="N28" s="263" t="e">
        <f>J28+'oct ANX II '!N28</f>
        <v>#REF!</v>
      </c>
      <c r="O28" s="264" t="e">
        <f t="shared" si="5"/>
        <v>#REF!</v>
      </c>
      <c r="P28" s="263" t="e">
        <f t="shared" si="6"/>
        <v>#REF!</v>
      </c>
      <c r="Q28" s="263" t="e">
        <f t="shared" si="7"/>
        <v>#REF!</v>
      </c>
      <c r="R28" s="265"/>
      <c r="S28" s="265" t="e">
        <f t="shared" si="8"/>
        <v>#REF!</v>
      </c>
      <c r="T28" s="265" t="e">
        <f t="shared" si="8"/>
        <v>#REF!</v>
      </c>
    </row>
    <row r="29" spans="1:20" s="266" customFormat="1" ht="24.95" customHeight="1">
      <c r="A29" s="228">
        <v>16</v>
      </c>
      <c r="B29" s="229" t="s">
        <v>48</v>
      </c>
      <c r="C29" s="390">
        <v>15</v>
      </c>
      <c r="D29" s="390">
        <v>15</v>
      </c>
      <c r="E29" s="391">
        <v>75.25</v>
      </c>
      <c r="F29" s="262" t="e">
        <f>E29+'oct ANX II '!F29</f>
        <v>#REF!</v>
      </c>
      <c r="G29" s="396">
        <v>76.27</v>
      </c>
      <c r="H29" s="391">
        <v>58.05</v>
      </c>
      <c r="I29" s="262">
        <f t="shared" si="0"/>
        <v>134.32</v>
      </c>
      <c r="J29" s="262">
        <f t="shared" si="1"/>
        <v>209.57</v>
      </c>
      <c r="K29" s="262">
        <f t="shared" si="2"/>
        <v>13.971333333333332</v>
      </c>
      <c r="L29" s="263">
        <f t="shared" si="3"/>
        <v>98.756296296296298</v>
      </c>
      <c r="M29" s="263">
        <f t="shared" si="4"/>
        <v>98.059537037037032</v>
      </c>
      <c r="N29" s="263" t="e">
        <f>J29+'oct ANX II '!N29</f>
        <v>#REF!</v>
      </c>
      <c r="O29" s="264" t="e">
        <f t="shared" si="5"/>
        <v>#REF!</v>
      </c>
      <c r="P29" s="263" t="e">
        <f t="shared" si="6"/>
        <v>#REF!</v>
      </c>
      <c r="Q29" s="263" t="e">
        <f t="shared" si="7"/>
        <v>#REF!</v>
      </c>
      <c r="R29" s="265"/>
      <c r="S29" s="265" t="e">
        <f t="shared" si="8"/>
        <v>#REF!</v>
      </c>
      <c r="T29" s="265" t="e">
        <f t="shared" si="8"/>
        <v>#REF!</v>
      </c>
    </row>
    <row r="30" spans="1:20" s="266" customFormat="1" ht="24.95" customHeight="1">
      <c r="A30" s="228">
        <v>17</v>
      </c>
      <c r="B30" s="229" t="s">
        <v>63</v>
      </c>
      <c r="C30" s="392">
        <v>12</v>
      </c>
      <c r="D30" s="392">
        <v>12</v>
      </c>
      <c r="E30" s="393">
        <v>44.1</v>
      </c>
      <c r="F30" s="262" t="e">
        <f>E30+'oct ANX II '!F30</f>
        <v>#REF!</v>
      </c>
      <c r="G30" s="397">
        <v>56.64</v>
      </c>
      <c r="H30" s="393">
        <v>39.119999999999997</v>
      </c>
      <c r="I30" s="262">
        <f t="shared" si="0"/>
        <v>95.759999999999991</v>
      </c>
      <c r="J30" s="262">
        <f t="shared" si="1"/>
        <v>139.85999999999999</v>
      </c>
      <c r="K30" s="262">
        <f t="shared" si="2"/>
        <v>11.654999999999999</v>
      </c>
      <c r="L30" s="263">
        <f t="shared" si="3"/>
        <v>98.891666666666666</v>
      </c>
      <c r="M30" s="263">
        <f t="shared" si="4"/>
        <v>98.381249999999994</v>
      </c>
      <c r="N30" s="263" t="e">
        <f>J30+'oct ANX II '!N30</f>
        <v>#REF!</v>
      </c>
      <c r="O30" s="264" t="e">
        <f t="shared" si="5"/>
        <v>#REF!</v>
      </c>
      <c r="P30" s="263" t="e">
        <f t="shared" si="6"/>
        <v>#REF!</v>
      </c>
      <c r="Q30" s="263" t="e">
        <f t="shared" si="7"/>
        <v>#REF!</v>
      </c>
      <c r="R30" s="265"/>
      <c r="S30" s="265" t="e">
        <f t="shared" si="8"/>
        <v>#REF!</v>
      </c>
      <c r="T30" s="265" t="e">
        <f t="shared" si="8"/>
        <v>#REF!</v>
      </c>
    </row>
    <row r="31" spans="1:20" s="266" customFormat="1" ht="24.95" customHeight="1">
      <c r="A31" s="228">
        <v>18</v>
      </c>
      <c r="B31" s="229" t="s">
        <v>50</v>
      </c>
      <c r="C31" s="332">
        <v>49</v>
      </c>
      <c r="D31" s="332">
        <v>49</v>
      </c>
      <c r="E31" s="268">
        <v>154.69999999999996</v>
      </c>
      <c r="F31" s="262" t="e">
        <f>E31+'oct ANX II '!F31</f>
        <v>#REF!</v>
      </c>
      <c r="G31" s="421">
        <v>1476.3166666666666</v>
      </c>
      <c r="H31" s="421">
        <v>2572.0666666666662</v>
      </c>
      <c r="I31" s="262">
        <f>G31+H31</f>
        <v>4048.3833333333328</v>
      </c>
      <c r="J31" s="262">
        <f>E31+I31</f>
        <v>4203.083333333333</v>
      </c>
      <c r="K31" s="262">
        <f>J31/C31</f>
        <v>85.777210884353735</v>
      </c>
      <c r="L31" s="263">
        <f t="shared" si="3"/>
        <v>88.52499055177627</v>
      </c>
      <c r="M31" s="263">
        <f t="shared" si="4"/>
        <v>88.086498488284207</v>
      </c>
      <c r="N31" s="263" t="e">
        <f>J31+'oct ANX II '!N31</f>
        <v>#REF!</v>
      </c>
      <c r="O31" s="264" t="e">
        <f t="shared" si="5"/>
        <v>#REF!</v>
      </c>
      <c r="P31" s="263" t="e">
        <f t="shared" si="6"/>
        <v>#REF!</v>
      </c>
      <c r="Q31" s="263" t="e">
        <f t="shared" si="7"/>
        <v>#REF!</v>
      </c>
      <c r="R31" s="265" t="str">
        <f>'[2]Annexure II'!B8</f>
        <v>Devanahalli</v>
      </c>
      <c r="S31" s="265" t="e">
        <f t="shared" si="8"/>
        <v>#REF!</v>
      </c>
      <c r="T31" s="265" t="e">
        <f t="shared" si="8"/>
        <v>#REF!</v>
      </c>
    </row>
    <row r="32" spans="1:20" s="266" customFormat="1" ht="24.95" customHeight="1">
      <c r="A32" s="228">
        <v>19</v>
      </c>
      <c r="B32" s="229" t="s">
        <v>51</v>
      </c>
      <c r="C32" s="331">
        <v>59</v>
      </c>
      <c r="D32" s="331">
        <v>59</v>
      </c>
      <c r="E32" s="268">
        <v>250.81999999999996</v>
      </c>
      <c r="F32" s="262" t="e">
        <f>E32+'oct ANX II '!F32</f>
        <v>#REF!</v>
      </c>
      <c r="G32" s="269">
        <v>2361.6866666666665</v>
      </c>
      <c r="H32" s="269">
        <v>3185.8666666666659</v>
      </c>
      <c r="I32" s="262">
        <f t="shared" si="0"/>
        <v>5547.5533333333324</v>
      </c>
      <c r="J32" s="262">
        <f t="shared" si="1"/>
        <v>5798.3733333333321</v>
      </c>
      <c r="K32" s="262">
        <f t="shared" si="2"/>
        <v>98.277514124293759</v>
      </c>
      <c r="L32" s="263">
        <f t="shared" si="3"/>
        <v>86.940787821720036</v>
      </c>
      <c r="M32" s="263">
        <f t="shared" si="4"/>
        <v>86.350345260514757</v>
      </c>
      <c r="N32" s="263" t="e">
        <f>J32+'oct ANX II '!N32</f>
        <v>#REF!</v>
      </c>
      <c r="O32" s="264" t="e">
        <f t="shared" si="5"/>
        <v>#REF!</v>
      </c>
      <c r="P32" s="263" t="e">
        <f t="shared" si="6"/>
        <v>#REF!</v>
      </c>
      <c r="Q32" s="263" t="e">
        <f t="shared" si="7"/>
        <v>#REF!</v>
      </c>
      <c r="R32" s="265" t="str">
        <f>'[2]Annexure II'!B9</f>
        <v>Hosakote</v>
      </c>
      <c r="S32" s="265" t="e">
        <f t="shared" si="8"/>
        <v>#REF!</v>
      </c>
      <c r="T32" s="265" t="e">
        <f t="shared" si="8"/>
        <v>#REF!</v>
      </c>
    </row>
    <row r="33" spans="1:20" s="266" customFormat="1" ht="24.95" customHeight="1">
      <c r="A33" s="228">
        <v>20</v>
      </c>
      <c r="B33" s="229" t="s">
        <v>52</v>
      </c>
      <c r="C33" s="332">
        <v>48</v>
      </c>
      <c r="D33" s="332">
        <v>48</v>
      </c>
      <c r="E33" s="268">
        <v>189.20000000000002</v>
      </c>
      <c r="F33" s="262" t="e">
        <f>E33+'oct ANX II '!F33</f>
        <v>#REF!</v>
      </c>
      <c r="G33" s="269">
        <v>543.15</v>
      </c>
      <c r="H33" s="269">
        <v>288.68999999999994</v>
      </c>
      <c r="I33" s="262">
        <f t="shared" si="0"/>
        <v>831.83999999999992</v>
      </c>
      <c r="J33" s="262">
        <f t="shared" si="1"/>
        <v>1021.04</v>
      </c>
      <c r="K33" s="262">
        <f t="shared" si="2"/>
        <v>21.271666666666665</v>
      </c>
      <c r="L33" s="263">
        <f t="shared" si="3"/>
        <v>97.593055555555566</v>
      </c>
      <c r="M33" s="263">
        <f t="shared" si="4"/>
        <v>97.045601851851856</v>
      </c>
      <c r="N33" s="263" t="e">
        <f>J33+'oct ANX II '!N33</f>
        <v>#REF!</v>
      </c>
      <c r="O33" s="264" t="e">
        <f t="shared" si="5"/>
        <v>#REF!</v>
      </c>
      <c r="P33" s="263" t="e">
        <f t="shared" si="6"/>
        <v>#REF!</v>
      </c>
      <c r="Q33" s="263" t="e">
        <f t="shared" si="7"/>
        <v>#REF!</v>
      </c>
      <c r="R33" s="265" t="str">
        <f>'[2]Annexure II'!B10</f>
        <v>Nelamangala</v>
      </c>
      <c r="S33" s="265" t="e">
        <f t="shared" si="8"/>
        <v>#REF!</v>
      </c>
      <c r="T33" s="265" t="e">
        <f t="shared" si="8"/>
        <v>#REF!</v>
      </c>
    </row>
    <row r="34" spans="1:20" s="266" customFormat="1" ht="28.5" customHeight="1">
      <c r="A34" s="228">
        <v>21</v>
      </c>
      <c r="B34" s="229" t="s">
        <v>53</v>
      </c>
      <c r="C34" s="332">
        <v>36</v>
      </c>
      <c r="D34" s="332">
        <v>36</v>
      </c>
      <c r="E34" s="268">
        <v>6.4</v>
      </c>
      <c r="F34" s="262" t="e">
        <f>E34+'oct ANX II '!F34</f>
        <v>#REF!</v>
      </c>
      <c r="G34" s="269">
        <v>654.9</v>
      </c>
      <c r="H34" s="269">
        <v>1184.0999999999999</v>
      </c>
      <c r="I34" s="262">
        <f t="shared" si="0"/>
        <v>1839</v>
      </c>
      <c r="J34" s="262">
        <f t="shared" si="1"/>
        <v>1845.4</v>
      </c>
      <c r="K34" s="262">
        <f t="shared" si="2"/>
        <v>51.261111111111113</v>
      </c>
      <c r="L34" s="263">
        <f t="shared" si="3"/>
        <v>92.905092592592595</v>
      </c>
      <c r="M34" s="263">
        <f t="shared" si="4"/>
        <v>92.880401234567898</v>
      </c>
      <c r="N34" s="263" t="e">
        <f>J34+'oct ANX II '!N34</f>
        <v>#REF!</v>
      </c>
      <c r="O34" s="264" t="e">
        <f t="shared" si="5"/>
        <v>#REF!</v>
      </c>
      <c r="P34" s="263" t="e">
        <f t="shared" si="6"/>
        <v>#REF!</v>
      </c>
      <c r="Q34" s="263" t="e">
        <f t="shared" si="7"/>
        <v>#REF!</v>
      </c>
      <c r="R34" s="265" t="str">
        <f>'[2]Annexure II'!B11</f>
        <v>Doddaballapura</v>
      </c>
      <c r="S34" s="265" t="e">
        <f t="shared" si="8"/>
        <v>#REF!</v>
      </c>
      <c r="T34" s="265" t="e">
        <f t="shared" si="8"/>
        <v>#REF!</v>
      </c>
    </row>
    <row r="35" spans="1:20" s="266" customFormat="1" ht="24.95" customHeight="1">
      <c r="A35" s="228">
        <v>22</v>
      </c>
      <c r="B35" s="229" t="s">
        <v>54</v>
      </c>
      <c r="C35" s="365">
        <f>14+12</f>
        <v>26</v>
      </c>
      <c r="D35" s="365">
        <v>26</v>
      </c>
      <c r="E35" s="365">
        <f>29.8+29.9</f>
        <v>59.7</v>
      </c>
      <c r="F35" s="262" t="e">
        <f>E35+'oct ANX II '!F35</f>
        <v>#REF!</v>
      </c>
      <c r="G35" s="364">
        <f>106.6+42.4</f>
        <v>149</v>
      </c>
      <c r="H35" s="364">
        <f>33.7+1.24</f>
        <v>34.940000000000005</v>
      </c>
      <c r="I35" s="262">
        <f t="shared" si="0"/>
        <v>183.94</v>
      </c>
      <c r="J35" s="262">
        <f t="shared" si="1"/>
        <v>243.64</v>
      </c>
      <c r="K35" s="262">
        <f t="shared" si="2"/>
        <v>9.3707692307692305</v>
      </c>
      <c r="L35" s="263">
        <f t="shared" si="3"/>
        <v>99.017414529914547</v>
      </c>
      <c r="M35" s="263">
        <f t="shared" si="4"/>
        <v>98.69850427350427</v>
      </c>
      <c r="N35" s="263" t="e">
        <f>J35+'oct ANX II '!N35</f>
        <v>#REF!</v>
      </c>
      <c r="O35" s="264" t="e">
        <f t="shared" si="5"/>
        <v>#REF!</v>
      </c>
      <c r="P35" s="263" t="e">
        <f t="shared" si="6"/>
        <v>#REF!</v>
      </c>
      <c r="Q35" s="263" t="e">
        <f t="shared" si="7"/>
        <v>#REF!</v>
      </c>
      <c r="R35" s="265" t="str">
        <f>'[2]Annexure II'!B12</f>
        <v>Magadi</v>
      </c>
      <c r="S35" s="265" t="e">
        <f t="shared" si="8"/>
        <v>#REF!</v>
      </c>
      <c r="T35" s="265" t="e">
        <f t="shared" si="8"/>
        <v>#REF!</v>
      </c>
    </row>
    <row r="36" spans="1:20" s="266" customFormat="1" ht="24.95" customHeight="1">
      <c r="A36" s="228">
        <v>23</v>
      </c>
      <c r="B36" s="229" t="s">
        <v>49</v>
      </c>
      <c r="C36" s="362">
        <v>127</v>
      </c>
      <c r="D36" s="362">
        <v>127</v>
      </c>
      <c r="E36" s="364">
        <v>49.593750000000028</v>
      </c>
      <c r="F36" s="262" t="e">
        <f>E36+'oct ANX II '!F36</f>
        <v>#REF!</v>
      </c>
      <c r="G36" s="364">
        <v>49.593750000000028</v>
      </c>
      <c r="H36" s="364">
        <v>22.90486111111111</v>
      </c>
      <c r="I36" s="262">
        <f>G36+H36</f>
        <v>72.498611111111131</v>
      </c>
      <c r="J36" s="262">
        <f t="shared" si="1"/>
        <v>122.09236111111116</v>
      </c>
      <c r="K36" s="262">
        <f t="shared" si="2"/>
        <v>0.96135717410323751</v>
      </c>
      <c r="L36" s="263">
        <f t="shared" si="3"/>
        <v>99.920714554777888</v>
      </c>
      <c r="M36" s="263">
        <f t="shared" si="4"/>
        <v>99.866478170263449</v>
      </c>
      <c r="N36" s="263" t="e">
        <f>J36+'oct ANX II '!N36</f>
        <v>#REF!</v>
      </c>
      <c r="O36" s="264" t="e">
        <f t="shared" si="5"/>
        <v>#REF!</v>
      </c>
      <c r="P36" s="263" t="e">
        <f t="shared" si="6"/>
        <v>#REF!</v>
      </c>
      <c r="Q36" s="263" t="e">
        <f t="shared" si="7"/>
        <v>#REF!</v>
      </c>
      <c r="R36" s="265" t="str">
        <f>'[2]Annexure II'!B7</f>
        <v>Anekal</v>
      </c>
      <c r="S36" s="265" t="e">
        <f>L36-P36</f>
        <v>#REF!</v>
      </c>
      <c r="T36" s="265" t="e">
        <f>M36-Q36</f>
        <v>#REF!</v>
      </c>
    </row>
    <row r="37" spans="1:20" s="266" customFormat="1" ht="24.95" customHeight="1">
      <c r="A37" s="228">
        <v>24</v>
      </c>
      <c r="B37" s="229" t="s">
        <v>32</v>
      </c>
      <c r="C37" s="363">
        <v>24</v>
      </c>
      <c r="D37" s="363">
        <v>24</v>
      </c>
      <c r="E37" s="364">
        <v>6.48</v>
      </c>
      <c r="F37" s="262" t="e">
        <f>E37+'oct ANX II '!F37</f>
        <v>#REF!</v>
      </c>
      <c r="G37" s="364">
        <v>21.314722222222223</v>
      </c>
      <c r="H37" s="364">
        <v>35.076388888888886</v>
      </c>
      <c r="I37" s="262">
        <f t="shared" si="0"/>
        <v>56.391111111111108</v>
      </c>
      <c r="J37" s="262">
        <f t="shared" si="1"/>
        <v>62.871111111111105</v>
      </c>
      <c r="K37" s="262">
        <f t="shared" si="2"/>
        <v>2.6196296296296295</v>
      </c>
      <c r="L37" s="263">
        <f t="shared" si="3"/>
        <v>99.673662551440316</v>
      </c>
      <c r="M37" s="263">
        <f t="shared" si="4"/>
        <v>99.636162551440322</v>
      </c>
      <c r="N37" s="263" t="e">
        <f>J37+'oct ANX II '!N37</f>
        <v>#REF!</v>
      </c>
      <c r="O37" s="264" t="e">
        <f t="shared" si="5"/>
        <v>#REF!</v>
      </c>
      <c r="P37" s="263" t="e">
        <f t="shared" si="6"/>
        <v>#REF!</v>
      </c>
      <c r="Q37" s="263" t="e">
        <f t="shared" si="7"/>
        <v>#REF!</v>
      </c>
      <c r="R37" s="265" t="str">
        <f>'[2]Annexure II'!B13</f>
        <v>Ramanagara</v>
      </c>
      <c r="S37" s="265" t="e">
        <f t="shared" si="8"/>
        <v>#REF!</v>
      </c>
      <c r="T37" s="265" t="e">
        <f t="shared" si="8"/>
        <v>#REF!</v>
      </c>
    </row>
    <row r="38" spans="1:20" s="266" customFormat="1" ht="24.95" customHeight="1">
      <c r="A38" s="228">
        <v>25</v>
      </c>
      <c r="B38" s="229" t="s">
        <v>55</v>
      </c>
      <c r="C38" s="363">
        <v>7</v>
      </c>
      <c r="D38" s="363">
        <v>7</v>
      </c>
      <c r="E38" s="364">
        <v>28.58</v>
      </c>
      <c r="F38" s="262" t="e">
        <f>E38+'oct ANX II '!F38</f>
        <v>#REF!</v>
      </c>
      <c r="G38" s="364">
        <v>49.368749999999999</v>
      </c>
      <c r="H38" s="364">
        <v>15.363194444444446</v>
      </c>
      <c r="I38" s="262">
        <f t="shared" si="0"/>
        <v>64.731944444444451</v>
      </c>
      <c r="J38" s="262">
        <f t="shared" si="1"/>
        <v>93.31194444444445</v>
      </c>
      <c r="K38" s="262">
        <f t="shared" si="2"/>
        <v>13.330277777777779</v>
      </c>
      <c r="L38" s="263">
        <f t="shared" si="3"/>
        <v>98.715636022927683</v>
      </c>
      <c r="M38" s="263">
        <f t="shared" si="4"/>
        <v>98.1485725308642</v>
      </c>
      <c r="N38" s="263" t="e">
        <f>J38+'oct ANX II '!N38</f>
        <v>#REF!</v>
      </c>
      <c r="O38" s="264" t="e">
        <f t="shared" si="5"/>
        <v>#REF!</v>
      </c>
      <c r="P38" s="263" t="e">
        <f t="shared" si="6"/>
        <v>#REF!</v>
      </c>
      <c r="Q38" s="263" t="e">
        <f t="shared" si="7"/>
        <v>#REF!</v>
      </c>
      <c r="R38" s="265" t="str">
        <f>'[2]Annexure II'!B14</f>
        <v>Channapatna</v>
      </c>
      <c r="S38" s="265" t="e">
        <f t="shared" si="8"/>
        <v>#REF!</v>
      </c>
      <c r="T38" s="265" t="e">
        <f t="shared" si="8"/>
        <v>#REF!</v>
      </c>
    </row>
    <row r="39" spans="1:20" s="266" customFormat="1" ht="24.95" customHeight="1">
      <c r="A39" s="228">
        <v>26</v>
      </c>
      <c r="B39" s="229" t="s">
        <v>56</v>
      </c>
      <c r="C39" s="363">
        <v>22</v>
      </c>
      <c r="D39" s="363">
        <v>22</v>
      </c>
      <c r="E39" s="364">
        <v>3.9063888888888894</v>
      </c>
      <c r="F39" s="262" t="e">
        <f>E39+'oct ANX II '!F39</f>
        <v>#REF!</v>
      </c>
      <c r="G39" s="364">
        <v>4.8215277777777779</v>
      </c>
      <c r="H39" s="364">
        <v>1.2430555555555556</v>
      </c>
      <c r="I39" s="262">
        <f t="shared" si="0"/>
        <v>6.0645833333333332</v>
      </c>
      <c r="J39" s="262">
        <f t="shared" si="1"/>
        <v>9.9709722222222226</v>
      </c>
      <c r="K39" s="262">
        <f t="shared" si="2"/>
        <v>0.4532260101010101</v>
      </c>
      <c r="L39" s="263">
        <f t="shared" si="3"/>
        <v>99.961713489057246</v>
      </c>
      <c r="M39" s="263">
        <f t="shared" si="4"/>
        <v>99.937051943041524</v>
      </c>
      <c r="N39" s="263" t="e">
        <f>J39+'oct ANX II '!N39</f>
        <v>#REF!</v>
      </c>
      <c r="O39" s="264" t="e">
        <f t="shared" si="5"/>
        <v>#REF!</v>
      </c>
      <c r="P39" s="263" t="e">
        <f t="shared" si="6"/>
        <v>#REF!</v>
      </c>
      <c r="Q39" s="263" t="e">
        <f t="shared" si="7"/>
        <v>#REF!</v>
      </c>
      <c r="R39" s="265" t="str">
        <f>'[2]Annexure II'!B15</f>
        <v>Kanakapura</v>
      </c>
      <c r="S39" s="265" t="e">
        <f t="shared" si="8"/>
        <v>#REF!</v>
      </c>
      <c r="T39" s="265" t="e">
        <f t="shared" si="8"/>
        <v>#REF!</v>
      </c>
    </row>
    <row r="40" spans="1:20" s="1" customFormat="1" ht="24.95" customHeight="1">
      <c r="A40" s="177"/>
      <c r="B40" s="274"/>
      <c r="C40" s="326">
        <f>SUM(C14:C39)</f>
        <v>516</v>
      </c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154"/>
      <c r="S40" s="154"/>
      <c r="T40" s="154"/>
    </row>
    <row r="41" spans="1:20" s="1" customFormat="1" ht="24.95" customHeight="1">
      <c r="A41" s="865" t="s">
        <v>116</v>
      </c>
      <c r="B41" s="865"/>
      <c r="C41" s="865"/>
      <c r="D41" s="865"/>
      <c r="E41" s="865"/>
      <c r="F41" s="865"/>
      <c r="G41" s="865"/>
      <c r="H41" s="865"/>
      <c r="I41" s="865"/>
      <c r="J41" s="865"/>
      <c r="K41" s="865"/>
      <c r="L41" s="865"/>
      <c r="M41" s="865"/>
      <c r="N41" s="865"/>
      <c r="O41" s="865"/>
      <c r="P41" s="865"/>
      <c r="Q41" s="865"/>
      <c r="R41" s="154"/>
      <c r="S41" s="154"/>
      <c r="T41" s="154"/>
    </row>
    <row r="42" spans="1:20" ht="18.75" customHeight="1" thickBot="1">
      <c r="B42" s="275"/>
      <c r="C42" s="160">
        <f>SUM(C14:C39)</f>
        <v>516</v>
      </c>
      <c r="D42" s="160">
        <f t="shared" ref="D42:O42" si="9">SUM(D14:D39)</f>
        <v>516</v>
      </c>
      <c r="E42" s="160">
        <f t="shared" si="9"/>
        <v>1145.1922598158612</v>
      </c>
      <c r="F42" s="160" t="e">
        <f t="shared" si="9"/>
        <v>#REF!</v>
      </c>
      <c r="G42" s="160">
        <f t="shared" si="9"/>
        <v>6289.7820833333326</v>
      </c>
      <c r="H42" s="160">
        <f t="shared" si="9"/>
        <v>8400.2608333333301</v>
      </c>
      <c r="I42" s="160">
        <f t="shared" si="9"/>
        <v>14690.042916666665</v>
      </c>
      <c r="J42" s="160">
        <f t="shared" si="9"/>
        <v>15835.235176482527</v>
      </c>
      <c r="K42" s="160">
        <f t="shared" si="9"/>
        <v>709.40347475761314</v>
      </c>
      <c r="L42" s="64">
        <f>+(((C42*24)*30)-I42)*100/((C42*24)*30)</f>
        <v>96.045961747236589</v>
      </c>
      <c r="M42" s="64">
        <f>+(((C42*24)*30)-J42)*100/((C42*24)*30)</f>
        <v>95.737716629930418</v>
      </c>
      <c r="N42" s="160" t="e">
        <f t="shared" si="9"/>
        <v>#REF!</v>
      </c>
      <c r="O42" s="160" t="e">
        <f t="shared" si="9"/>
        <v>#REF!</v>
      </c>
      <c r="P42" s="64" t="e">
        <f>((C42*24*30)-(N42-E42))*100/(C42*24*30)</f>
        <v>#REF!</v>
      </c>
      <c r="Q42" s="64" t="e">
        <f>((C42*24*30)-(N42))*100/(C42*24*30)</f>
        <v>#REF!</v>
      </c>
    </row>
    <row r="43" spans="1:20" s="175" customFormat="1" ht="63" customHeight="1" thickBot="1">
      <c r="A43" s="846" t="s">
        <v>100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s="175" customFormat="1" ht="80.25" customHeight="1">
      <c r="A44" s="846" t="s">
        <v>101</v>
      </c>
      <c r="B44" s="847"/>
      <c r="C44" s="847"/>
      <c r="D44" s="847"/>
      <c r="E44" s="847"/>
      <c r="F44" s="847"/>
      <c r="G44" s="847"/>
      <c r="H44" s="847"/>
      <c r="I44" s="847"/>
      <c r="J44" s="847"/>
      <c r="K44" s="847"/>
      <c r="L44" s="847"/>
      <c r="M44" s="847"/>
      <c r="N44" s="847"/>
      <c r="O44" s="847"/>
      <c r="P44" s="847"/>
      <c r="Q44" s="848"/>
    </row>
    <row r="45" spans="1:20" ht="20.25" hidden="1" customHeight="1">
      <c r="A45" s="839" t="s">
        <v>36</v>
      </c>
      <c r="B45" s="840"/>
      <c r="C45" s="840"/>
      <c r="D45" s="840"/>
      <c r="E45" s="840"/>
      <c r="F45" s="840"/>
      <c r="G45" s="840"/>
      <c r="H45" s="840"/>
      <c r="I45" s="840"/>
      <c r="J45" s="840"/>
      <c r="K45" s="840"/>
      <c r="L45" s="840"/>
      <c r="M45" s="840"/>
      <c r="N45" s="840"/>
      <c r="O45" s="840"/>
      <c r="P45" s="840"/>
      <c r="Q45" s="841"/>
    </row>
    <row r="46" spans="1:20" ht="27" hidden="1" customHeight="1" thickBot="1">
      <c r="A46" s="842"/>
      <c r="B46" s="843"/>
      <c r="C46" s="843"/>
      <c r="D46" s="843"/>
      <c r="E46" s="843"/>
      <c r="F46" s="843"/>
      <c r="G46" s="843"/>
      <c r="H46" s="843"/>
      <c r="I46" s="843"/>
      <c r="J46" s="843"/>
      <c r="K46" s="843"/>
      <c r="L46" s="843"/>
      <c r="M46" s="843"/>
      <c r="N46" s="843"/>
      <c r="O46" s="843"/>
      <c r="P46" s="843"/>
      <c r="Q46" s="844"/>
    </row>
    <row r="47" spans="1:20" hidden="1"/>
    <row r="54" spans="3:17">
      <c r="C54" s="146" t="e">
        <f>su</f>
        <v>#NAME?</v>
      </c>
      <c r="P54" s="161"/>
      <c r="Q54" s="161"/>
    </row>
    <row r="55" spans="3:17">
      <c r="C55" s="160"/>
      <c r="N55" s="161"/>
    </row>
    <row r="56" spans="3:17">
      <c r="N56" s="161"/>
    </row>
    <row r="58" spans="3:17">
      <c r="H58" s="146">
        <f>4667/89</f>
        <v>52.438202247191015</v>
      </c>
    </row>
    <row r="59" spans="3:17">
      <c r="E59" s="146">
        <f>2362/24</f>
        <v>98.416666666666671</v>
      </c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>
      <c r="G70" s="162"/>
      <c r="H70" s="162"/>
      <c r="I70" s="162"/>
      <c r="J70" s="162"/>
      <c r="K70" s="162"/>
      <c r="L70" s="162"/>
      <c r="M70" s="162"/>
    </row>
    <row r="71" spans="7:18" ht="20.25">
      <c r="G71" s="162"/>
      <c r="H71" s="162"/>
      <c r="I71" s="163">
        <f>20000</f>
        <v>20000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5000</v>
      </c>
      <c r="J73" s="162"/>
      <c r="K73" s="162"/>
      <c r="L73" s="162"/>
      <c r="M73" s="162"/>
    </row>
    <row r="74" spans="7:18" ht="20.25">
      <c r="G74" s="162"/>
      <c r="H74" s="162"/>
      <c r="I74" s="163">
        <v>8000</v>
      </c>
      <c r="J74" s="162"/>
      <c r="K74" s="162"/>
      <c r="L74" s="162"/>
      <c r="M74" s="162"/>
    </row>
    <row r="75" spans="7:18" ht="20.25">
      <c r="G75" s="162"/>
      <c r="H75" s="162"/>
      <c r="I75" s="163">
        <f>SUM(I72:I74)</f>
        <v>18000</v>
      </c>
      <c r="J75" s="162"/>
      <c r="K75" s="162"/>
      <c r="L75" s="162"/>
      <c r="M75" s="162"/>
    </row>
    <row r="76" spans="7:18" ht="20.25">
      <c r="G76" s="162"/>
      <c r="H76" s="162"/>
      <c r="I76" s="163">
        <f>I71-I75</f>
        <v>2000</v>
      </c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2"/>
      <c r="M77" s="162"/>
    </row>
    <row r="78" spans="7:18" ht="20.25">
      <c r="G78" s="162"/>
      <c r="H78" s="162"/>
      <c r="I78" s="163"/>
      <c r="J78" s="162"/>
      <c r="K78" s="162"/>
      <c r="L78" s="161">
        <f>L14+L15+L16+L18+L17+L19+L20+L21+L22+L23+L24+L25+L26+L27+L28+L29+L30+L36+L31+L32+L33+L34+L35+L37+L38+L39</f>
        <v>2514.5478845889543</v>
      </c>
      <c r="M78" s="161">
        <f>M14+M15+M16+M18+M17+M19+M20+M21+M22+M23+M24+M25+M26+M27+M28+M29+M30+M36+M31+M32+M33+M34+M35+M37+M38+M39</f>
        <v>2501.4717396169981</v>
      </c>
      <c r="P78" s="161" t="e">
        <f>P14+P15+P16+P18+P17+P19+P20+P21+P22+P23+P24+P25+P26+P27+P28+P29+P30+P36+P31+P32+P33+P34+P35+P37+P38+P39</f>
        <v>#REF!</v>
      </c>
      <c r="Q78" s="161" t="e">
        <f>Q14+Q15+Q16+Q18+Q17+Q19+Q20+Q21+Q22+Q23+Q24+Q25+Q26+Q27+Q28+Q29+Q30+Q36+Q31+Q32+Q33+Q34+Q35+Q37+Q38+Q39</f>
        <v>#REF!</v>
      </c>
      <c r="R78" s="161" t="e">
        <f>R14+R15+R16+R18+R17+R19+R20+R23+R24+R25+R26+R27+R28+R29+R30+R36+R31+R32+R33+R34+R35+R37+R38+R39</f>
        <v>#VALUE!</v>
      </c>
    </row>
    <row r="79" spans="7:18">
      <c r="G79" s="162"/>
      <c r="H79" s="162"/>
      <c r="I79" s="162"/>
      <c r="J79" s="162"/>
      <c r="K79" s="162"/>
      <c r="L79" s="146">
        <f>L78/26</f>
        <v>96.713380176498248</v>
      </c>
      <c r="M79" s="146">
        <f>M78/26</f>
        <v>96.210451523730697</v>
      </c>
      <c r="P79" s="146" t="e">
        <f>P78/26</f>
        <v>#REF!</v>
      </c>
      <c r="Q79" s="146" t="e">
        <f>Q78/26</f>
        <v>#REF!</v>
      </c>
    </row>
    <row r="80" spans="7:18">
      <c r="G80" s="162"/>
      <c r="H80" s="162"/>
      <c r="I80" s="162"/>
      <c r="J80" s="162"/>
      <c r="K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  <row r="88" spans="7:13">
      <c r="G88" s="162"/>
      <c r="H88" s="162"/>
      <c r="I88" s="162"/>
      <c r="J88" s="162"/>
      <c r="K88" s="162"/>
      <c r="L88" s="162"/>
      <c r="M88" s="162"/>
    </row>
  </sheetData>
  <mergeCells count="17">
    <mergeCell ref="A45:Q46"/>
    <mergeCell ref="G11:I11"/>
    <mergeCell ref="J11:M11"/>
    <mergeCell ref="N11:Q11"/>
    <mergeCell ref="A41:Q41"/>
    <mergeCell ref="A43:Q43"/>
    <mergeCell ref="A44:Q44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1" manualBreakCount="1">
    <brk id="39" max="1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zoomScale="85" zoomScaleSheetLayoutView="85" workbookViewId="0">
      <selection activeCell="I34" activeCellId="1" sqref="I34 L36"/>
    </sheetView>
  </sheetViews>
  <sheetFormatPr defaultRowHeight="15"/>
  <cols>
    <col min="1" max="1" width="5.85546875" style="222" customWidth="1"/>
    <col min="2" max="2" width="17.140625" style="222" customWidth="1"/>
    <col min="3" max="3" width="8" style="222" customWidth="1"/>
    <col min="4" max="4" width="7.5703125" style="222" customWidth="1"/>
    <col min="5" max="5" width="11.28515625" style="222" customWidth="1"/>
    <col min="6" max="6" width="15.5703125" style="222" customWidth="1"/>
    <col min="7" max="7" width="14.5703125" style="222" customWidth="1"/>
    <col min="8" max="8" width="12.7109375" style="222" customWidth="1"/>
    <col min="9" max="9" width="16.42578125" style="222" customWidth="1"/>
    <col min="10" max="10" width="18.5703125" style="222" customWidth="1"/>
    <col min="11" max="11" width="12.28515625" style="222" customWidth="1"/>
    <col min="12" max="12" width="14" style="222" customWidth="1"/>
    <col min="13" max="13" width="15.7109375" style="222" customWidth="1"/>
    <col min="14" max="14" width="17.28515625" style="222" customWidth="1"/>
    <col min="15" max="15" width="13.140625" style="222" customWidth="1"/>
    <col min="16" max="16" width="11.42578125" style="222" customWidth="1"/>
    <col min="17" max="17" width="14.85546875" style="222" customWidth="1"/>
    <col min="18" max="18" width="18.28515625" style="222" bestFit="1" customWidth="1"/>
    <col min="19" max="19" width="19" style="222" bestFit="1" customWidth="1"/>
    <col min="20" max="20" width="9.28515625" style="222" bestFit="1" customWidth="1"/>
    <col min="21" max="16384" width="9.140625" style="222"/>
  </cols>
  <sheetData>
    <row r="1" spans="1:20" ht="24.75" customHeight="1">
      <c r="A1" s="893" t="s">
        <v>0</v>
      </c>
      <c r="B1" s="893"/>
      <c r="C1" s="893"/>
      <c r="D1" s="893"/>
      <c r="E1" s="893"/>
      <c r="F1" s="893"/>
      <c r="G1" s="893"/>
      <c r="H1" s="893"/>
      <c r="I1" s="893"/>
      <c r="J1" s="893"/>
      <c r="K1" s="893"/>
      <c r="L1" s="893"/>
      <c r="M1" s="893"/>
      <c r="N1" s="893"/>
      <c r="O1" s="893"/>
      <c r="P1" s="893"/>
      <c r="Q1" s="893"/>
    </row>
    <row r="2" spans="1:20" ht="17.25" customHeight="1">
      <c r="A2" s="835" t="s">
        <v>57</v>
      </c>
      <c r="B2" s="835"/>
      <c r="C2" s="835"/>
      <c r="D2" s="835"/>
      <c r="E2" s="835"/>
      <c r="F2" s="835"/>
      <c r="G2" s="835"/>
      <c r="H2" s="835"/>
      <c r="I2" s="835"/>
      <c r="J2" s="835"/>
      <c r="K2" s="835"/>
      <c r="L2" s="835"/>
      <c r="M2" s="835"/>
      <c r="N2" s="835"/>
      <c r="O2" s="835"/>
      <c r="P2" s="835"/>
      <c r="Q2" s="835"/>
    </row>
    <row r="3" spans="1:20" s="84" customFormat="1" ht="18.75" customHeight="1">
      <c r="A3" s="826" t="s">
        <v>135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</row>
    <row r="4" spans="1:20" ht="14.25" customHeight="1">
      <c r="A4" s="894"/>
      <c r="B4" s="894"/>
      <c r="C4" s="894"/>
      <c r="D4" s="894"/>
      <c r="E4" s="321"/>
      <c r="F4" s="321"/>
      <c r="G4" s="321"/>
      <c r="H4" s="321"/>
      <c r="I4" s="321"/>
      <c r="J4" s="321"/>
      <c r="K4" s="321"/>
      <c r="L4" s="321"/>
      <c r="M4" s="321"/>
      <c r="N4" s="321"/>
      <c r="O4" s="321"/>
      <c r="P4" s="321"/>
      <c r="Q4" s="321"/>
    </row>
    <row r="5" spans="1:20" s="90" customFormat="1" ht="23.25" customHeight="1">
      <c r="A5" s="874" t="s">
        <v>2</v>
      </c>
      <c r="B5" s="874" t="s">
        <v>58</v>
      </c>
      <c r="C5" s="877" t="s">
        <v>4</v>
      </c>
      <c r="D5" s="877" t="s">
        <v>5</v>
      </c>
      <c r="E5" s="877" t="s">
        <v>6</v>
      </c>
      <c r="F5" s="874" t="s">
        <v>7</v>
      </c>
      <c r="G5" s="823" t="s">
        <v>39</v>
      </c>
      <c r="H5" s="823"/>
      <c r="I5" s="823"/>
      <c r="J5" s="823" t="s">
        <v>133</v>
      </c>
      <c r="K5" s="823"/>
      <c r="L5" s="823"/>
      <c r="M5" s="823"/>
      <c r="N5" s="823" t="s">
        <v>84</v>
      </c>
      <c r="O5" s="823"/>
      <c r="P5" s="823"/>
      <c r="Q5" s="823"/>
    </row>
    <row r="6" spans="1:20" s="90" customFormat="1" ht="87.75" customHeight="1">
      <c r="A6" s="874"/>
      <c r="B6" s="874"/>
      <c r="C6" s="877"/>
      <c r="D6" s="877"/>
      <c r="E6" s="877"/>
      <c r="F6" s="874"/>
      <c r="G6" s="329" t="s">
        <v>9</v>
      </c>
      <c r="H6" s="329" t="s">
        <v>10</v>
      </c>
      <c r="I6" s="328" t="s">
        <v>11</v>
      </c>
      <c r="J6" s="328" t="s">
        <v>12</v>
      </c>
      <c r="K6" s="328" t="s">
        <v>13</v>
      </c>
      <c r="L6" s="225" t="s">
        <v>78</v>
      </c>
      <c r="M6" s="225" t="s">
        <v>14</v>
      </c>
      <c r="N6" s="225" t="s">
        <v>59</v>
      </c>
      <c r="O6" s="328" t="s">
        <v>16</v>
      </c>
      <c r="P6" s="225" t="s">
        <v>17</v>
      </c>
      <c r="Q6" s="225" t="s">
        <v>18</v>
      </c>
    </row>
    <row r="7" spans="1:20" ht="18" customHeight="1">
      <c r="A7" s="219">
        <v>1</v>
      </c>
      <c r="B7" s="219" t="s">
        <v>40</v>
      </c>
      <c r="C7" s="281">
        <v>3</v>
      </c>
      <c r="D7" s="281">
        <v>4</v>
      </c>
      <c r="E7" s="281">
        <v>5</v>
      </c>
      <c r="F7" s="219" t="s">
        <v>19</v>
      </c>
      <c r="G7" s="281">
        <v>6</v>
      </c>
      <c r="H7" s="281">
        <v>7</v>
      </c>
      <c r="I7" s="219" t="s">
        <v>20</v>
      </c>
      <c r="J7" s="219" t="s">
        <v>21</v>
      </c>
      <c r="K7" s="220" t="s">
        <v>22</v>
      </c>
      <c r="L7" s="221" t="s">
        <v>23</v>
      </c>
      <c r="M7" s="221" t="s">
        <v>24</v>
      </c>
      <c r="N7" s="221">
        <v>13</v>
      </c>
      <c r="O7" s="219" t="s">
        <v>25</v>
      </c>
      <c r="P7" s="221">
        <v>15</v>
      </c>
      <c r="Q7" s="221">
        <v>16</v>
      </c>
    </row>
    <row r="8" spans="1:20" s="294" customFormat="1" ht="24.95" customHeight="1">
      <c r="A8" s="226">
        <v>1</v>
      </c>
      <c r="B8" s="227" t="s">
        <v>60</v>
      </c>
      <c r="C8" s="416">
        <v>229</v>
      </c>
      <c r="D8" s="416">
        <v>226</v>
      </c>
      <c r="E8" s="423">
        <v>302.45999999999998</v>
      </c>
      <c r="F8" s="262" t="e">
        <f>E8+'oct ANX III '!F8</f>
        <v>#REF!</v>
      </c>
      <c r="G8" s="420">
        <v>3872.3100000000004</v>
      </c>
      <c r="H8" s="420">
        <v>1083.6799999999992</v>
      </c>
      <c r="I8" s="233">
        <f>G8+H8</f>
        <v>4955.99</v>
      </c>
      <c r="J8" s="233">
        <f>E8+I8</f>
        <v>5258.45</v>
      </c>
      <c r="K8" s="233">
        <f>J8/C8</f>
        <v>22.962663755458514</v>
      </c>
      <c r="L8" s="234">
        <f>+(((C8*18)*30)-I8)*100/((C8*18)*30)</f>
        <v>95.992244864952283</v>
      </c>
      <c r="M8" s="234">
        <f>+(((C8*18)*30)-J8)*100/((C8*18)*30)</f>
        <v>95.747654860100269</v>
      </c>
      <c r="N8" s="234" t="e">
        <f>J8+'oct ANX III '!N8</f>
        <v>#REF!</v>
      </c>
      <c r="O8" s="235" t="e">
        <f>N8/C8</f>
        <v>#REF!</v>
      </c>
      <c r="P8" s="234" t="e">
        <f>((C8*18*244)-(N8-E8))*100/(C8*18*244)</f>
        <v>#REF!</v>
      </c>
      <c r="Q8" s="234" t="e">
        <f>((C8*18*244)-(N8))*100/(C8*18*244)</f>
        <v>#REF!</v>
      </c>
      <c r="R8" s="293" t="e">
        <f>L8-P8</f>
        <v>#REF!</v>
      </c>
      <c r="S8" s="293" t="e">
        <f>M8-Q8</f>
        <v>#REF!</v>
      </c>
    </row>
    <row r="9" spans="1:20" s="294" customFormat="1" ht="24.95" customHeight="1">
      <c r="A9" s="226">
        <v>2</v>
      </c>
      <c r="B9" s="227" t="s">
        <v>43</v>
      </c>
      <c r="C9" s="417">
        <v>172</v>
      </c>
      <c r="D9" s="417">
        <v>172</v>
      </c>
      <c r="E9" s="424">
        <v>54.69</v>
      </c>
      <c r="F9" s="262" t="e">
        <f>E9+'oct ANX III '!F9</f>
        <v>#REF!</v>
      </c>
      <c r="G9" s="420">
        <v>2642.8119999999999</v>
      </c>
      <c r="H9" s="420">
        <v>724.02</v>
      </c>
      <c r="I9" s="233">
        <f t="shared" ref="I9:I30" si="0">G9+H9</f>
        <v>3366.8319999999999</v>
      </c>
      <c r="J9" s="233">
        <f t="shared" ref="J9:J30" si="1">E9+I9</f>
        <v>3421.5219999999999</v>
      </c>
      <c r="K9" s="233">
        <f t="shared" ref="K9:K30" si="2">J9/C9</f>
        <v>19.892569767441859</v>
      </c>
      <c r="L9" s="234">
        <f t="shared" ref="L9:L30" si="3">+(((C9*18)*30)-I9)*100/((C9*18)*30)</f>
        <v>96.375073212747637</v>
      </c>
      <c r="M9" s="234">
        <f t="shared" ref="M9:M30" si="4">+(((C9*18)*30)-J9)*100/((C9*18)*30)</f>
        <v>96.316190783807073</v>
      </c>
      <c r="N9" s="234" t="e">
        <f>J9+'oct ANX III '!N9</f>
        <v>#REF!</v>
      </c>
      <c r="O9" s="235" t="e">
        <f t="shared" ref="O9:O30" si="5">N9/C9</f>
        <v>#REF!</v>
      </c>
      <c r="P9" s="234" t="e">
        <f t="shared" ref="P9:P30" si="6">((C9*18*244)-(N9-E9))*100/(C9*18*244)</f>
        <v>#REF!</v>
      </c>
      <c r="Q9" s="234" t="e">
        <f t="shared" ref="Q9:Q30" si="7">((C9*18*244)-(N9))*100/(C9*18*244)</f>
        <v>#REF!</v>
      </c>
      <c r="R9" s="293" t="e">
        <f t="shared" ref="R9:S55" si="8">L9-P9</f>
        <v>#REF!</v>
      </c>
      <c r="S9" s="293" t="e">
        <f t="shared" si="8"/>
        <v>#REF!</v>
      </c>
    </row>
    <row r="10" spans="1:20" s="294" customFormat="1" ht="24.95" customHeight="1">
      <c r="A10" s="226">
        <v>3</v>
      </c>
      <c r="B10" s="227" t="s">
        <v>27</v>
      </c>
      <c r="C10" s="417">
        <v>178</v>
      </c>
      <c r="D10" s="417">
        <v>178</v>
      </c>
      <c r="E10" s="424">
        <v>175.26</v>
      </c>
      <c r="F10" s="262" t="e">
        <f>E10+'oct ANX III '!F10</f>
        <v>#REF!</v>
      </c>
      <c r="G10" s="420">
        <v>3548.93</v>
      </c>
      <c r="H10" s="420">
        <v>3661.19</v>
      </c>
      <c r="I10" s="233">
        <f t="shared" si="0"/>
        <v>7210.12</v>
      </c>
      <c r="J10" s="233">
        <f t="shared" si="1"/>
        <v>7385.38</v>
      </c>
      <c r="K10" s="233">
        <f t="shared" si="2"/>
        <v>41.490898876404493</v>
      </c>
      <c r="L10" s="234">
        <f t="shared" si="3"/>
        <v>92.498834789846029</v>
      </c>
      <c r="M10" s="234">
        <f t="shared" si="4"/>
        <v>92.316500208073236</v>
      </c>
      <c r="N10" s="234" t="e">
        <f>J10+'oct ANX III '!N10</f>
        <v>#REF!</v>
      </c>
      <c r="O10" s="235" t="e">
        <f t="shared" si="5"/>
        <v>#REF!</v>
      </c>
      <c r="P10" s="234" t="e">
        <f t="shared" si="6"/>
        <v>#REF!</v>
      </c>
      <c r="Q10" s="234" t="e">
        <f t="shared" si="7"/>
        <v>#REF!</v>
      </c>
      <c r="R10" s="293" t="e">
        <f t="shared" si="8"/>
        <v>#REF!</v>
      </c>
      <c r="S10" s="293" t="e">
        <f t="shared" si="8"/>
        <v>#REF!</v>
      </c>
    </row>
    <row r="11" spans="1:20" s="294" customFormat="1" ht="24.95" customHeight="1">
      <c r="A11" s="226">
        <v>4</v>
      </c>
      <c r="B11" s="227" t="s">
        <v>44</v>
      </c>
      <c r="C11" s="417">
        <v>192</v>
      </c>
      <c r="D11" s="417">
        <v>192</v>
      </c>
      <c r="E11" s="424">
        <v>48.051705349598116</v>
      </c>
      <c r="F11" s="262" t="e">
        <f>E11+'oct ANX III '!F11</f>
        <v>#REF!</v>
      </c>
      <c r="G11" s="420">
        <v>1383.24</v>
      </c>
      <c r="H11" s="420">
        <v>553.99</v>
      </c>
      <c r="I11" s="233">
        <f t="shared" si="0"/>
        <v>1937.23</v>
      </c>
      <c r="J11" s="233">
        <f t="shared" si="1"/>
        <v>1985.281705349598</v>
      </c>
      <c r="K11" s="233">
        <f t="shared" si="2"/>
        <v>10.340008882029156</v>
      </c>
      <c r="L11" s="234">
        <f t="shared" si="3"/>
        <v>98.131529706790118</v>
      </c>
      <c r="M11" s="234">
        <f t="shared" si="4"/>
        <v>98.08518354036498</v>
      </c>
      <c r="N11" s="234" t="e">
        <f>J11+'oct ANX III '!N11</f>
        <v>#REF!</v>
      </c>
      <c r="O11" s="235" t="e">
        <f t="shared" si="5"/>
        <v>#REF!</v>
      </c>
      <c r="P11" s="234" t="e">
        <f t="shared" si="6"/>
        <v>#REF!</v>
      </c>
      <c r="Q11" s="234" t="e">
        <f t="shared" si="7"/>
        <v>#REF!</v>
      </c>
      <c r="R11" s="293" t="e">
        <f t="shared" si="8"/>
        <v>#REF!</v>
      </c>
      <c r="S11" s="293" t="e">
        <f t="shared" si="8"/>
        <v>#REF!</v>
      </c>
    </row>
    <row r="12" spans="1:20" s="295" customFormat="1" ht="25.5" customHeight="1">
      <c r="A12" s="226">
        <v>5</v>
      </c>
      <c r="B12" s="227" t="s">
        <v>28</v>
      </c>
      <c r="C12" s="418">
        <v>385</v>
      </c>
      <c r="D12" s="418">
        <v>365</v>
      </c>
      <c r="E12" s="419">
        <v>40.200000000000003</v>
      </c>
      <c r="F12" s="262" t="e">
        <f>E12+'oct ANX III '!F12</f>
        <v>#REF!</v>
      </c>
      <c r="G12" s="419">
        <v>4856</v>
      </c>
      <c r="H12" s="419">
        <v>3458</v>
      </c>
      <c r="I12" s="233">
        <f t="shared" si="0"/>
        <v>8314</v>
      </c>
      <c r="J12" s="233">
        <f t="shared" si="1"/>
        <v>8354.2000000000007</v>
      </c>
      <c r="K12" s="233">
        <f t="shared" si="2"/>
        <v>21.699220779220781</v>
      </c>
      <c r="L12" s="234">
        <f t="shared" si="3"/>
        <v>96.000962000962005</v>
      </c>
      <c r="M12" s="234">
        <f t="shared" si="4"/>
        <v>95.98162578162578</v>
      </c>
      <c r="N12" s="234" t="e">
        <f>J12+'oct ANX III '!N12</f>
        <v>#REF!</v>
      </c>
      <c r="O12" s="235" t="e">
        <f t="shared" si="5"/>
        <v>#REF!</v>
      </c>
      <c r="P12" s="234" t="e">
        <f t="shared" si="6"/>
        <v>#REF!</v>
      </c>
      <c r="Q12" s="234" t="e">
        <f t="shared" si="7"/>
        <v>#REF!</v>
      </c>
      <c r="R12" s="293" t="e">
        <f t="shared" si="8"/>
        <v>#REF!</v>
      </c>
      <c r="S12" s="293" t="e">
        <f t="shared" si="8"/>
        <v>#REF!</v>
      </c>
      <c r="T12" s="295">
        <f>E12/60</f>
        <v>0.67</v>
      </c>
    </row>
    <row r="13" spans="1:20" s="295" customFormat="1" ht="25.5" customHeight="1">
      <c r="A13" s="226">
        <v>6</v>
      </c>
      <c r="B13" s="283" t="s">
        <v>45</v>
      </c>
      <c r="C13" s="418">
        <v>187</v>
      </c>
      <c r="D13" s="418">
        <v>187</v>
      </c>
      <c r="E13" s="419">
        <v>50.15</v>
      </c>
      <c r="F13" s="262" t="e">
        <f>E13+'oct ANX III '!F13</f>
        <v>#REF!</v>
      </c>
      <c r="G13" s="419">
        <v>3049</v>
      </c>
      <c r="H13" s="419">
        <v>2499</v>
      </c>
      <c r="I13" s="233">
        <f t="shared" si="0"/>
        <v>5548</v>
      </c>
      <c r="J13" s="233">
        <f t="shared" si="1"/>
        <v>5598.15</v>
      </c>
      <c r="K13" s="233">
        <f t="shared" si="2"/>
        <v>29.936631016042778</v>
      </c>
      <c r="L13" s="234">
        <f t="shared" si="3"/>
        <v>94.50584274113686</v>
      </c>
      <c r="M13" s="234">
        <f t="shared" si="4"/>
        <v>94.456179441473566</v>
      </c>
      <c r="N13" s="234" t="e">
        <f>J13+'oct ANX III '!N13</f>
        <v>#REF!</v>
      </c>
      <c r="O13" s="235" t="e">
        <f t="shared" si="5"/>
        <v>#REF!</v>
      </c>
      <c r="P13" s="234" t="e">
        <f t="shared" si="6"/>
        <v>#REF!</v>
      </c>
      <c r="Q13" s="234" t="e">
        <f t="shared" si="7"/>
        <v>#REF!</v>
      </c>
      <c r="R13" s="293" t="e">
        <f t="shared" si="8"/>
        <v>#REF!</v>
      </c>
      <c r="S13" s="293" t="e">
        <f t="shared" si="8"/>
        <v>#REF!</v>
      </c>
      <c r="T13" s="295">
        <f>E13/60</f>
        <v>0.83583333333333332</v>
      </c>
    </row>
    <row r="14" spans="1:20" s="295" customFormat="1" ht="25.5" customHeight="1">
      <c r="A14" s="226">
        <v>7</v>
      </c>
      <c r="B14" s="283" t="s">
        <v>88</v>
      </c>
      <c r="C14" s="418">
        <v>272</v>
      </c>
      <c r="D14" s="418">
        <v>272</v>
      </c>
      <c r="E14" s="419">
        <v>45.35</v>
      </c>
      <c r="F14" s="262" t="e">
        <f>E14+'oct ANX III '!F14</f>
        <v>#REF!</v>
      </c>
      <c r="G14" s="419">
        <v>2871</v>
      </c>
      <c r="H14" s="419">
        <v>1372</v>
      </c>
      <c r="I14" s="233">
        <f t="shared" si="0"/>
        <v>4243</v>
      </c>
      <c r="J14" s="233">
        <f t="shared" si="1"/>
        <v>4288.3500000000004</v>
      </c>
      <c r="K14" s="233">
        <f t="shared" si="2"/>
        <v>15.765992647058825</v>
      </c>
      <c r="L14" s="234">
        <f t="shared" si="3"/>
        <v>97.111247276688459</v>
      </c>
      <c r="M14" s="234">
        <f t="shared" si="4"/>
        <v>97.080371732026137</v>
      </c>
      <c r="N14" s="234" t="e">
        <f>J14+'oct ANX III '!N14</f>
        <v>#REF!</v>
      </c>
      <c r="O14" s="235" t="e">
        <f t="shared" si="5"/>
        <v>#REF!</v>
      </c>
      <c r="P14" s="234" t="e">
        <f t="shared" si="6"/>
        <v>#REF!</v>
      </c>
      <c r="Q14" s="234" t="e">
        <f t="shared" si="7"/>
        <v>#REF!</v>
      </c>
      <c r="R14" s="293" t="e">
        <f t="shared" si="8"/>
        <v>#REF!</v>
      </c>
      <c r="S14" s="293" t="e">
        <f t="shared" si="8"/>
        <v>#REF!</v>
      </c>
      <c r="T14" s="295">
        <f>E14/60</f>
        <v>0.75583333333333336</v>
      </c>
    </row>
    <row r="15" spans="1:20" s="295" customFormat="1" ht="25.5" customHeight="1">
      <c r="A15" s="226">
        <v>8</v>
      </c>
      <c r="B15" s="283" t="s">
        <v>30</v>
      </c>
      <c r="C15" s="398">
        <v>134</v>
      </c>
      <c r="D15" s="398">
        <v>134</v>
      </c>
      <c r="E15" s="399">
        <v>41.28</v>
      </c>
      <c r="F15" s="262" t="e">
        <f>E15+'oct ANX III '!F15</f>
        <v>#REF!</v>
      </c>
      <c r="G15" s="399">
        <v>430.45</v>
      </c>
      <c r="H15" s="399">
        <v>303.69</v>
      </c>
      <c r="I15" s="233">
        <f t="shared" si="0"/>
        <v>734.14</v>
      </c>
      <c r="J15" s="233">
        <f t="shared" si="1"/>
        <v>775.42</v>
      </c>
      <c r="K15" s="233">
        <f t="shared" si="2"/>
        <v>5.7867164179104478</v>
      </c>
      <c r="L15" s="234">
        <f t="shared" si="3"/>
        <v>98.985433941404096</v>
      </c>
      <c r="M15" s="234">
        <f t="shared" si="4"/>
        <v>98.9283858485351</v>
      </c>
      <c r="N15" s="234" t="e">
        <f>J15+'oct ANX III '!N15</f>
        <v>#REF!</v>
      </c>
      <c r="O15" s="235" t="e">
        <f t="shared" si="5"/>
        <v>#REF!</v>
      </c>
      <c r="P15" s="234" t="e">
        <f t="shared" si="6"/>
        <v>#REF!</v>
      </c>
      <c r="Q15" s="234" t="e">
        <f t="shared" si="7"/>
        <v>#REF!</v>
      </c>
      <c r="R15" s="293" t="e">
        <f t="shared" si="8"/>
        <v>#REF!</v>
      </c>
      <c r="S15" s="293" t="e">
        <f t="shared" si="8"/>
        <v>#REF!</v>
      </c>
    </row>
    <row r="16" spans="1:20" s="295" customFormat="1" ht="25.5" customHeight="1">
      <c r="A16" s="226">
        <v>9</v>
      </c>
      <c r="B16" s="283" t="s">
        <v>47</v>
      </c>
      <c r="C16" s="398">
        <v>170</v>
      </c>
      <c r="D16" s="398">
        <v>170</v>
      </c>
      <c r="E16" s="399">
        <v>205</v>
      </c>
      <c r="F16" s="262" t="e">
        <f>E16+'oct ANX III '!F16</f>
        <v>#REF!</v>
      </c>
      <c r="G16" s="399">
        <v>484</v>
      </c>
      <c r="H16" s="399">
        <v>148</v>
      </c>
      <c r="I16" s="233">
        <f t="shared" si="0"/>
        <v>632</v>
      </c>
      <c r="J16" s="233">
        <f t="shared" si="1"/>
        <v>837</v>
      </c>
      <c r="K16" s="233">
        <f t="shared" si="2"/>
        <v>4.9235294117647062</v>
      </c>
      <c r="L16" s="234">
        <f t="shared" si="3"/>
        <v>99.311546840958599</v>
      </c>
      <c r="M16" s="234">
        <f t="shared" si="4"/>
        <v>99.088235294117652</v>
      </c>
      <c r="N16" s="234" t="e">
        <f>J16+'oct ANX III '!N16</f>
        <v>#REF!</v>
      </c>
      <c r="O16" s="235" t="e">
        <f t="shared" si="5"/>
        <v>#REF!</v>
      </c>
      <c r="P16" s="234" t="e">
        <f t="shared" si="6"/>
        <v>#REF!</v>
      </c>
      <c r="Q16" s="234" t="e">
        <f t="shared" si="7"/>
        <v>#REF!</v>
      </c>
      <c r="R16" s="293" t="e">
        <f t="shared" si="8"/>
        <v>#REF!</v>
      </c>
      <c r="S16" s="293" t="e">
        <f t="shared" si="8"/>
        <v>#REF!</v>
      </c>
      <c r="T16" s="295">
        <f>E16/60</f>
        <v>3.4166666666666665</v>
      </c>
    </row>
    <row r="17" spans="1:20" s="295" customFormat="1" ht="25.5" customHeight="1">
      <c r="A17" s="226">
        <v>10</v>
      </c>
      <c r="B17" s="283" t="s">
        <v>48</v>
      </c>
      <c r="C17" s="398">
        <v>173</v>
      </c>
      <c r="D17" s="398">
        <v>173</v>
      </c>
      <c r="E17" s="399">
        <v>287.5</v>
      </c>
      <c r="F17" s="262" t="e">
        <f>E17+'oct ANX III '!F17</f>
        <v>#REF!</v>
      </c>
      <c r="G17" s="399">
        <v>220.05</v>
      </c>
      <c r="H17" s="399">
        <v>201.19</v>
      </c>
      <c r="I17" s="233">
        <f t="shared" si="0"/>
        <v>421.24</v>
      </c>
      <c r="J17" s="233">
        <f t="shared" si="1"/>
        <v>708.74</v>
      </c>
      <c r="K17" s="233">
        <f t="shared" si="2"/>
        <v>4.096763005780347</v>
      </c>
      <c r="L17" s="234">
        <f t="shared" si="3"/>
        <v>99.549090130593015</v>
      </c>
      <c r="M17" s="234">
        <f t="shared" si="4"/>
        <v>99.241340184114748</v>
      </c>
      <c r="N17" s="234" t="e">
        <f>J17+'oct ANX III '!N17</f>
        <v>#REF!</v>
      </c>
      <c r="O17" s="235" t="e">
        <f t="shared" si="5"/>
        <v>#REF!</v>
      </c>
      <c r="P17" s="234" t="e">
        <f t="shared" si="6"/>
        <v>#REF!</v>
      </c>
      <c r="Q17" s="234" t="e">
        <f t="shared" si="7"/>
        <v>#REF!</v>
      </c>
      <c r="R17" s="293" t="e">
        <f t="shared" si="8"/>
        <v>#REF!</v>
      </c>
      <c r="S17" s="293" t="e">
        <f t="shared" si="8"/>
        <v>#REF!</v>
      </c>
      <c r="T17" s="295">
        <f>E17/60</f>
        <v>4.791666666666667</v>
      </c>
    </row>
    <row r="18" spans="1:20" s="295" customFormat="1" ht="25.5" customHeight="1">
      <c r="A18" s="226">
        <v>11</v>
      </c>
      <c r="B18" s="283" t="s">
        <v>63</v>
      </c>
      <c r="C18" s="398">
        <v>120</v>
      </c>
      <c r="D18" s="398">
        <v>120</v>
      </c>
      <c r="E18" s="399">
        <v>39.53</v>
      </c>
      <c r="F18" s="262" t="e">
        <f>E18+'oct ANX III '!F18</f>
        <v>#REF!</v>
      </c>
      <c r="G18" s="399">
        <v>360</v>
      </c>
      <c r="H18" s="399">
        <v>211.25</v>
      </c>
      <c r="I18" s="233">
        <f t="shared" si="0"/>
        <v>571.25</v>
      </c>
      <c r="J18" s="233">
        <f t="shared" si="1"/>
        <v>610.78</v>
      </c>
      <c r="K18" s="233">
        <f t="shared" si="2"/>
        <v>5.089833333333333</v>
      </c>
      <c r="L18" s="234">
        <f t="shared" si="3"/>
        <v>99.118441358024697</v>
      </c>
      <c r="M18" s="234">
        <f t="shared" si="4"/>
        <v>99.057438271604937</v>
      </c>
      <c r="N18" s="234" t="e">
        <f>J18+'oct ANX III '!N18</f>
        <v>#REF!</v>
      </c>
      <c r="O18" s="235" t="e">
        <f t="shared" si="5"/>
        <v>#REF!</v>
      </c>
      <c r="P18" s="234" t="e">
        <f t="shared" si="6"/>
        <v>#REF!</v>
      </c>
      <c r="Q18" s="234" t="e">
        <f t="shared" si="7"/>
        <v>#REF!</v>
      </c>
      <c r="R18" s="293" t="e">
        <f t="shared" si="8"/>
        <v>#REF!</v>
      </c>
      <c r="S18" s="293" t="e">
        <f t="shared" si="8"/>
        <v>#REF!</v>
      </c>
    </row>
    <row r="19" spans="1:20" s="284" customFormat="1" ht="25.5" hidden="1" customHeight="1">
      <c r="A19" s="284">
        <v>12</v>
      </c>
      <c r="B19" s="284" t="s">
        <v>50</v>
      </c>
      <c r="C19" s="333">
        <v>34</v>
      </c>
      <c r="D19" s="333">
        <v>34</v>
      </c>
      <c r="E19" s="334">
        <v>105.77</v>
      </c>
      <c r="F19" s="262" t="e">
        <f>E19+'oct ANX III '!F19</f>
        <v>#REF!</v>
      </c>
      <c r="G19" s="336">
        <v>458.86666666666667</v>
      </c>
      <c r="H19" s="336">
        <v>340.19999999999993</v>
      </c>
      <c r="I19" s="312">
        <f t="shared" si="0"/>
        <v>799.06666666666661</v>
      </c>
      <c r="J19" s="312">
        <f t="shared" si="1"/>
        <v>904.83666666666659</v>
      </c>
      <c r="K19" s="312">
        <f t="shared" si="2"/>
        <v>26.612843137254899</v>
      </c>
      <c r="L19" s="234">
        <f t="shared" si="3"/>
        <v>95.647785039941908</v>
      </c>
      <c r="M19" s="234">
        <f t="shared" si="4"/>
        <v>95.071695715323173</v>
      </c>
      <c r="N19" s="234" t="e">
        <f>J19+'oct ANX III '!N19</f>
        <v>#REF!</v>
      </c>
      <c r="O19" s="313" t="e">
        <f t="shared" si="5"/>
        <v>#REF!</v>
      </c>
      <c r="P19" s="234" t="e">
        <f t="shared" si="6"/>
        <v>#REF!</v>
      </c>
      <c r="Q19" s="234" t="e">
        <f t="shared" si="7"/>
        <v>#REF!</v>
      </c>
      <c r="R19" s="285" t="e">
        <f t="shared" si="8"/>
        <v>#REF!</v>
      </c>
      <c r="S19" s="284" t="e">
        <f t="shared" si="8"/>
        <v>#REF!</v>
      </c>
    </row>
    <row r="20" spans="1:20" s="284" customFormat="1" ht="25.5" hidden="1" customHeight="1">
      <c r="A20" s="284">
        <v>13</v>
      </c>
      <c r="B20" s="284" t="s">
        <v>51</v>
      </c>
      <c r="C20" s="333">
        <v>31</v>
      </c>
      <c r="D20" s="333">
        <v>31</v>
      </c>
      <c r="E20" s="334">
        <v>191.58999999999997</v>
      </c>
      <c r="F20" s="262" t="e">
        <f>E20+'oct ANX III '!F20</f>
        <v>#REF!</v>
      </c>
      <c r="G20" s="336">
        <v>614.3266666666666</v>
      </c>
      <c r="H20" s="336">
        <v>477.12999999999988</v>
      </c>
      <c r="I20" s="312">
        <f t="shared" si="0"/>
        <v>1091.4566666666665</v>
      </c>
      <c r="J20" s="312">
        <f t="shared" si="1"/>
        <v>1283.0466666666664</v>
      </c>
      <c r="K20" s="312">
        <f t="shared" si="2"/>
        <v>41.388602150537629</v>
      </c>
      <c r="L20" s="234">
        <f t="shared" si="3"/>
        <v>93.479948227797692</v>
      </c>
      <c r="M20" s="234">
        <f t="shared" si="4"/>
        <v>92.335444046196727</v>
      </c>
      <c r="N20" s="234" t="e">
        <f>J20+'oct ANX III '!N20</f>
        <v>#REF!</v>
      </c>
      <c r="O20" s="313" t="e">
        <f t="shared" si="5"/>
        <v>#REF!</v>
      </c>
      <c r="P20" s="234" t="e">
        <f t="shared" si="6"/>
        <v>#REF!</v>
      </c>
      <c r="Q20" s="234" t="e">
        <f t="shared" si="7"/>
        <v>#REF!</v>
      </c>
      <c r="R20" s="285" t="e">
        <f t="shared" si="8"/>
        <v>#REF!</v>
      </c>
      <c r="S20" s="284" t="e">
        <f t="shared" si="8"/>
        <v>#REF!</v>
      </c>
    </row>
    <row r="21" spans="1:20" s="297" customFormat="1" ht="25.5" customHeight="1">
      <c r="A21" s="286">
        <v>12</v>
      </c>
      <c r="B21" s="283" t="s">
        <v>99</v>
      </c>
      <c r="C21" s="335">
        <f>C19+C20</f>
        <v>65</v>
      </c>
      <c r="D21" s="335">
        <f>D19+D20</f>
        <v>65</v>
      </c>
      <c r="E21" s="335">
        <f>E19+E20</f>
        <v>297.35999999999996</v>
      </c>
      <c r="F21" s="262" t="e">
        <f>E21+'oct ANX III '!F21</f>
        <v>#REF!</v>
      </c>
      <c r="G21" s="337">
        <f>SUM(G19:G20)</f>
        <v>1073.1933333333332</v>
      </c>
      <c r="H21" s="337">
        <f>SUM(H19:H20)</f>
        <v>817.32999999999981</v>
      </c>
      <c r="I21" s="233">
        <f t="shared" si="0"/>
        <v>1890.5233333333331</v>
      </c>
      <c r="J21" s="233">
        <f t="shared" si="1"/>
        <v>2187.8833333333332</v>
      </c>
      <c r="K21" s="233">
        <f t="shared" si="2"/>
        <v>33.659743589743584</v>
      </c>
      <c r="L21" s="234">
        <f t="shared" si="3"/>
        <v>94.61389363722698</v>
      </c>
      <c r="M21" s="234">
        <f t="shared" si="4"/>
        <v>93.766714150047491</v>
      </c>
      <c r="N21" s="234" t="e">
        <f>J21+'oct ANX III '!N21</f>
        <v>#REF!</v>
      </c>
      <c r="O21" s="233" t="e">
        <f t="shared" si="5"/>
        <v>#REF!</v>
      </c>
      <c r="P21" s="234" t="e">
        <f t="shared" si="6"/>
        <v>#REF!</v>
      </c>
      <c r="Q21" s="234" t="e">
        <f t="shared" si="7"/>
        <v>#REF!</v>
      </c>
      <c r="R21" s="296"/>
      <c r="S21" s="296"/>
    </row>
    <row r="22" spans="1:20" s="299" customFormat="1" ht="25.5" hidden="1" customHeight="1">
      <c r="A22" s="287">
        <v>14</v>
      </c>
      <c r="B22" s="284" t="s">
        <v>52</v>
      </c>
      <c r="C22" s="333">
        <v>14</v>
      </c>
      <c r="D22" s="333">
        <v>14</v>
      </c>
      <c r="E22" s="333">
        <v>10.320000000000002</v>
      </c>
      <c r="F22" s="262" t="e">
        <f>E22+'oct ANX III '!F22</f>
        <v>#REF!</v>
      </c>
      <c r="G22" s="333">
        <v>70.59</v>
      </c>
      <c r="H22" s="333">
        <v>120.74</v>
      </c>
      <c r="I22" s="312">
        <f t="shared" si="0"/>
        <v>191.32999999999998</v>
      </c>
      <c r="J22" s="312">
        <f t="shared" si="1"/>
        <v>201.64999999999998</v>
      </c>
      <c r="K22" s="312">
        <f t="shared" si="2"/>
        <v>14.403571428571427</v>
      </c>
      <c r="L22" s="234">
        <f t="shared" si="3"/>
        <v>97.469179894179888</v>
      </c>
      <c r="M22" s="234">
        <f t="shared" si="4"/>
        <v>97.332671957671963</v>
      </c>
      <c r="N22" s="234" t="e">
        <f>J22+'oct ANX III '!N22</f>
        <v>#REF!</v>
      </c>
      <c r="O22" s="313" t="e">
        <f t="shared" si="5"/>
        <v>#REF!</v>
      </c>
      <c r="P22" s="234" t="e">
        <f t="shared" si="6"/>
        <v>#REF!</v>
      </c>
      <c r="Q22" s="234" t="e">
        <f t="shared" si="7"/>
        <v>#REF!</v>
      </c>
      <c r="R22" s="298" t="e">
        <f t="shared" si="8"/>
        <v>#REF!</v>
      </c>
      <c r="S22" s="298" t="e">
        <f t="shared" si="8"/>
        <v>#REF!</v>
      </c>
    </row>
    <row r="23" spans="1:20" s="299" customFormat="1" ht="30" hidden="1" customHeight="1">
      <c r="A23" s="287">
        <v>15</v>
      </c>
      <c r="B23" s="284" t="s">
        <v>53</v>
      </c>
      <c r="C23" s="333">
        <v>35</v>
      </c>
      <c r="D23" s="333">
        <v>35</v>
      </c>
      <c r="E23" s="333">
        <v>19.2</v>
      </c>
      <c r="F23" s="262" t="e">
        <f>E23+'oct ANX III '!F23</f>
        <v>#REF!</v>
      </c>
      <c r="G23" s="333">
        <v>140.30000000000001</v>
      </c>
      <c r="H23" s="333">
        <v>299.75</v>
      </c>
      <c r="I23" s="312">
        <f t="shared" si="0"/>
        <v>440.05</v>
      </c>
      <c r="J23" s="312">
        <f t="shared" si="1"/>
        <v>459.25</v>
      </c>
      <c r="K23" s="312">
        <f t="shared" si="2"/>
        <v>13.121428571428572</v>
      </c>
      <c r="L23" s="234">
        <f t="shared" si="3"/>
        <v>97.671693121693124</v>
      </c>
      <c r="M23" s="234">
        <f t="shared" si="4"/>
        <v>97.570105820105823</v>
      </c>
      <c r="N23" s="234" t="e">
        <f>J23+'oct ANX III '!N23</f>
        <v>#REF!</v>
      </c>
      <c r="O23" s="313" t="e">
        <f t="shared" si="5"/>
        <v>#REF!</v>
      </c>
      <c r="P23" s="234" t="e">
        <f t="shared" si="6"/>
        <v>#REF!</v>
      </c>
      <c r="Q23" s="234" t="e">
        <f t="shared" si="7"/>
        <v>#REF!</v>
      </c>
      <c r="R23" s="298" t="e">
        <f t="shared" si="8"/>
        <v>#REF!</v>
      </c>
      <c r="S23" s="298" t="e">
        <f t="shared" si="8"/>
        <v>#REF!</v>
      </c>
    </row>
    <row r="24" spans="1:20" s="381" customFormat="1" ht="25.5" hidden="1" customHeight="1">
      <c r="A24" s="377">
        <v>16</v>
      </c>
      <c r="B24" s="378" t="s">
        <v>54</v>
      </c>
      <c r="C24" s="368">
        <f>7+33</f>
        <v>40</v>
      </c>
      <c r="D24" s="368">
        <v>40</v>
      </c>
      <c r="E24" s="368">
        <f>8.5+260.75</f>
        <v>269.25</v>
      </c>
      <c r="F24" s="382" t="e">
        <f>E24+'oct ANX III '!F24</f>
        <v>#REF!</v>
      </c>
      <c r="G24" s="368">
        <f>99.05+127.6</f>
        <v>226.64999999999998</v>
      </c>
      <c r="H24" s="368">
        <f>44.05+114.6</f>
        <v>158.64999999999998</v>
      </c>
      <c r="I24" s="379">
        <f t="shared" si="0"/>
        <v>385.29999999999995</v>
      </c>
      <c r="J24" s="379">
        <f t="shared" si="1"/>
        <v>654.54999999999995</v>
      </c>
      <c r="K24" s="379">
        <f t="shared" si="2"/>
        <v>16.36375</v>
      </c>
      <c r="L24" s="372">
        <f t="shared" si="3"/>
        <v>98.216203703703698</v>
      </c>
      <c r="M24" s="372">
        <f t="shared" si="4"/>
        <v>96.969675925925927</v>
      </c>
      <c r="N24" s="372" t="e">
        <f>J24+'oct ANX III '!N24</f>
        <v>#REF!</v>
      </c>
      <c r="O24" s="376" t="e">
        <f t="shared" si="5"/>
        <v>#REF!</v>
      </c>
      <c r="P24" s="372" t="e">
        <f t="shared" si="6"/>
        <v>#REF!</v>
      </c>
      <c r="Q24" s="372" t="e">
        <f t="shared" si="7"/>
        <v>#REF!</v>
      </c>
      <c r="R24" s="380" t="e">
        <f t="shared" si="8"/>
        <v>#REF!</v>
      </c>
      <c r="S24" s="380" t="e">
        <f t="shared" si="8"/>
        <v>#REF!</v>
      </c>
    </row>
    <row r="25" spans="1:20" s="297" customFormat="1" ht="25.5" customHeight="1">
      <c r="A25" s="286">
        <v>13</v>
      </c>
      <c r="B25" s="283" t="s">
        <v>52</v>
      </c>
      <c r="C25" s="365">
        <f>C22+C23+C24</f>
        <v>89</v>
      </c>
      <c r="D25" s="365">
        <f>D22+D23+D24</f>
        <v>89</v>
      </c>
      <c r="E25" s="365">
        <f>E22+E23+E24</f>
        <v>298.77</v>
      </c>
      <c r="F25" s="262" t="e">
        <f>E25+'oct ANX III '!F25</f>
        <v>#REF!</v>
      </c>
      <c r="G25" s="422">
        <f>G22+G23+G24</f>
        <v>437.53999999999996</v>
      </c>
      <c r="H25" s="365">
        <f>H22+H23+H24</f>
        <v>579.14</v>
      </c>
      <c r="I25" s="233">
        <f>G25+H25</f>
        <v>1016.68</v>
      </c>
      <c r="J25" s="233">
        <f t="shared" si="1"/>
        <v>1315.4499999999998</v>
      </c>
      <c r="K25" s="233">
        <f>J25/C25</f>
        <v>14.780337078651684</v>
      </c>
      <c r="L25" s="234">
        <f t="shared" si="3"/>
        <v>97.884560965459841</v>
      </c>
      <c r="M25" s="234">
        <f t="shared" si="4"/>
        <v>97.262900540990429</v>
      </c>
      <c r="N25" s="234" t="e">
        <f>J25+'oct ANX III '!N25</f>
        <v>#REF!</v>
      </c>
      <c r="O25" s="233" t="e">
        <f t="shared" si="5"/>
        <v>#REF!</v>
      </c>
      <c r="P25" s="234" t="e">
        <f t="shared" si="6"/>
        <v>#REF!</v>
      </c>
      <c r="Q25" s="234" t="e">
        <f t="shared" si="7"/>
        <v>#REF!</v>
      </c>
      <c r="R25" s="296"/>
      <c r="S25" s="296"/>
    </row>
    <row r="26" spans="1:20" s="295" customFormat="1" ht="25.5" customHeight="1">
      <c r="A26" s="286">
        <v>14</v>
      </c>
      <c r="B26" s="283" t="s">
        <v>94</v>
      </c>
      <c r="C26" s="365">
        <v>19</v>
      </c>
      <c r="D26" s="365">
        <v>19</v>
      </c>
      <c r="E26" s="425">
        <v>0.43</v>
      </c>
      <c r="F26" s="262" t="e">
        <f>E26+'oct ANX III '!F26</f>
        <v>#REF!</v>
      </c>
      <c r="G26" s="364">
        <v>7.6090277777777775</v>
      </c>
      <c r="H26" s="364">
        <v>4.4854166666666666</v>
      </c>
      <c r="I26" s="233">
        <f t="shared" si="0"/>
        <v>12.094444444444445</v>
      </c>
      <c r="J26" s="233">
        <f t="shared" si="1"/>
        <v>12.524444444444445</v>
      </c>
      <c r="K26" s="233">
        <f t="shared" si="2"/>
        <v>0.65918128654970765</v>
      </c>
      <c r="L26" s="234">
        <f t="shared" si="3"/>
        <v>99.882120424518078</v>
      </c>
      <c r="M26" s="234">
        <f t="shared" si="4"/>
        <v>99.877929391379681</v>
      </c>
      <c r="N26" s="234" t="e">
        <f>J26+'oct ANX III '!N26</f>
        <v>#REF!</v>
      </c>
      <c r="O26" s="235" t="e">
        <f t="shared" si="5"/>
        <v>#REF!</v>
      </c>
      <c r="P26" s="234" t="e">
        <f t="shared" si="6"/>
        <v>#REF!</v>
      </c>
      <c r="Q26" s="234" t="e">
        <f t="shared" si="7"/>
        <v>#REF!</v>
      </c>
      <c r="R26" s="293" t="e">
        <f>L26-P26</f>
        <v>#REF!</v>
      </c>
      <c r="S26" s="293" t="e">
        <f>M26-Q26</f>
        <v>#REF!</v>
      </c>
    </row>
    <row r="27" spans="1:20" s="375" customFormat="1" ht="25.5" hidden="1" customHeight="1">
      <c r="A27" s="366">
        <v>18</v>
      </c>
      <c r="B27" s="367" t="s">
        <v>32</v>
      </c>
      <c r="C27" s="368">
        <v>34</v>
      </c>
      <c r="D27" s="368">
        <v>34</v>
      </c>
      <c r="E27" s="368">
        <v>22.69</v>
      </c>
      <c r="F27" s="369" t="e">
        <f>E27+'oct ANX III '!F27</f>
        <v>#REF!</v>
      </c>
      <c r="G27" s="370">
        <v>19.615555555555552</v>
      </c>
      <c r="H27" s="370">
        <v>13.69611111111111</v>
      </c>
      <c r="I27" s="371">
        <f t="shared" si="0"/>
        <v>33.31166666666666</v>
      </c>
      <c r="J27" s="371">
        <f t="shared" si="1"/>
        <v>56.001666666666665</v>
      </c>
      <c r="K27" s="371">
        <f t="shared" si="2"/>
        <v>1.6471078431372548</v>
      </c>
      <c r="L27" s="372">
        <f t="shared" si="3"/>
        <v>99.818563907044293</v>
      </c>
      <c r="M27" s="372">
        <f t="shared" si="4"/>
        <v>99.694980029048651</v>
      </c>
      <c r="N27" s="372" t="e">
        <f>J27+'oct ANX III '!N27</f>
        <v>#REF!</v>
      </c>
      <c r="O27" s="373" t="e">
        <f t="shared" si="5"/>
        <v>#REF!</v>
      </c>
      <c r="P27" s="372" t="e">
        <f t="shared" si="6"/>
        <v>#REF!</v>
      </c>
      <c r="Q27" s="372" t="e">
        <f t="shared" si="7"/>
        <v>#REF!</v>
      </c>
      <c r="R27" s="374" t="e">
        <f t="shared" si="8"/>
        <v>#REF!</v>
      </c>
      <c r="S27" s="374" t="e">
        <f t="shared" si="8"/>
        <v>#REF!</v>
      </c>
    </row>
    <row r="28" spans="1:20" s="375" customFormat="1" ht="25.5" hidden="1" customHeight="1">
      <c r="A28" s="366">
        <v>19</v>
      </c>
      <c r="B28" s="367" t="s">
        <v>55</v>
      </c>
      <c r="C28" s="368">
        <v>47</v>
      </c>
      <c r="D28" s="368">
        <v>47</v>
      </c>
      <c r="E28" s="368">
        <v>128.83000000000001</v>
      </c>
      <c r="F28" s="369" t="e">
        <f>E28+'oct ANX III '!F28</f>
        <v>#REF!</v>
      </c>
      <c r="G28" s="376">
        <v>177.17902777777775</v>
      </c>
      <c r="H28" s="376">
        <v>68.253611111111113</v>
      </c>
      <c r="I28" s="371">
        <v>142.23638888888888</v>
      </c>
      <c r="J28" s="371">
        <f t="shared" si="1"/>
        <v>271.06638888888892</v>
      </c>
      <c r="K28" s="371">
        <f t="shared" si="2"/>
        <v>5.7673699763593387</v>
      </c>
      <c r="L28" s="372">
        <f t="shared" si="3"/>
        <v>99.439572935819982</v>
      </c>
      <c r="M28" s="372">
        <f t="shared" si="4"/>
        <v>98.931968522896412</v>
      </c>
      <c r="N28" s="372" t="e">
        <f>J28+'oct ANX III '!N28</f>
        <v>#REF!</v>
      </c>
      <c r="O28" s="373" t="e">
        <f t="shared" si="5"/>
        <v>#REF!</v>
      </c>
      <c r="P28" s="372" t="e">
        <f t="shared" si="6"/>
        <v>#REF!</v>
      </c>
      <c r="Q28" s="372" t="e">
        <f t="shared" si="7"/>
        <v>#REF!</v>
      </c>
      <c r="R28" s="374" t="e">
        <f t="shared" si="8"/>
        <v>#REF!</v>
      </c>
      <c r="S28" s="374" t="e">
        <f t="shared" si="8"/>
        <v>#REF!</v>
      </c>
    </row>
    <row r="29" spans="1:20" s="297" customFormat="1" ht="25.5" customHeight="1">
      <c r="A29" s="286">
        <v>15</v>
      </c>
      <c r="B29" s="283" t="s">
        <v>32</v>
      </c>
      <c r="C29" s="365">
        <f>C27+C28</f>
        <v>81</v>
      </c>
      <c r="D29" s="365">
        <f>D27+D28</f>
        <v>81</v>
      </c>
      <c r="E29" s="365">
        <f>E27+E28</f>
        <v>151.52000000000001</v>
      </c>
      <c r="F29" s="383" t="e">
        <f>E29+'oct ANX III '!F29</f>
        <v>#REF!</v>
      </c>
      <c r="G29" s="364">
        <f>SUM(G27:G28)</f>
        <v>196.79458333333329</v>
      </c>
      <c r="H29" s="364">
        <f>SUM(H27:H28)</f>
        <v>81.949722222222221</v>
      </c>
      <c r="I29" s="233">
        <f t="shared" si="0"/>
        <v>278.74430555555551</v>
      </c>
      <c r="J29" s="233">
        <f t="shared" si="1"/>
        <v>430.26430555555555</v>
      </c>
      <c r="K29" s="233">
        <f t="shared" si="2"/>
        <v>5.3119050068587104</v>
      </c>
      <c r="L29" s="234">
        <f t="shared" si="3"/>
        <v>99.362724495757746</v>
      </c>
      <c r="M29" s="234">
        <f t="shared" si="4"/>
        <v>99.016313887618765</v>
      </c>
      <c r="N29" s="234" t="e">
        <f>J29+'oct ANX III '!N29</f>
        <v>#REF!</v>
      </c>
      <c r="O29" s="233" t="e">
        <f t="shared" si="5"/>
        <v>#REF!</v>
      </c>
      <c r="P29" s="234" t="e">
        <f t="shared" si="6"/>
        <v>#REF!</v>
      </c>
      <c r="Q29" s="234" t="e">
        <f t="shared" si="7"/>
        <v>#REF!</v>
      </c>
      <c r="R29" s="296"/>
      <c r="S29" s="296"/>
    </row>
    <row r="30" spans="1:20" s="295" customFormat="1" ht="25.5" customHeight="1">
      <c r="A30" s="286">
        <v>16</v>
      </c>
      <c r="B30" s="283" t="s">
        <v>56</v>
      </c>
      <c r="C30" s="365">
        <v>64</v>
      </c>
      <c r="D30" s="365">
        <v>64</v>
      </c>
      <c r="E30" s="364">
        <v>10.087916666666667</v>
      </c>
      <c r="F30" s="262" t="e">
        <f>E30+'oct ANX III '!F30</f>
        <v>#REF!</v>
      </c>
      <c r="G30" s="364">
        <v>129.7201388888889</v>
      </c>
      <c r="H30" s="364">
        <v>17.803472222222219</v>
      </c>
      <c r="I30" s="233">
        <f t="shared" si="0"/>
        <v>147.52361111111111</v>
      </c>
      <c r="J30" s="233">
        <f t="shared" si="1"/>
        <v>157.61152777777778</v>
      </c>
      <c r="K30" s="233">
        <f t="shared" si="2"/>
        <v>2.4626801215277778</v>
      </c>
      <c r="L30" s="234">
        <f t="shared" si="3"/>
        <v>99.573137699331284</v>
      </c>
      <c r="M30" s="234">
        <f t="shared" si="4"/>
        <v>99.543948125642999</v>
      </c>
      <c r="N30" s="234" t="e">
        <f>J30+'oct ANX III '!N30</f>
        <v>#REF!</v>
      </c>
      <c r="O30" s="233" t="e">
        <f t="shared" si="5"/>
        <v>#REF!</v>
      </c>
      <c r="P30" s="234" t="e">
        <f t="shared" si="6"/>
        <v>#REF!</v>
      </c>
      <c r="Q30" s="234" t="e">
        <f t="shared" si="7"/>
        <v>#REF!</v>
      </c>
      <c r="R30" s="293" t="e">
        <f t="shared" si="8"/>
        <v>#REF!</v>
      </c>
      <c r="S30" s="293" t="e">
        <f t="shared" si="8"/>
        <v>#REF!</v>
      </c>
    </row>
    <row r="31" spans="1:20" ht="50.25" customHeight="1" thickBot="1">
      <c r="C31" s="290">
        <f>SUM(C8:C30)</f>
        <v>2765</v>
      </c>
      <c r="D31" s="291">
        <f>SUM(D12:D30)+D8</f>
        <v>2200</v>
      </c>
      <c r="E31" s="291">
        <f t="shared" ref="E31:K31" si="9">SUM(E12:E30)+E8</f>
        <v>2517.2879166666667</v>
      </c>
      <c r="F31" s="182"/>
      <c r="G31" s="291" t="s">
        <v>131</v>
      </c>
      <c r="H31" s="291">
        <f t="shared" si="9"/>
        <v>12255.938333333328</v>
      </c>
      <c r="I31" s="291">
        <f t="shared" si="9"/>
        <v>31847.937083333338</v>
      </c>
      <c r="J31" s="291">
        <f t="shared" si="9"/>
        <v>34365.224999999999</v>
      </c>
      <c r="K31" s="291">
        <f t="shared" si="9"/>
        <v>286.43987055719032</v>
      </c>
      <c r="L31" s="234"/>
      <c r="M31" s="234"/>
      <c r="N31" s="234"/>
      <c r="O31" s="291" t="e">
        <f>SUM(O12:O30)+O8</f>
        <v>#REF!</v>
      </c>
      <c r="P31" s="234"/>
      <c r="Q31" s="234"/>
      <c r="R31" s="282">
        <f t="shared" si="8"/>
        <v>0</v>
      </c>
    </row>
    <row r="32" spans="1:20" ht="52.5" customHeight="1">
      <c r="A32" s="878" t="s">
        <v>33</v>
      </c>
      <c r="B32" s="879"/>
      <c r="C32" s="879"/>
      <c r="D32" s="879"/>
      <c r="E32" s="879"/>
      <c r="F32" s="879"/>
      <c r="G32" s="879"/>
      <c r="H32" s="879"/>
      <c r="I32" s="879"/>
      <c r="J32" s="879"/>
      <c r="K32" s="879"/>
      <c r="L32" s="879"/>
      <c r="M32" s="879"/>
      <c r="N32" s="879"/>
      <c r="O32" s="879"/>
      <c r="P32" s="879"/>
      <c r="Q32" s="880"/>
      <c r="R32" s="282">
        <f t="shared" si="8"/>
        <v>0</v>
      </c>
    </row>
    <row r="33" spans="1:18" ht="54" customHeight="1" thickBot="1">
      <c r="A33" s="881"/>
      <c r="B33" s="882"/>
      <c r="C33" s="882"/>
      <c r="D33" s="882"/>
      <c r="E33" s="882"/>
      <c r="F33" s="882"/>
      <c r="G33" s="882"/>
      <c r="H33" s="882"/>
      <c r="I33" s="882"/>
      <c r="J33" s="882"/>
      <c r="K33" s="882"/>
      <c r="L33" s="882"/>
      <c r="M33" s="882"/>
      <c r="N33" s="882"/>
      <c r="O33" s="882"/>
      <c r="P33" s="882"/>
      <c r="Q33" s="883"/>
      <c r="R33" s="282">
        <f t="shared" si="8"/>
        <v>0</v>
      </c>
    </row>
    <row r="34" spans="1:18" ht="28.5" customHeight="1">
      <c r="A34" s="884" t="s">
        <v>34</v>
      </c>
      <c r="B34" s="885"/>
      <c r="C34" s="885"/>
      <c r="D34" s="885"/>
      <c r="E34" s="885"/>
      <c r="F34" s="885"/>
      <c r="G34" s="885"/>
      <c r="H34" s="885"/>
      <c r="I34" s="885"/>
      <c r="J34" s="885"/>
      <c r="K34" s="885"/>
      <c r="L34" s="885"/>
      <c r="M34" s="885"/>
      <c r="N34" s="885"/>
      <c r="O34" s="885"/>
      <c r="P34" s="885"/>
      <c r="Q34" s="886"/>
      <c r="R34" s="282">
        <f t="shared" si="8"/>
        <v>0</v>
      </c>
    </row>
    <row r="35" spans="1:18" ht="17.25" customHeight="1">
      <c r="A35" s="887"/>
      <c r="B35" s="888"/>
      <c r="C35" s="888"/>
      <c r="D35" s="888"/>
      <c r="E35" s="888"/>
      <c r="F35" s="888"/>
      <c r="G35" s="888"/>
      <c r="H35" s="888"/>
      <c r="I35" s="888"/>
      <c r="J35" s="888"/>
      <c r="K35" s="888"/>
      <c r="L35" s="888"/>
      <c r="M35" s="888"/>
      <c r="N35" s="888"/>
      <c r="O35" s="888"/>
      <c r="P35" s="888"/>
      <c r="Q35" s="889"/>
      <c r="R35" s="282">
        <f t="shared" si="8"/>
        <v>0</v>
      </c>
    </row>
    <row r="36" spans="1:18" ht="13.5" customHeight="1" thickBot="1">
      <c r="A36" s="890"/>
      <c r="B36" s="891"/>
      <c r="C36" s="891"/>
      <c r="D36" s="891"/>
      <c r="E36" s="891"/>
      <c r="F36" s="891"/>
      <c r="G36" s="891"/>
      <c r="H36" s="891"/>
      <c r="I36" s="891"/>
      <c r="J36" s="891"/>
      <c r="K36" s="891"/>
      <c r="L36" s="891"/>
      <c r="M36" s="891"/>
      <c r="N36" s="891"/>
      <c r="O36" s="891"/>
      <c r="P36" s="891"/>
      <c r="Q36" s="892"/>
      <c r="R36" s="282">
        <f t="shared" si="8"/>
        <v>0</v>
      </c>
    </row>
    <row r="37" spans="1:18" ht="30.75" customHeight="1">
      <c r="A37" s="878" t="s">
        <v>35</v>
      </c>
      <c r="B37" s="879"/>
      <c r="C37" s="879"/>
      <c r="D37" s="879"/>
      <c r="E37" s="879"/>
      <c r="F37" s="879"/>
      <c r="G37" s="879"/>
      <c r="H37" s="879"/>
      <c r="I37" s="879"/>
      <c r="J37" s="879"/>
      <c r="K37" s="879"/>
      <c r="L37" s="879"/>
      <c r="M37" s="879"/>
      <c r="N37" s="879"/>
      <c r="O37" s="879"/>
      <c r="P37" s="879"/>
      <c r="Q37" s="880"/>
      <c r="R37" s="282">
        <f t="shared" si="8"/>
        <v>0</v>
      </c>
    </row>
    <row r="38" spans="1:18" ht="20.25" customHeight="1" thickBot="1">
      <c r="A38" s="881"/>
      <c r="B38" s="882"/>
      <c r="C38" s="882"/>
      <c r="D38" s="882"/>
      <c r="E38" s="882"/>
      <c r="F38" s="882"/>
      <c r="G38" s="882"/>
      <c r="H38" s="882"/>
      <c r="I38" s="882"/>
      <c r="J38" s="882"/>
      <c r="K38" s="882"/>
      <c r="L38" s="882"/>
      <c r="M38" s="882"/>
      <c r="N38" s="882"/>
      <c r="O38" s="882"/>
      <c r="P38" s="882"/>
      <c r="Q38" s="883"/>
      <c r="R38" s="282">
        <f t="shared" si="8"/>
        <v>0</v>
      </c>
    </row>
    <row r="39" spans="1:18" ht="18.75" customHeight="1">
      <c r="A39" s="878" t="s">
        <v>36</v>
      </c>
      <c r="B39" s="879"/>
      <c r="C39" s="879"/>
      <c r="D39" s="879"/>
      <c r="E39" s="879"/>
      <c r="F39" s="879"/>
      <c r="G39" s="879"/>
      <c r="H39" s="879"/>
      <c r="I39" s="879"/>
      <c r="J39" s="879"/>
      <c r="K39" s="879"/>
      <c r="L39" s="879"/>
      <c r="M39" s="879"/>
      <c r="N39" s="879"/>
      <c r="O39" s="879"/>
      <c r="P39" s="879"/>
      <c r="Q39" s="880"/>
      <c r="R39" s="282">
        <f t="shared" si="8"/>
        <v>0</v>
      </c>
    </row>
    <row r="40" spans="1:18" ht="29.25" customHeight="1" thickBot="1">
      <c r="A40" s="881"/>
      <c r="B40" s="882"/>
      <c r="C40" s="882"/>
      <c r="D40" s="882"/>
      <c r="E40" s="882"/>
      <c r="F40" s="882"/>
      <c r="G40" s="882"/>
      <c r="H40" s="882"/>
      <c r="I40" s="882"/>
      <c r="J40" s="882"/>
      <c r="K40" s="882"/>
      <c r="L40" s="882"/>
      <c r="M40" s="882"/>
      <c r="N40" s="882"/>
      <c r="O40" s="882"/>
      <c r="P40" s="882"/>
      <c r="Q40" s="883"/>
      <c r="R40" s="282">
        <f t="shared" si="8"/>
        <v>0</v>
      </c>
    </row>
    <row r="41" spans="1:18">
      <c r="R41" s="282">
        <f t="shared" si="8"/>
        <v>0</v>
      </c>
    </row>
    <row r="42" spans="1:18">
      <c r="R42" s="282">
        <f t="shared" si="8"/>
        <v>0</v>
      </c>
    </row>
    <row r="43" spans="1:18">
      <c r="R43" s="282">
        <f t="shared" si="8"/>
        <v>0</v>
      </c>
    </row>
    <row r="44" spans="1:18" ht="15" customHeight="1">
      <c r="P44" s="292"/>
      <c r="Q44" s="292"/>
      <c r="R44" s="282">
        <f t="shared" si="8"/>
        <v>0</v>
      </c>
    </row>
    <row r="45" spans="1:18" ht="15" customHeight="1">
      <c r="P45" s="292">
        <f>98.57</f>
        <v>98.57</v>
      </c>
      <c r="Q45" s="292">
        <f>97.92</f>
        <v>97.92</v>
      </c>
      <c r="R45" s="282">
        <f t="shared" si="8"/>
        <v>-98.57</v>
      </c>
    </row>
    <row r="46" spans="1:18" ht="15" customHeight="1">
      <c r="H46" s="222">
        <v>3.42</v>
      </c>
      <c r="R46" s="282">
        <f t="shared" si="8"/>
        <v>0</v>
      </c>
    </row>
    <row r="47" spans="1:18" ht="15" customHeight="1">
      <c r="C47" s="290"/>
      <c r="H47" s="222">
        <v>0.47</v>
      </c>
      <c r="R47" s="282">
        <f t="shared" si="8"/>
        <v>0</v>
      </c>
    </row>
    <row r="48" spans="1:18" ht="15" customHeight="1">
      <c r="C48" s="290"/>
      <c r="R48" s="282">
        <f t="shared" si="8"/>
        <v>0</v>
      </c>
    </row>
    <row r="49" spans="3:18" ht="15" customHeight="1">
      <c r="K49" s="222">
        <f>85+86+94</f>
        <v>265</v>
      </c>
      <c r="R49" s="282">
        <f t="shared" si="8"/>
        <v>0</v>
      </c>
    </row>
    <row r="50" spans="3:18" ht="15" customHeight="1">
      <c r="K50" s="222">
        <f>K49/3</f>
        <v>88.333333333333329</v>
      </c>
      <c r="R50" s="282">
        <f t="shared" si="8"/>
        <v>0</v>
      </c>
    </row>
    <row r="51" spans="3:18" ht="15" customHeight="1">
      <c r="R51" s="282">
        <f t="shared" si="8"/>
        <v>0</v>
      </c>
    </row>
    <row r="52" spans="3:18" ht="11.25" customHeight="1">
      <c r="R52" s="282">
        <f t="shared" si="8"/>
        <v>0</v>
      </c>
    </row>
    <row r="53" spans="3:18" ht="11.25" customHeight="1">
      <c r="R53" s="282">
        <f t="shared" si="8"/>
        <v>0</v>
      </c>
    </row>
    <row r="54" spans="3:18" ht="11.25" customHeight="1">
      <c r="R54" s="282">
        <f t="shared" si="8"/>
        <v>0</v>
      </c>
    </row>
    <row r="55" spans="3:18" ht="11.25" customHeight="1">
      <c r="R55" s="282">
        <f t="shared" si="8"/>
        <v>0</v>
      </c>
    </row>
    <row r="56" spans="3:18" ht="11.25" customHeight="1"/>
    <row r="57" spans="3:18" ht="11.25" customHeight="1">
      <c r="C57" s="290" t="e">
        <f>C8:C30</f>
        <v>#VALUE!</v>
      </c>
      <c r="L57" s="282">
        <f>L8+L9+L10+L11+L12+L13+L14+L15+L16+L17+L18+L26+L19+L20+L22+L23+L24+L27+L28+L30</f>
        <v>1948.7784518181338</v>
      </c>
      <c r="M57" s="282">
        <f>M8+M9+M10+M11+M12+M13+M14+M15+M16+M17+M18+M26+M19+M20+M22+M23+M24+M27+M28+M30</f>
        <v>1943.6275254800346</v>
      </c>
    </row>
    <row r="58" spans="3:18" ht="11.25" customHeight="1">
      <c r="C58" s="290">
        <f>C8+C9+C10+C11+C12+C13+C14+C15+C16+C17+C18+C19+C20+C22+C23+C24+C26+C27+C28+C30</f>
        <v>2530</v>
      </c>
      <c r="L58" s="222">
        <f>L57/20</f>
        <v>97.438922590906685</v>
      </c>
      <c r="M58" s="222">
        <f>M57/20</f>
        <v>97.181376274001735</v>
      </c>
    </row>
    <row r="59" spans="3:18">
      <c r="F59" s="222">
        <f>1013.5+118.24</f>
        <v>1131.74</v>
      </c>
      <c r="P59" s="282" t="e">
        <f>P8+P9+P10+P11+P12+P13+P14+P15+P16+P17+P18+P26+P19+P20+P22+P23+P24+P27+P28+P30</f>
        <v>#REF!</v>
      </c>
      <c r="Q59" s="282" t="e">
        <f>Q8+Q9+Q10+Q11+Q12+Q13+Q14+Q15+Q16+Q17+Q18+Q26+Q19+Q20+Q22+Q23+Q24+Q27+Q28+Q30</f>
        <v>#REF!</v>
      </c>
    </row>
    <row r="60" spans="3:18">
      <c r="C60" s="290">
        <f>C30+C29+C26+C25+C21+C18+C17+C16+C15+C14+C13+C12+C11+C10+C9+C8</f>
        <v>2530</v>
      </c>
    </row>
    <row r="61" spans="3:18">
      <c r="C61" s="222">
        <v>1420</v>
      </c>
      <c r="K61" s="282">
        <f>3258+J21</f>
        <v>5445.8833333333332</v>
      </c>
      <c r="P61" s="222" t="e">
        <f>P59/20</f>
        <v>#REF!</v>
      </c>
      <c r="Q61" s="222" t="e">
        <f>Q59/20</f>
        <v>#REF!</v>
      </c>
    </row>
    <row r="62" spans="3:18">
      <c r="C62" s="222">
        <v>529</v>
      </c>
    </row>
    <row r="63" spans="3:18">
      <c r="C63" s="290">
        <f>SUM(C60:C62)</f>
        <v>4479</v>
      </c>
    </row>
    <row r="64" spans="3:18">
      <c r="G64" s="222">
        <f>71.34+67.53</f>
        <v>138.87</v>
      </c>
    </row>
  </sheetData>
  <mergeCells count="17">
    <mergeCell ref="A39:Q40"/>
    <mergeCell ref="G5:I5"/>
    <mergeCell ref="J5:M5"/>
    <mergeCell ref="N5:Q5"/>
    <mergeCell ref="A32:Q33"/>
    <mergeCell ref="A34:Q36"/>
    <mergeCell ref="A37:Q38"/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</mergeCells>
  <printOptions horizontalCentered="1"/>
  <pageMargins left="0" right="0" top="0.5" bottom="0" header="0.19" footer="0.5"/>
  <pageSetup paperSize="9"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view="pageBreakPreview" topLeftCell="B7" zoomScale="80" zoomScaleSheetLayoutView="80" workbookViewId="0">
      <selection activeCell="I34" activeCellId="1" sqref="I34 L36"/>
    </sheetView>
  </sheetViews>
  <sheetFormatPr defaultRowHeight="12.75"/>
  <cols>
    <col min="1" max="1" width="5" style="463" customWidth="1"/>
    <col min="2" max="2" width="19.140625" style="438" customWidth="1"/>
    <col min="3" max="3" width="9.5703125" style="438" customWidth="1"/>
    <col min="4" max="4" width="9.42578125" style="438" customWidth="1"/>
    <col min="5" max="5" width="12.42578125" style="438" customWidth="1"/>
    <col min="6" max="6" width="13.85546875" style="438" customWidth="1"/>
    <col min="7" max="8" width="14.7109375" style="438" customWidth="1"/>
    <col min="9" max="9" width="15.85546875" style="438" customWidth="1"/>
    <col min="10" max="10" width="14.28515625" style="438" customWidth="1"/>
    <col min="11" max="11" width="12.140625" style="438" customWidth="1"/>
    <col min="12" max="12" width="9.5703125" style="438" customWidth="1"/>
    <col min="13" max="13" width="13.42578125" style="438" customWidth="1"/>
    <col min="14" max="14" width="14.5703125" style="438" customWidth="1"/>
    <col min="15" max="15" width="15" style="438" customWidth="1"/>
    <col min="16" max="16" width="15.7109375" style="438" customWidth="1"/>
    <col min="17" max="17" width="15.140625" style="438" customWidth="1"/>
    <col min="18" max="18" width="13.140625" style="438" hidden="1" customWidth="1"/>
    <col min="19" max="21" width="9.140625" style="438"/>
    <col min="22" max="22" width="12.28515625" style="438" customWidth="1"/>
    <col min="23" max="16384" width="9.140625" style="438"/>
  </cols>
  <sheetData>
    <row r="1" spans="1:25" s="434" customFormat="1" ht="17.25" customHeight="1">
      <c r="A1" s="901" t="s">
        <v>0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V1" s="435">
        <v>42461</v>
      </c>
      <c r="W1" s="436">
        <v>30</v>
      </c>
      <c r="X1" s="436">
        <f t="shared" ref="X1:X11" si="0">SUM(W1)</f>
        <v>30</v>
      </c>
      <c r="Y1" s="437"/>
    </row>
    <row r="2" spans="1:25" ht="17.25" customHeight="1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V2" s="439">
        <v>42491</v>
      </c>
      <c r="W2" s="440">
        <v>31</v>
      </c>
      <c r="X2" s="440">
        <f t="shared" si="0"/>
        <v>31</v>
      </c>
      <c r="Y2" s="441"/>
    </row>
    <row r="3" spans="1:25" ht="18" customHeight="1">
      <c r="A3" s="903" t="s">
        <v>136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V3" s="439">
        <v>42522</v>
      </c>
      <c r="W3" s="440">
        <v>30</v>
      </c>
      <c r="X3" s="440">
        <f t="shared" si="0"/>
        <v>30</v>
      </c>
      <c r="Y3" s="441"/>
    </row>
    <row r="4" spans="1:25" ht="15" customHeight="1">
      <c r="A4" s="442"/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V4" s="439">
        <v>42552</v>
      </c>
      <c r="W4" s="440">
        <v>31</v>
      </c>
      <c r="X4" s="440">
        <f t="shared" si="0"/>
        <v>31</v>
      </c>
      <c r="Y4" s="441"/>
    </row>
    <row r="5" spans="1:25" s="445" customFormat="1" ht="28.5" customHeight="1">
      <c r="A5" s="904" t="s">
        <v>2</v>
      </c>
      <c r="B5" s="904" t="s">
        <v>3</v>
      </c>
      <c r="C5" s="904" t="s">
        <v>4</v>
      </c>
      <c r="D5" s="904" t="s">
        <v>5</v>
      </c>
      <c r="E5" s="904" t="s">
        <v>6</v>
      </c>
      <c r="F5" s="904" t="s">
        <v>7</v>
      </c>
      <c r="G5" s="905" t="s">
        <v>8</v>
      </c>
      <c r="H5" s="906"/>
      <c r="I5" s="906"/>
      <c r="J5" s="906" t="s">
        <v>137</v>
      </c>
      <c r="K5" s="906"/>
      <c r="L5" s="906"/>
      <c r="M5" s="906"/>
      <c r="N5" s="906" t="s">
        <v>139</v>
      </c>
      <c r="O5" s="906"/>
      <c r="P5" s="906"/>
      <c r="Q5" s="906"/>
      <c r="V5" s="446">
        <v>42583</v>
      </c>
      <c r="W5" s="447">
        <v>31</v>
      </c>
      <c r="X5" s="447">
        <f t="shared" si="0"/>
        <v>31</v>
      </c>
      <c r="Y5" s="448"/>
    </row>
    <row r="6" spans="1:25" s="450" customFormat="1" ht="94.5" customHeight="1">
      <c r="A6" s="904"/>
      <c r="B6" s="904"/>
      <c r="C6" s="904"/>
      <c r="D6" s="904"/>
      <c r="E6" s="904"/>
      <c r="F6" s="904"/>
      <c r="G6" s="449" t="s">
        <v>9</v>
      </c>
      <c r="H6" s="449" t="s">
        <v>10</v>
      </c>
      <c r="I6" s="449" t="s">
        <v>11</v>
      </c>
      <c r="J6" s="449" t="s">
        <v>12</v>
      </c>
      <c r="K6" s="449" t="s">
        <v>13</v>
      </c>
      <c r="L6" s="449" t="s">
        <v>78</v>
      </c>
      <c r="M6" s="449" t="s">
        <v>14</v>
      </c>
      <c r="N6" s="449" t="s">
        <v>140</v>
      </c>
      <c r="O6" s="449" t="s">
        <v>143</v>
      </c>
      <c r="P6" s="449" t="s">
        <v>141</v>
      </c>
      <c r="Q6" s="449" t="s">
        <v>142</v>
      </c>
      <c r="V6" s="446">
        <v>42614</v>
      </c>
      <c r="W6" s="447">
        <v>30</v>
      </c>
      <c r="X6" s="447">
        <f t="shared" si="0"/>
        <v>30</v>
      </c>
      <c r="Y6" s="451"/>
    </row>
    <row r="7" spans="1:25" s="454" customFormat="1" ht="24" customHeight="1">
      <c r="A7" s="452">
        <v>1</v>
      </c>
      <c r="B7" s="452">
        <v>2</v>
      </c>
      <c r="C7" s="452">
        <v>3</v>
      </c>
      <c r="D7" s="452">
        <v>4</v>
      </c>
      <c r="E7" s="452">
        <v>5</v>
      </c>
      <c r="F7" s="452" t="s">
        <v>19</v>
      </c>
      <c r="G7" s="452">
        <v>6</v>
      </c>
      <c r="H7" s="452">
        <v>7</v>
      </c>
      <c r="I7" s="452" t="s">
        <v>20</v>
      </c>
      <c r="J7" s="452" t="s">
        <v>21</v>
      </c>
      <c r="K7" s="453" t="s">
        <v>22</v>
      </c>
      <c r="L7" s="452" t="s">
        <v>23</v>
      </c>
      <c r="M7" s="452" t="s">
        <v>24</v>
      </c>
      <c r="N7" s="452">
        <v>13</v>
      </c>
      <c r="O7" s="452" t="s">
        <v>25</v>
      </c>
      <c r="P7" s="452">
        <v>15</v>
      </c>
      <c r="Q7" s="452">
        <v>16</v>
      </c>
      <c r="V7" s="439">
        <v>42644</v>
      </c>
      <c r="W7" s="440">
        <v>31</v>
      </c>
      <c r="X7" s="440">
        <f t="shared" si="0"/>
        <v>31</v>
      </c>
      <c r="Y7" s="455"/>
    </row>
    <row r="8" spans="1:25" s="345" customFormat="1" ht="42" customHeight="1">
      <c r="A8" s="338">
        <v>1</v>
      </c>
      <c r="B8" s="339" t="s">
        <v>26</v>
      </c>
      <c r="C8" s="516">
        <v>34</v>
      </c>
      <c r="D8" s="516">
        <v>31</v>
      </c>
      <c r="E8" s="517">
        <v>6.25</v>
      </c>
      <c r="F8" s="518" t="e">
        <f>E8+'Nov ANX I '!F8</f>
        <v>#REF!</v>
      </c>
      <c r="G8" s="517">
        <v>193.59000000000003</v>
      </c>
      <c r="H8" s="517">
        <v>68.599999999999994</v>
      </c>
      <c r="I8" s="519">
        <f>G8+H8</f>
        <v>262.19000000000005</v>
      </c>
      <c r="J8" s="519">
        <f>E8+I8</f>
        <v>268.44000000000005</v>
      </c>
      <c r="K8" s="519">
        <f>J8/C8</f>
        <v>7.8952941176470608</v>
      </c>
      <c r="L8" s="520">
        <f>+(((C8*24)*31)-I8)*100/((C8*24)*31)</f>
        <v>98.963512017710315</v>
      </c>
      <c r="M8" s="520">
        <f>+(((C8*24)*31)-J8)*100/((C8*24)*31)</f>
        <v>98.938804554079695</v>
      </c>
      <c r="N8" s="520" t="e">
        <f>J8+'Nov ANX I '!N8</f>
        <v>#REF!</v>
      </c>
      <c r="O8" s="521" t="e">
        <f>N8/C8</f>
        <v>#REF!</v>
      </c>
      <c r="P8" s="520" t="e">
        <f>((C8*24*275)-(N8-E8))*100/(C8*24*275)</f>
        <v>#REF!</v>
      </c>
      <c r="Q8" s="520" t="e">
        <f>((C8*24*275)-(N8))*100/(C8*24*275)</f>
        <v>#REF!</v>
      </c>
      <c r="R8" s="341"/>
      <c r="S8" s="344" t="e">
        <f>L8-P8</f>
        <v>#REF!</v>
      </c>
      <c r="T8" s="344" t="e">
        <f>M8-Q8</f>
        <v>#REF!</v>
      </c>
      <c r="V8" s="346">
        <v>42675</v>
      </c>
      <c r="W8" s="347">
        <v>30</v>
      </c>
      <c r="X8" s="347">
        <f t="shared" si="0"/>
        <v>30</v>
      </c>
      <c r="Y8" s="345">
        <f>122+31</f>
        <v>153</v>
      </c>
    </row>
    <row r="9" spans="1:25" s="345" customFormat="1" ht="42" customHeight="1">
      <c r="A9" s="338">
        <v>2</v>
      </c>
      <c r="B9" s="339" t="s">
        <v>27</v>
      </c>
      <c r="C9" s="522">
        <v>11</v>
      </c>
      <c r="D9" s="522">
        <v>11</v>
      </c>
      <c r="E9" s="517">
        <v>8.4</v>
      </c>
      <c r="F9" s="518" t="e">
        <f>E9+'Nov ANX I '!F9</f>
        <v>#REF!</v>
      </c>
      <c r="G9" s="517">
        <v>206.77</v>
      </c>
      <c r="H9" s="517">
        <v>152.1</v>
      </c>
      <c r="I9" s="519">
        <f t="shared" ref="I9:I14" si="1">G9+H9</f>
        <v>358.87</v>
      </c>
      <c r="J9" s="519">
        <f t="shared" ref="J9:J14" si="2">E9+I9</f>
        <v>367.27</v>
      </c>
      <c r="K9" s="519">
        <f t="shared" ref="K9:K14" si="3">J9/C9</f>
        <v>33.388181818181813</v>
      </c>
      <c r="L9" s="520">
        <f t="shared" ref="L9:L15" si="4">+(((C9*24)*31)-I9)*100/((C9*24)*31)</f>
        <v>95.614980449657864</v>
      </c>
      <c r="M9" s="520">
        <f t="shared" ref="M9:M15" si="5">+(((C9*24)*31)-J9)*100/((C9*24)*31)</f>
        <v>95.512341153470189</v>
      </c>
      <c r="N9" s="520" t="e">
        <f>J9+'Nov ANX I '!N9</f>
        <v>#REF!</v>
      </c>
      <c r="O9" s="521" t="e">
        <f t="shared" ref="O9:O14" si="6">N9/C9</f>
        <v>#REF!</v>
      </c>
      <c r="P9" s="520" t="e">
        <f t="shared" ref="P9:P15" si="7">((C9*24*275)-(N9-E9))*100/(C9*24*275)</f>
        <v>#REF!</v>
      </c>
      <c r="Q9" s="520" t="e">
        <f t="shared" ref="Q9:Q15" si="8">((C9*24*275)-(N9))*100/(C9*24*275)</f>
        <v>#REF!</v>
      </c>
      <c r="R9" s="341"/>
      <c r="S9" s="344" t="e">
        <f t="shared" ref="S9:T24" si="9">L9-P9</f>
        <v>#REF!</v>
      </c>
      <c r="T9" s="344" t="e">
        <f t="shared" si="9"/>
        <v>#REF!</v>
      </c>
      <c r="V9" s="346">
        <v>42705</v>
      </c>
      <c r="W9" s="347">
        <v>31</v>
      </c>
      <c r="X9" s="347">
        <v>31</v>
      </c>
    </row>
    <row r="10" spans="1:25" s="348" customFormat="1" ht="42" customHeight="1">
      <c r="A10" s="338">
        <v>3</v>
      </c>
      <c r="B10" s="339" t="s">
        <v>28</v>
      </c>
      <c r="C10" s="523">
        <v>30</v>
      </c>
      <c r="D10" s="523">
        <v>30</v>
      </c>
      <c r="E10" s="524">
        <v>42</v>
      </c>
      <c r="F10" s="518" t="e">
        <f>E10+'Nov ANX I '!F10</f>
        <v>#REF!</v>
      </c>
      <c r="G10" s="524">
        <v>325</v>
      </c>
      <c r="H10" s="524">
        <v>148</v>
      </c>
      <c r="I10" s="519">
        <f t="shared" si="1"/>
        <v>473</v>
      </c>
      <c r="J10" s="519">
        <f t="shared" si="2"/>
        <v>515</v>
      </c>
      <c r="K10" s="519">
        <f t="shared" si="3"/>
        <v>17.166666666666668</v>
      </c>
      <c r="L10" s="520">
        <f t="shared" si="4"/>
        <v>97.880824372759861</v>
      </c>
      <c r="M10" s="520">
        <f t="shared" si="5"/>
        <v>97.692652329749109</v>
      </c>
      <c r="N10" s="520" t="e">
        <f>J10+'Nov ANX I '!N10</f>
        <v>#REF!</v>
      </c>
      <c r="O10" s="521" t="e">
        <f t="shared" si="6"/>
        <v>#REF!</v>
      </c>
      <c r="P10" s="520" t="e">
        <f t="shared" si="7"/>
        <v>#REF!</v>
      </c>
      <c r="Q10" s="520" t="e">
        <f t="shared" si="8"/>
        <v>#REF!</v>
      </c>
      <c r="R10" s="343"/>
      <c r="S10" s="344" t="e">
        <f t="shared" si="9"/>
        <v>#REF!</v>
      </c>
      <c r="T10" s="344" t="e">
        <f t="shared" si="9"/>
        <v>#REF!</v>
      </c>
      <c r="V10" s="349">
        <v>42370</v>
      </c>
      <c r="W10" s="350">
        <v>31</v>
      </c>
      <c r="X10" s="350">
        <f t="shared" si="0"/>
        <v>31</v>
      </c>
    </row>
    <row r="11" spans="1:25" s="358" customFormat="1" ht="42" customHeight="1">
      <c r="A11" s="338">
        <v>4</v>
      </c>
      <c r="B11" s="339" t="s">
        <v>29</v>
      </c>
      <c r="C11" s="516">
        <v>1342</v>
      </c>
      <c r="D11" s="516">
        <v>1126</v>
      </c>
      <c r="E11" s="525">
        <v>732</v>
      </c>
      <c r="F11" s="518" t="e">
        <f>E11+'Nov ANX I '!F11</f>
        <v>#REF!</v>
      </c>
      <c r="G11" s="516">
        <v>4252</v>
      </c>
      <c r="H11" s="516">
        <v>5127</v>
      </c>
      <c r="I11" s="519">
        <f>G11+H11</f>
        <v>9379</v>
      </c>
      <c r="J11" s="519">
        <f t="shared" si="2"/>
        <v>10111</v>
      </c>
      <c r="K11" s="519">
        <f t="shared" si="3"/>
        <v>7.5342771982116243</v>
      </c>
      <c r="L11" s="520">
        <f t="shared" si="4"/>
        <v>99.060642116564907</v>
      </c>
      <c r="M11" s="520">
        <f t="shared" si="5"/>
        <v>98.9873283335737</v>
      </c>
      <c r="N11" s="520" t="e">
        <f>J11+'Nov ANX I '!N11</f>
        <v>#REF!</v>
      </c>
      <c r="O11" s="521" t="e">
        <f t="shared" si="6"/>
        <v>#REF!</v>
      </c>
      <c r="P11" s="520" t="e">
        <f t="shared" si="7"/>
        <v>#REF!</v>
      </c>
      <c r="Q11" s="520" t="e">
        <f t="shared" si="8"/>
        <v>#REF!</v>
      </c>
      <c r="R11" s="343"/>
      <c r="S11" s="344" t="e">
        <f t="shared" si="9"/>
        <v>#REF!</v>
      </c>
      <c r="T11" s="344" t="e">
        <f t="shared" si="9"/>
        <v>#REF!</v>
      </c>
      <c r="V11" s="349">
        <v>42401</v>
      </c>
      <c r="W11" s="350">
        <v>29</v>
      </c>
      <c r="X11" s="350">
        <f t="shared" si="0"/>
        <v>29</v>
      </c>
    </row>
    <row r="12" spans="1:25" s="358" customFormat="1" ht="42" customHeight="1">
      <c r="A12" s="338">
        <v>5</v>
      </c>
      <c r="B12" s="339" t="s">
        <v>32</v>
      </c>
      <c r="C12" s="525">
        <v>4</v>
      </c>
      <c r="D12" s="525">
        <v>4</v>
      </c>
      <c r="E12" s="525">
        <v>8.4600000000000009</v>
      </c>
      <c r="F12" s="518" t="e">
        <f>E12+'Nov ANX I '!F12</f>
        <v>#REF!</v>
      </c>
      <c r="G12" s="526">
        <v>7.5027777777777782</v>
      </c>
      <c r="H12" s="526">
        <v>8.9333333333333318</v>
      </c>
      <c r="I12" s="519">
        <f>G12+H12</f>
        <v>16.43611111111111</v>
      </c>
      <c r="J12" s="519">
        <f t="shared" si="2"/>
        <v>24.896111111111111</v>
      </c>
      <c r="K12" s="519">
        <f t="shared" si="3"/>
        <v>6.2240277777777777</v>
      </c>
      <c r="L12" s="520">
        <f t="shared" si="4"/>
        <v>99.447711320191161</v>
      </c>
      <c r="M12" s="520">
        <f t="shared" si="5"/>
        <v>99.163437126642762</v>
      </c>
      <c r="N12" s="520" t="e">
        <f>J12+'Nov ANX I '!N12</f>
        <v>#REF!</v>
      </c>
      <c r="O12" s="521" t="e">
        <f t="shared" si="6"/>
        <v>#REF!</v>
      </c>
      <c r="P12" s="520" t="e">
        <f t="shared" si="7"/>
        <v>#REF!</v>
      </c>
      <c r="Q12" s="520" t="e">
        <f t="shared" si="8"/>
        <v>#REF!</v>
      </c>
      <c r="R12" s="343"/>
      <c r="S12" s="344" t="e">
        <f t="shared" si="9"/>
        <v>#REF!</v>
      </c>
      <c r="T12" s="344" t="e">
        <f t="shared" si="9"/>
        <v>#REF!</v>
      </c>
      <c r="V12" s="349">
        <v>42430</v>
      </c>
      <c r="W12" s="350">
        <v>31</v>
      </c>
      <c r="X12" s="350">
        <v>31</v>
      </c>
    </row>
    <row r="13" spans="1:25" s="358" customFormat="1" ht="42" customHeight="1">
      <c r="A13" s="338">
        <v>6</v>
      </c>
      <c r="B13" s="339" t="s">
        <v>30</v>
      </c>
      <c r="C13" s="527">
        <v>13</v>
      </c>
      <c r="D13" s="527">
        <v>13</v>
      </c>
      <c r="E13" s="528">
        <v>1.54</v>
      </c>
      <c r="F13" s="518" t="e">
        <f>E13+'Nov ANX I '!F13</f>
        <v>#REF!</v>
      </c>
      <c r="G13" s="528">
        <v>71.569999999999993</v>
      </c>
      <c r="H13" s="528">
        <v>53.15</v>
      </c>
      <c r="I13" s="519">
        <f t="shared" si="1"/>
        <v>124.72</v>
      </c>
      <c r="J13" s="519">
        <f t="shared" si="2"/>
        <v>126.26</v>
      </c>
      <c r="K13" s="519">
        <f t="shared" si="3"/>
        <v>9.712307692307693</v>
      </c>
      <c r="L13" s="520">
        <f t="shared" si="4"/>
        <v>98.710504549214235</v>
      </c>
      <c r="M13" s="520">
        <f t="shared" si="5"/>
        <v>98.694582299421015</v>
      </c>
      <c r="N13" s="520" t="e">
        <f>J13+'Nov ANX I '!N13</f>
        <v>#REF!</v>
      </c>
      <c r="O13" s="521" t="e">
        <f t="shared" si="6"/>
        <v>#REF!</v>
      </c>
      <c r="P13" s="520" t="e">
        <f t="shared" si="7"/>
        <v>#REF!</v>
      </c>
      <c r="Q13" s="520" t="e">
        <f t="shared" si="8"/>
        <v>#REF!</v>
      </c>
      <c r="R13" s="343"/>
      <c r="S13" s="344" t="e">
        <f>L14-P14</f>
        <v>#REF!</v>
      </c>
      <c r="T13" s="344" t="e">
        <f>M14-Q14</f>
        <v>#REF!</v>
      </c>
      <c r="V13" s="350"/>
      <c r="W13" s="350">
        <f>SUM(W1:W12)</f>
        <v>366</v>
      </c>
      <c r="X13" s="350">
        <f>SUM(W14)</f>
        <v>0</v>
      </c>
    </row>
    <row r="14" spans="1:25" s="358" customFormat="1" ht="42" customHeight="1">
      <c r="A14" s="338">
        <v>7</v>
      </c>
      <c r="B14" s="339" t="s">
        <v>31</v>
      </c>
      <c r="C14" s="527">
        <v>9</v>
      </c>
      <c r="D14" s="527">
        <v>9</v>
      </c>
      <c r="E14" s="528">
        <v>11.05</v>
      </c>
      <c r="F14" s="518" t="e">
        <f>E14+'Nov ANX I '!F14</f>
        <v>#REF!</v>
      </c>
      <c r="G14" s="528">
        <v>36.409999999999997</v>
      </c>
      <c r="H14" s="528">
        <v>31.05</v>
      </c>
      <c r="I14" s="519">
        <f t="shared" si="1"/>
        <v>67.459999999999994</v>
      </c>
      <c r="J14" s="519">
        <f t="shared" si="2"/>
        <v>78.509999999999991</v>
      </c>
      <c r="K14" s="519">
        <f t="shared" si="3"/>
        <v>8.7233333333333327</v>
      </c>
      <c r="L14" s="520">
        <f t="shared" si="4"/>
        <v>98.992532855436082</v>
      </c>
      <c r="M14" s="520">
        <f t="shared" si="5"/>
        <v>98.827508960573482</v>
      </c>
      <c r="N14" s="520" t="e">
        <f>J14+'Nov ANX I '!N14</f>
        <v>#REF!</v>
      </c>
      <c r="O14" s="521" t="e">
        <f t="shared" si="6"/>
        <v>#REF!</v>
      </c>
      <c r="P14" s="520" t="e">
        <f t="shared" si="7"/>
        <v>#REF!</v>
      </c>
      <c r="Q14" s="520" t="e">
        <f t="shared" si="8"/>
        <v>#REF!</v>
      </c>
      <c r="R14" s="359"/>
      <c r="S14" s="344" t="e">
        <f t="shared" si="9"/>
        <v>#REF!</v>
      </c>
      <c r="T14" s="344" t="e">
        <f t="shared" si="9"/>
        <v>#REF!</v>
      </c>
    </row>
    <row r="15" spans="1:25" ht="27.75" hidden="1" customHeight="1" thickBot="1">
      <c r="A15" s="456"/>
      <c r="B15" s="457"/>
      <c r="C15" s="458">
        <f t="shared" ref="C15:K15" si="10">C8+C9+C10+C11+C12+C14+C14</f>
        <v>1439</v>
      </c>
      <c r="D15" s="458">
        <f t="shared" si="10"/>
        <v>1220</v>
      </c>
      <c r="E15" s="458">
        <f t="shared" si="10"/>
        <v>819.20999999999992</v>
      </c>
      <c r="F15" s="340" t="e">
        <f>E15+'Nov ANX I '!F15</f>
        <v>#REF!</v>
      </c>
      <c r="G15" s="458">
        <f>G8+G9+G10+G11+G12+G14+G14</f>
        <v>5057.6827777777771</v>
      </c>
      <c r="H15" s="458">
        <f>H8+H9+H10+H11+H12+H14+H14</f>
        <v>5566.7333333333336</v>
      </c>
      <c r="I15" s="458">
        <f t="shared" si="10"/>
        <v>10624.416111111108</v>
      </c>
      <c r="J15" s="458">
        <f t="shared" si="10"/>
        <v>11443.626111111111</v>
      </c>
      <c r="K15" s="458">
        <f t="shared" si="10"/>
        <v>89.655114245151609</v>
      </c>
      <c r="L15" s="459">
        <f t="shared" si="4"/>
        <v>99.007635220180603</v>
      </c>
      <c r="M15" s="459">
        <f t="shared" si="5"/>
        <v>98.931117589209279</v>
      </c>
      <c r="N15" s="342" t="e">
        <f>J15+'Nov ANX I '!N15</f>
        <v>#REF!</v>
      </c>
      <c r="O15" s="458" t="e">
        <f>O8+O9+O10+O11+O12+O14+O14</f>
        <v>#REF!</v>
      </c>
      <c r="P15" s="342" t="e">
        <f t="shared" si="7"/>
        <v>#REF!</v>
      </c>
      <c r="Q15" s="342" t="e">
        <f t="shared" si="8"/>
        <v>#REF!</v>
      </c>
      <c r="T15" s="460" t="e">
        <f t="shared" si="9"/>
        <v>#REF!</v>
      </c>
    </row>
    <row r="16" spans="1:25" ht="27.75" hidden="1" customHeight="1">
      <c r="A16" s="895" t="s">
        <v>61</v>
      </c>
      <c r="B16" s="896"/>
      <c r="C16" s="896"/>
      <c r="D16" s="896"/>
      <c r="E16" s="896"/>
      <c r="F16" s="896"/>
      <c r="G16" s="896"/>
      <c r="H16" s="896"/>
      <c r="I16" s="896"/>
      <c r="J16" s="896"/>
      <c r="K16" s="896"/>
      <c r="L16" s="896"/>
      <c r="M16" s="896"/>
      <c r="N16" s="896"/>
      <c r="O16" s="896"/>
      <c r="P16" s="896"/>
      <c r="Q16" s="897"/>
      <c r="T16" s="460">
        <f t="shared" si="9"/>
        <v>0</v>
      </c>
    </row>
    <row r="17" spans="1:20" ht="9" hidden="1" customHeight="1" thickBot="1">
      <c r="A17" s="898"/>
      <c r="B17" s="899"/>
      <c r="C17" s="899"/>
      <c r="D17" s="899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900"/>
      <c r="T17" s="460">
        <f t="shared" si="9"/>
        <v>0</v>
      </c>
    </row>
    <row r="18" spans="1:20" ht="16.5" hidden="1" customHeight="1">
      <c r="A18" s="907" t="s">
        <v>62</v>
      </c>
      <c r="B18" s="908"/>
      <c r="C18" s="908"/>
      <c r="D18" s="908"/>
      <c r="E18" s="908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08"/>
      <c r="Q18" s="909"/>
      <c r="T18" s="460">
        <f t="shared" si="9"/>
        <v>0</v>
      </c>
    </row>
    <row r="19" spans="1:20" ht="30.75" hidden="1" customHeight="1">
      <c r="A19" s="910"/>
      <c r="B19" s="911"/>
      <c r="C19" s="911"/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  <c r="Q19" s="912"/>
      <c r="T19" s="460">
        <f t="shared" si="9"/>
        <v>0</v>
      </c>
    </row>
    <row r="20" spans="1:20" ht="23.25" hidden="1" customHeight="1" thickBot="1">
      <c r="A20" s="913"/>
      <c r="B20" s="914"/>
      <c r="C20" s="914"/>
      <c r="D20" s="914"/>
      <c r="E20" s="914"/>
      <c r="F20" s="914"/>
      <c r="G20" s="914"/>
      <c r="H20" s="914"/>
      <c r="I20" s="914"/>
      <c r="J20" s="914"/>
      <c r="K20" s="914"/>
      <c r="L20" s="914"/>
      <c r="M20" s="914"/>
      <c r="N20" s="914"/>
      <c r="O20" s="914"/>
      <c r="P20" s="914"/>
      <c r="Q20" s="915"/>
      <c r="T20" s="460">
        <f t="shared" si="9"/>
        <v>0</v>
      </c>
    </row>
    <row r="21" spans="1:20" ht="30" hidden="1" customHeight="1">
      <c r="A21" s="895" t="s">
        <v>65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97"/>
      <c r="T21" s="460">
        <f t="shared" si="9"/>
        <v>0</v>
      </c>
    </row>
    <row r="22" spans="1:20" ht="16.5" hidden="1" customHeight="1" thickBot="1">
      <c r="A22" s="898"/>
      <c r="B22" s="899"/>
      <c r="C22" s="899"/>
      <c r="D22" s="899"/>
      <c r="E22" s="899"/>
      <c r="F22" s="899"/>
      <c r="G22" s="899"/>
      <c r="H22" s="899"/>
      <c r="I22" s="899"/>
      <c r="J22" s="899"/>
      <c r="K22" s="899"/>
      <c r="L22" s="899"/>
      <c r="M22" s="899"/>
      <c r="N22" s="899"/>
      <c r="O22" s="899"/>
      <c r="P22" s="899"/>
      <c r="Q22" s="900"/>
      <c r="T22" s="460">
        <f t="shared" si="9"/>
        <v>0</v>
      </c>
    </row>
    <row r="23" spans="1:20" ht="27.75" hidden="1" customHeight="1">
      <c r="A23" s="895" t="s">
        <v>36</v>
      </c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7"/>
      <c r="T23" s="460">
        <f t="shared" si="9"/>
        <v>0</v>
      </c>
    </row>
    <row r="24" spans="1:20" ht="27.75" hidden="1" customHeight="1" thickBot="1">
      <c r="A24" s="898"/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  <c r="M24" s="899"/>
      <c r="N24" s="899"/>
      <c r="O24" s="899"/>
      <c r="P24" s="899"/>
      <c r="Q24" s="900"/>
      <c r="T24" s="460">
        <f t="shared" si="9"/>
        <v>0</v>
      </c>
    </row>
    <row r="25" spans="1:20" ht="27.75" hidden="1" customHeight="1">
      <c r="A25" s="456"/>
      <c r="B25" s="457"/>
      <c r="C25" s="461"/>
      <c r="D25" s="461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T25" s="460">
        <f t="shared" ref="T25:T55" si="11">M25-Q25</f>
        <v>0</v>
      </c>
    </row>
    <row r="26" spans="1:20" ht="27.75" hidden="1" customHeight="1">
      <c r="A26" s="456"/>
      <c r="B26" s="457"/>
      <c r="C26" s="461"/>
      <c r="D26" s="461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T26" s="460">
        <f t="shared" si="11"/>
        <v>0</v>
      </c>
    </row>
    <row r="27" spans="1:20" ht="18" hidden="1">
      <c r="T27" s="460">
        <f t="shared" si="11"/>
        <v>0</v>
      </c>
    </row>
    <row r="28" spans="1:20" ht="33" hidden="1" customHeight="1">
      <c r="A28" s="917"/>
      <c r="B28" s="917"/>
      <c r="C28" s="917"/>
      <c r="D28" s="917"/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917"/>
      <c r="P28" s="917"/>
      <c r="Q28" s="917"/>
      <c r="T28" s="460">
        <f t="shared" si="11"/>
        <v>0</v>
      </c>
    </row>
    <row r="29" spans="1:20" ht="19.5" hidden="1" customHeight="1">
      <c r="A29" s="918"/>
      <c r="B29" s="918"/>
      <c r="C29" s="918"/>
      <c r="D29" s="918"/>
      <c r="E29" s="918"/>
      <c r="F29" s="918"/>
      <c r="G29" s="918"/>
      <c r="H29" s="918"/>
      <c r="I29" s="918"/>
      <c r="J29" s="918"/>
      <c r="K29" s="918"/>
      <c r="L29" s="918"/>
      <c r="M29" s="918"/>
      <c r="N29" s="918"/>
      <c r="O29" s="918"/>
      <c r="P29" s="918"/>
      <c r="Q29" s="918"/>
      <c r="T29" s="460">
        <f t="shared" si="11"/>
        <v>0</v>
      </c>
    </row>
    <row r="30" spans="1:20" ht="33" hidden="1" customHeight="1">
      <c r="A30" s="917">
        <f>669/7</f>
        <v>95.571428571428569</v>
      </c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917"/>
      <c r="P30" s="917"/>
      <c r="Q30" s="917"/>
      <c r="T30" s="460">
        <f t="shared" si="11"/>
        <v>0</v>
      </c>
    </row>
    <row r="31" spans="1:20" ht="24.75" hidden="1" customHeight="1">
      <c r="P31" s="464" t="e">
        <f>P15+#REF!+#REF!</f>
        <v>#REF!</v>
      </c>
      <c r="Q31" s="464" t="e">
        <f>Q15+#REF!+#REF!</f>
        <v>#REF!</v>
      </c>
      <c r="R31" s="464" t="e">
        <f>R15+#REF!+#REF!</f>
        <v>#REF!</v>
      </c>
      <c r="T31" s="460" t="e">
        <f t="shared" si="11"/>
        <v>#REF!</v>
      </c>
    </row>
    <row r="32" spans="1:20" ht="24.75" hidden="1" customHeight="1">
      <c r="P32" s="464" t="e">
        <f>P31/3</f>
        <v>#REF!</v>
      </c>
      <c r="Q32" s="464" t="e">
        <f>Q31/3</f>
        <v>#REF!</v>
      </c>
      <c r="T32" s="460" t="e">
        <f t="shared" si="11"/>
        <v>#REF!</v>
      </c>
    </row>
    <row r="33" spans="16:20" ht="24.75" hidden="1" customHeight="1">
      <c r="P33" s="464"/>
      <c r="Q33" s="464"/>
      <c r="T33" s="460">
        <f t="shared" si="11"/>
        <v>0</v>
      </c>
    </row>
    <row r="34" spans="16:20" ht="24.75" hidden="1" customHeight="1">
      <c r="P34" s="465" t="e">
        <f>P14+P11</f>
        <v>#REF!</v>
      </c>
      <c r="Q34" s="465" t="e">
        <f>Q14+Q11</f>
        <v>#REF!</v>
      </c>
      <c r="T34" s="460" t="e">
        <f t="shared" si="11"/>
        <v>#REF!</v>
      </c>
    </row>
    <row r="35" spans="16:20" ht="20.25" hidden="1" customHeight="1">
      <c r="P35" s="465" t="e">
        <f>P34/2</f>
        <v>#REF!</v>
      </c>
      <c r="Q35" s="465" t="e">
        <f>Q34/2</f>
        <v>#REF!</v>
      </c>
      <c r="T35" s="460" t="e">
        <f t="shared" si="11"/>
        <v>#REF!</v>
      </c>
    </row>
    <row r="36" spans="16:20" ht="18" hidden="1">
      <c r="T36" s="460">
        <f t="shared" si="11"/>
        <v>0</v>
      </c>
    </row>
    <row r="37" spans="16:20" ht="18" hidden="1">
      <c r="T37" s="460">
        <f t="shared" si="11"/>
        <v>0</v>
      </c>
    </row>
    <row r="38" spans="16:20" ht="18" hidden="1">
      <c r="P38" s="464"/>
      <c r="Q38" s="464"/>
      <c r="R38" s="464"/>
      <c r="T38" s="460">
        <f t="shared" si="11"/>
        <v>0</v>
      </c>
    </row>
    <row r="39" spans="16:20" ht="18" hidden="1">
      <c r="T39" s="460">
        <f t="shared" si="11"/>
        <v>0</v>
      </c>
    </row>
    <row r="40" spans="16:20" ht="18" hidden="1">
      <c r="T40" s="460">
        <f t="shared" si="11"/>
        <v>0</v>
      </c>
    </row>
    <row r="41" spans="16:20" ht="18" hidden="1">
      <c r="T41" s="460">
        <f t="shared" si="11"/>
        <v>0</v>
      </c>
    </row>
    <row r="42" spans="16:20" ht="18" hidden="1">
      <c r="T42" s="460">
        <f t="shared" si="11"/>
        <v>0</v>
      </c>
    </row>
    <row r="43" spans="16:20" ht="18" hidden="1">
      <c r="T43" s="460">
        <f t="shared" si="11"/>
        <v>0</v>
      </c>
    </row>
    <row r="44" spans="16:20" ht="18" hidden="1">
      <c r="T44" s="460">
        <f t="shared" si="11"/>
        <v>0</v>
      </c>
    </row>
    <row r="45" spans="16:20" ht="18" hidden="1">
      <c r="T45" s="460">
        <f t="shared" si="11"/>
        <v>0</v>
      </c>
    </row>
    <row r="46" spans="16:20" ht="18" hidden="1">
      <c r="P46" s="464"/>
      <c r="Q46" s="464"/>
      <c r="T46" s="460">
        <f t="shared" si="11"/>
        <v>0</v>
      </c>
    </row>
    <row r="47" spans="16:20" ht="18" hidden="1">
      <c r="P47" s="464"/>
      <c r="Q47" s="464"/>
      <c r="T47" s="460">
        <f t="shared" si="11"/>
        <v>0</v>
      </c>
    </row>
    <row r="48" spans="16:20" ht="18" hidden="1">
      <c r="P48" s="464" t="e">
        <f>P10+P12</f>
        <v>#REF!</v>
      </c>
      <c r="Q48" s="464" t="e">
        <f>Q10+Q12</f>
        <v>#REF!</v>
      </c>
      <c r="T48" s="460" t="e">
        <f t="shared" si="11"/>
        <v>#REF!</v>
      </c>
    </row>
    <row r="49" spans="2:20" ht="18" hidden="1">
      <c r="P49" s="438" t="e">
        <f>P48/2</f>
        <v>#REF!</v>
      </c>
      <c r="Q49" s="438" t="e">
        <f>Q48/2</f>
        <v>#REF!</v>
      </c>
      <c r="T49" s="460" t="e">
        <f t="shared" si="11"/>
        <v>#REF!</v>
      </c>
    </row>
    <row r="50" spans="2:20" ht="18" hidden="1">
      <c r="T50" s="460">
        <f t="shared" si="11"/>
        <v>0</v>
      </c>
    </row>
    <row r="51" spans="2:20" ht="18" hidden="1">
      <c r="T51" s="460">
        <f t="shared" si="11"/>
        <v>0</v>
      </c>
    </row>
    <row r="52" spans="2:20" ht="18" hidden="1">
      <c r="T52" s="460">
        <f t="shared" si="11"/>
        <v>0</v>
      </c>
    </row>
    <row r="53" spans="2:20" ht="18" hidden="1">
      <c r="T53" s="460">
        <f t="shared" si="11"/>
        <v>0</v>
      </c>
    </row>
    <row r="54" spans="2:20" ht="18" hidden="1">
      <c r="T54" s="460">
        <f t="shared" si="11"/>
        <v>0</v>
      </c>
    </row>
    <row r="55" spans="2:20" ht="18" hidden="1">
      <c r="T55" s="460">
        <f t="shared" si="11"/>
        <v>0</v>
      </c>
    </row>
    <row r="56" spans="2:20" ht="30" customHeight="1">
      <c r="B56" s="920" t="s">
        <v>146</v>
      </c>
      <c r="C56" s="920"/>
      <c r="D56" s="920"/>
      <c r="E56" s="920"/>
      <c r="F56" s="920"/>
      <c r="G56" s="920"/>
      <c r="H56" s="920"/>
      <c r="I56" s="920"/>
    </row>
    <row r="57" spans="2:20">
      <c r="C57" s="466"/>
    </row>
    <row r="58" spans="2:20" ht="48.75" customHeight="1">
      <c r="C58" s="466"/>
      <c r="F58" s="514"/>
      <c r="G58" s="515"/>
      <c r="H58" s="514"/>
      <c r="L58" s="464"/>
      <c r="M58" s="464"/>
      <c r="N58" s="464"/>
    </row>
    <row r="59" spans="2:20" ht="18.75" customHeight="1">
      <c r="B59" s="919" t="s">
        <v>67</v>
      </c>
      <c r="C59" s="919"/>
      <c r="D59" s="919"/>
      <c r="E59" s="919"/>
      <c r="F59" s="919"/>
      <c r="G59" s="467"/>
      <c r="H59" s="467"/>
      <c r="I59" s="468"/>
      <c r="J59" s="468"/>
      <c r="K59" s="468"/>
      <c r="L59" s="469"/>
      <c r="M59" s="469"/>
      <c r="N59" s="470"/>
      <c r="O59" s="919" t="s">
        <v>68</v>
      </c>
      <c r="P59" s="919"/>
      <c r="Q59" s="919"/>
      <c r="R59" s="919"/>
    </row>
    <row r="60" spans="2:20" ht="18.75" customHeight="1">
      <c r="B60" s="919" t="s">
        <v>69</v>
      </c>
      <c r="C60" s="919"/>
      <c r="D60" s="919"/>
      <c r="E60" s="919"/>
      <c r="F60" s="919"/>
      <c r="G60" s="467"/>
      <c r="H60" s="467"/>
      <c r="I60" s="468"/>
      <c r="J60" s="468"/>
      <c r="K60" s="468"/>
      <c r="L60" s="469"/>
      <c r="M60" s="469"/>
      <c r="N60" s="470"/>
      <c r="O60" s="919" t="s">
        <v>87</v>
      </c>
      <c r="P60" s="919"/>
      <c r="Q60" s="919"/>
      <c r="R60" s="919"/>
    </row>
    <row r="61" spans="2:20" ht="18.75">
      <c r="B61" s="475"/>
      <c r="C61" s="471"/>
      <c r="D61" s="471"/>
      <c r="E61" s="467"/>
      <c r="F61" s="472"/>
      <c r="G61" s="470"/>
      <c r="H61" s="916" t="s">
        <v>70</v>
      </c>
      <c r="I61" s="916"/>
      <c r="J61" s="916"/>
      <c r="K61" s="916"/>
      <c r="L61" s="469"/>
      <c r="M61" s="469"/>
      <c r="N61" s="468"/>
      <c r="O61" s="469"/>
      <c r="P61" s="469"/>
      <c r="Q61" s="469"/>
      <c r="R61" s="473"/>
    </row>
    <row r="62" spans="2:20" ht="18.75">
      <c r="B62" s="475"/>
      <c r="C62" s="471"/>
      <c r="D62" s="471"/>
      <c r="E62" s="467"/>
      <c r="F62" s="472"/>
      <c r="G62" s="470"/>
      <c r="H62" s="916" t="s">
        <v>71</v>
      </c>
      <c r="I62" s="916"/>
      <c r="J62" s="916"/>
      <c r="K62" s="916"/>
      <c r="L62" s="469"/>
      <c r="M62" s="469"/>
      <c r="N62" s="468"/>
      <c r="O62" s="473"/>
      <c r="P62" s="473"/>
      <c r="Q62" s="473"/>
      <c r="R62" s="473"/>
    </row>
    <row r="67" spans="7:10" ht="18">
      <c r="G67" s="476"/>
      <c r="H67" s="476"/>
    </row>
    <row r="69" spans="7:10">
      <c r="J69" s="474"/>
    </row>
  </sheetData>
  <mergeCells count="26"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  <mergeCell ref="B56:I56"/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</mergeCells>
  <printOptions horizontalCentered="1"/>
  <pageMargins left="0" right="0" top="0.25" bottom="0" header="0.19" footer="0.5"/>
  <pageSetup paperSize="9" scale="64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view="pageBreakPreview" topLeftCell="A6" zoomScale="80" zoomScaleSheetLayoutView="80" workbookViewId="0">
      <selection activeCell="I34" activeCellId="1" sqref="I34 L36"/>
    </sheetView>
  </sheetViews>
  <sheetFormatPr defaultRowHeight="12.75"/>
  <cols>
    <col min="1" max="1" width="5.140625" style="477" customWidth="1"/>
    <col min="2" max="2" width="18.5703125" style="478" customWidth="1"/>
    <col min="3" max="3" width="9.28515625" style="479" customWidth="1"/>
    <col min="4" max="4" width="10.28515625" style="479" customWidth="1"/>
    <col min="5" max="5" width="17.42578125" style="479" customWidth="1"/>
    <col min="6" max="6" width="11.42578125" style="479" customWidth="1"/>
    <col min="7" max="7" width="12.7109375" style="479" customWidth="1"/>
    <col min="8" max="8" width="16.42578125" style="479" customWidth="1"/>
    <col min="9" max="9" width="16.140625" style="480" customWidth="1"/>
    <col min="10" max="10" width="13.28515625" style="480" customWidth="1"/>
    <col min="11" max="11" width="14" style="480" customWidth="1"/>
    <col min="12" max="12" width="12.5703125" style="480" customWidth="1"/>
    <col min="13" max="13" width="12.140625" style="480" customWidth="1"/>
    <col min="14" max="14" width="15.140625" style="480" customWidth="1"/>
    <col min="15" max="16" width="14.42578125" style="480" customWidth="1"/>
    <col min="17" max="17" width="14.140625" style="480" customWidth="1"/>
    <col min="18" max="18" width="21" style="480" hidden="1" customWidth="1"/>
    <col min="19" max="16384" width="9.140625" style="480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921" t="s">
        <v>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</row>
    <row r="7" spans="1:20" ht="16.5" customHeight="1">
      <c r="A7" s="922" t="s">
        <v>117</v>
      </c>
      <c r="B7" s="922"/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</row>
    <row r="8" spans="1:20" s="438" customFormat="1" ht="18.75" customHeight="1">
      <c r="A8" s="903" t="s">
        <v>138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</row>
    <row r="9" spans="1:20" s="438" customFormat="1" ht="12" hidden="1" customHeight="1">
      <c r="A9" s="481"/>
      <c r="B9" s="482"/>
      <c r="C9" s="483"/>
      <c r="D9" s="483"/>
      <c r="E9" s="483"/>
      <c r="F9" s="483"/>
      <c r="G9" s="483"/>
      <c r="H9" s="483"/>
      <c r="I9" s="481"/>
      <c r="J9" s="481"/>
      <c r="K9" s="481"/>
      <c r="L9" s="481"/>
      <c r="M9" s="481"/>
      <c r="N9" s="481"/>
      <c r="O9" s="481"/>
      <c r="P9" s="481"/>
      <c r="Q9" s="481"/>
    </row>
    <row r="10" spans="1:20" ht="12" customHeight="1">
      <c r="A10" s="923"/>
      <c r="B10" s="923"/>
      <c r="C10" s="923"/>
      <c r="D10" s="923"/>
      <c r="E10" s="484"/>
      <c r="F10" s="484"/>
      <c r="G10" s="484"/>
      <c r="H10" s="484"/>
      <c r="I10" s="485"/>
      <c r="J10" s="485"/>
      <c r="K10" s="485"/>
      <c r="L10" s="485"/>
      <c r="M10" s="485"/>
      <c r="N10" s="485"/>
      <c r="O10" s="485"/>
      <c r="P10" s="485"/>
      <c r="Q10" s="485"/>
    </row>
    <row r="11" spans="1:20" s="450" customFormat="1" ht="14.25" customHeight="1">
      <c r="A11" s="924" t="s">
        <v>2</v>
      </c>
      <c r="B11" s="925" t="s">
        <v>38</v>
      </c>
      <c r="C11" s="924" t="s">
        <v>4</v>
      </c>
      <c r="D11" s="924" t="s">
        <v>5</v>
      </c>
      <c r="E11" s="924" t="s">
        <v>6</v>
      </c>
      <c r="F11" s="924" t="s">
        <v>7</v>
      </c>
      <c r="G11" s="906" t="s">
        <v>39</v>
      </c>
      <c r="H11" s="906"/>
      <c r="I11" s="906"/>
      <c r="J11" s="906" t="s">
        <v>137</v>
      </c>
      <c r="K11" s="906"/>
      <c r="L11" s="906"/>
      <c r="M11" s="906"/>
      <c r="N11" s="906" t="s">
        <v>139</v>
      </c>
      <c r="O11" s="906"/>
      <c r="P11" s="906"/>
      <c r="Q11" s="906"/>
    </row>
    <row r="12" spans="1:20" s="450" customFormat="1" ht="106.5" customHeight="1">
      <c r="A12" s="924"/>
      <c r="B12" s="926"/>
      <c r="C12" s="924"/>
      <c r="D12" s="924"/>
      <c r="E12" s="924"/>
      <c r="F12" s="924"/>
      <c r="G12" s="486" t="s">
        <v>9</v>
      </c>
      <c r="H12" s="486" t="s">
        <v>10</v>
      </c>
      <c r="I12" s="486" t="s">
        <v>11</v>
      </c>
      <c r="J12" s="486" t="s">
        <v>12</v>
      </c>
      <c r="K12" s="486" t="s">
        <v>13</v>
      </c>
      <c r="L12" s="486" t="s">
        <v>78</v>
      </c>
      <c r="M12" s="486" t="s">
        <v>14</v>
      </c>
      <c r="N12" s="486" t="s">
        <v>140</v>
      </c>
      <c r="O12" s="486" t="s">
        <v>16</v>
      </c>
      <c r="P12" s="486" t="s">
        <v>141</v>
      </c>
      <c r="Q12" s="486" t="s">
        <v>142</v>
      </c>
    </row>
    <row r="13" spans="1:20" s="448" customFormat="1" ht="14.25" customHeight="1">
      <c r="A13" s="502">
        <v>1</v>
      </c>
      <c r="B13" s="502" t="s">
        <v>40</v>
      </c>
      <c r="C13" s="548">
        <v>3</v>
      </c>
      <c r="D13" s="548">
        <v>4</v>
      </c>
      <c r="E13" s="548">
        <v>5</v>
      </c>
      <c r="F13" s="502" t="s">
        <v>19</v>
      </c>
      <c r="G13" s="548">
        <v>6</v>
      </c>
      <c r="H13" s="548">
        <v>7</v>
      </c>
      <c r="I13" s="502" t="s">
        <v>20</v>
      </c>
      <c r="J13" s="502" t="s">
        <v>21</v>
      </c>
      <c r="K13" s="549" t="s">
        <v>22</v>
      </c>
      <c r="L13" s="502" t="s">
        <v>23</v>
      </c>
      <c r="M13" s="502" t="s">
        <v>24</v>
      </c>
      <c r="N13" s="502">
        <v>13</v>
      </c>
      <c r="O13" s="502" t="s">
        <v>25</v>
      </c>
      <c r="P13" s="502">
        <v>15</v>
      </c>
      <c r="Q13" s="502">
        <v>16</v>
      </c>
    </row>
    <row r="14" spans="1:20" s="330" customFormat="1" ht="24.95" customHeight="1">
      <c r="A14" s="228">
        <v>1</v>
      </c>
      <c r="B14" s="229" t="s">
        <v>41</v>
      </c>
      <c r="C14" s="529">
        <v>1</v>
      </c>
      <c r="D14" s="529">
        <v>1</v>
      </c>
      <c r="E14" s="530">
        <v>8.4499999999999993</v>
      </c>
      <c r="F14" s="531" t="e">
        <f>E14+'Nov ANX II'!F14</f>
        <v>#REF!</v>
      </c>
      <c r="G14" s="530">
        <v>1.7</v>
      </c>
      <c r="H14" s="530">
        <v>6.25</v>
      </c>
      <c r="I14" s="531">
        <f>G14+H14</f>
        <v>7.95</v>
      </c>
      <c r="J14" s="531">
        <f>E14+I14</f>
        <v>16.399999999999999</v>
      </c>
      <c r="K14" s="531">
        <f>J14/C14</f>
        <v>16.399999999999999</v>
      </c>
      <c r="L14" s="530">
        <f>+(((C14*24)*31)-I14)*100/((C14*24)*31)</f>
        <v>98.931451612903231</v>
      </c>
      <c r="M14" s="530">
        <f>+(((C14*24)*31)-J14)*100/((C14*24)*31)</f>
        <v>97.795698924731184</v>
      </c>
      <c r="N14" s="530" t="e">
        <f>J14+'Nov ANX II'!N14</f>
        <v>#REF!</v>
      </c>
      <c r="O14" s="532" t="e">
        <f>N14/C14</f>
        <v>#REF!</v>
      </c>
      <c r="P14" s="530" t="e">
        <f>((C14*24*275)-(N14-E14))*100/(C14*24*275)</f>
        <v>#REF!</v>
      </c>
      <c r="Q14" s="530" t="e">
        <f>((C14*24*275)-(N14))*100/(C14*24*275)</f>
        <v>#REF!</v>
      </c>
      <c r="R14" s="265"/>
      <c r="S14" s="265" t="e">
        <f>L14-P14</f>
        <v>#REF!</v>
      </c>
      <c r="T14" s="265" t="e">
        <f>M14-Q14</f>
        <v>#REF!</v>
      </c>
    </row>
    <row r="15" spans="1:20" s="330" customFormat="1" ht="24.95" customHeight="1">
      <c r="A15" s="228">
        <v>2</v>
      </c>
      <c r="B15" s="229" t="s">
        <v>42</v>
      </c>
      <c r="C15" s="529">
        <v>1</v>
      </c>
      <c r="D15" s="529">
        <v>1</v>
      </c>
      <c r="E15" s="530">
        <v>0.3</v>
      </c>
      <c r="F15" s="531" t="e">
        <f>E15+'Nov ANX II'!F15</f>
        <v>#REF!</v>
      </c>
      <c r="G15" s="530">
        <v>13.1</v>
      </c>
      <c r="H15" s="530">
        <v>0.65</v>
      </c>
      <c r="I15" s="531">
        <f t="shared" ref="I15:I39" si="0">G15+H15</f>
        <v>13.75</v>
      </c>
      <c r="J15" s="531">
        <f t="shared" ref="J15:J39" si="1">E15+I15</f>
        <v>14.05</v>
      </c>
      <c r="K15" s="531">
        <f t="shared" ref="K15:K39" si="2">J15/C15</f>
        <v>14.05</v>
      </c>
      <c r="L15" s="530">
        <f t="shared" ref="L15:L39" si="3">+(((C15*24)*31)-I15)*100/((C15*24)*31)</f>
        <v>98.151881720430111</v>
      </c>
      <c r="M15" s="530">
        <f t="shared" ref="M15:M39" si="4">+(((C15*24)*31)-J15)*100/((C15*24)*31)</f>
        <v>98.111559139784944</v>
      </c>
      <c r="N15" s="530" t="e">
        <f>J15+'Nov ANX II'!N15</f>
        <v>#REF!</v>
      </c>
      <c r="O15" s="532" t="e">
        <f t="shared" ref="O15:O39" si="5">N15/C15</f>
        <v>#REF!</v>
      </c>
      <c r="P15" s="530" t="e">
        <f t="shared" ref="P15:P39" si="6">((C15*24*275)-(N15-E15))*100/(C15*24*275)</f>
        <v>#REF!</v>
      </c>
      <c r="Q15" s="530" t="e">
        <f t="shared" ref="Q15:Q39" si="7">((C15*24*275)-(N15))*100/(C15*24*275)</f>
        <v>#REF!</v>
      </c>
      <c r="R15" s="265"/>
      <c r="S15" s="265" t="e">
        <f t="shared" ref="S15:T39" si="8">L15-P15</f>
        <v>#REF!</v>
      </c>
      <c r="T15" s="265" t="e">
        <f t="shared" si="8"/>
        <v>#REF!</v>
      </c>
    </row>
    <row r="16" spans="1:20" s="330" customFormat="1" ht="24.95" customHeight="1">
      <c r="A16" s="228">
        <v>3</v>
      </c>
      <c r="B16" s="229" t="s">
        <v>43</v>
      </c>
      <c r="C16" s="529">
        <v>11</v>
      </c>
      <c r="D16" s="529">
        <v>11</v>
      </c>
      <c r="E16" s="530">
        <v>0.6</v>
      </c>
      <c r="F16" s="531" t="e">
        <f>E16+'Nov ANX II'!F16</f>
        <v>#REF!</v>
      </c>
      <c r="G16" s="530">
        <v>67.509999999999991</v>
      </c>
      <c r="H16" s="530">
        <v>31.58</v>
      </c>
      <c r="I16" s="531">
        <f t="shared" si="0"/>
        <v>99.089999999999989</v>
      </c>
      <c r="J16" s="531">
        <f t="shared" si="1"/>
        <v>99.689999999999984</v>
      </c>
      <c r="K16" s="531">
        <f t="shared" si="2"/>
        <v>9.0627272727272707</v>
      </c>
      <c r="L16" s="530">
        <f t="shared" si="3"/>
        <v>98.7892228739003</v>
      </c>
      <c r="M16" s="530">
        <f t="shared" si="4"/>
        <v>98.781891495601172</v>
      </c>
      <c r="N16" s="530" t="e">
        <f>J16+'Nov ANX II'!N16</f>
        <v>#REF!</v>
      </c>
      <c r="O16" s="532" t="e">
        <f t="shared" si="5"/>
        <v>#REF!</v>
      </c>
      <c r="P16" s="530" t="e">
        <f t="shared" si="6"/>
        <v>#REF!</v>
      </c>
      <c r="Q16" s="530" t="e">
        <f t="shared" si="7"/>
        <v>#REF!</v>
      </c>
      <c r="R16" s="265"/>
      <c r="S16" s="265" t="e">
        <f t="shared" si="8"/>
        <v>#REF!</v>
      </c>
      <c r="T16" s="265" t="e">
        <f t="shared" si="8"/>
        <v>#REF!</v>
      </c>
    </row>
    <row r="17" spans="1:20" s="330" customFormat="1" ht="24.95" customHeight="1">
      <c r="A17" s="228">
        <v>4</v>
      </c>
      <c r="B17" s="229" t="s">
        <v>73</v>
      </c>
      <c r="C17" s="529">
        <v>2</v>
      </c>
      <c r="D17" s="529">
        <v>2</v>
      </c>
      <c r="E17" s="530">
        <v>0.55000000000000004</v>
      </c>
      <c r="F17" s="531" t="e">
        <f>E17+'Nov ANX II'!F17</f>
        <v>#REF!</v>
      </c>
      <c r="G17" s="530">
        <v>45.1</v>
      </c>
      <c r="H17" s="530">
        <v>5.6</v>
      </c>
      <c r="I17" s="531">
        <f t="shared" si="0"/>
        <v>50.7</v>
      </c>
      <c r="J17" s="531">
        <f t="shared" si="1"/>
        <v>51.25</v>
      </c>
      <c r="K17" s="531">
        <f t="shared" si="2"/>
        <v>25.625</v>
      </c>
      <c r="L17" s="530">
        <f t="shared" si="3"/>
        <v>96.592741935483872</v>
      </c>
      <c r="M17" s="530">
        <f t="shared" si="4"/>
        <v>96.555779569892479</v>
      </c>
      <c r="N17" s="530" t="e">
        <f>J17+'Nov ANX II'!N17</f>
        <v>#REF!</v>
      </c>
      <c r="O17" s="532" t="e">
        <f t="shared" si="5"/>
        <v>#REF!</v>
      </c>
      <c r="P17" s="530" t="e">
        <f t="shared" si="6"/>
        <v>#REF!</v>
      </c>
      <c r="Q17" s="530" t="e">
        <f t="shared" si="7"/>
        <v>#REF!</v>
      </c>
      <c r="R17" s="265"/>
      <c r="S17" s="265" t="e">
        <f>L17-P17</f>
        <v>#REF!</v>
      </c>
      <c r="T17" s="265" t="e">
        <f>M17-Q17</f>
        <v>#REF!</v>
      </c>
    </row>
    <row r="18" spans="1:20" s="330" customFormat="1" ht="24.95" customHeight="1">
      <c r="A18" s="228">
        <v>5</v>
      </c>
      <c r="B18" s="229" t="s">
        <v>79</v>
      </c>
      <c r="C18" s="529">
        <v>4</v>
      </c>
      <c r="D18" s="529">
        <v>4</v>
      </c>
      <c r="E18" s="555">
        <v>0.32</v>
      </c>
      <c r="F18" s="531" t="e">
        <f>E18+'Nov ANX II'!F18</f>
        <v>#REF!</v>
      </c>
      <c r="G18" s="530">
        <v>38.050000000000004</v>
      </c>
      <c r="H18" s="530">
        <v>1.9</v>
      </c>
      <c r="I18" s="531">
        <f t="shared" si="0"/>
        <v>39.950000000000003</v>
      </c>
      <c r="J18" s="531">
        <f t="shared" si="1"/>
        <v>40.270000000000003</v>
      </c>
      <c r="K18" s="531">
        <f t="shared" si="2"/>
        <v>10.067500000000001</v>
      </c>
      <c r="L18" s="530">
        <f t="shared" si="3"/>
        <v>98.657594086021504</v>
      </c>
      <c r="M18" s="530">
        <f t="shared" si="4"/>
        <v>98.646841397849457</v>
      </c>
      <c r="N18" s="530" t="e">
        <f>J18+'Nov ANX II'!N18</f>
        <v>#REF!</v>
      </c>
      <c r="O18" s="532" t="e">
        <f t="shared" si="5"/>
        <v>#REF!</v>
      </c>
      <c r="P18" s="530" t="e">
        <f t="shared" si="6"/>
        <v>#REF!</v>
      </c>
      <c r="Q18" s="530" t="e">
        <f t="shared" si="7"/>
        <v>#REF!</v>
      </c>
      <c r="R18" s="265"/>
      <c r="S18" s="265" t="e">
        <f>L18-P18</f>
        <v>#REF!</v>
      </c>
      <c r="T18" s="265" t="e">
        <f>M18-Q18</f>
        <v>#REF!</v>
      </c>
    </row>
    <row r="19" spans="1:20" s="330" customFormat="1" ht="24.95" customHeight="1">
      <c r="A19" s="228">
        <v>6</v>
      </c>
      <c r="B19" s="229" t="s">
        <v>80</v>
      </c>
      <c r="C19" s="529">
        <v>1</v>
      </c>
      <c r="D19" s="529">
        <v>1</v>
      </c>
      <c r="E19" s="530">
        <v>4.2</v>
      </c>
      <c r="F19" s="531" t="e">
        <f>E19+'Nov ANX II'!F19</f>
        <v>#REF!</v>
      </c>
      <c r="G19" s="530">
        <v>21.26</v>
      </c>
      <c r="H19" s="530">
        <v>12.4</v>
      </c>
      <c r="I19" s="531">
        <f t="shared" si="0"/>
        <v>33.660000000000004</v>
      </c>
      <c r="J19" s="531">
        <f t="shared" si="1"/>
        <v>37.860000000000007</v>
      </c>
      <c r="K19" s="531">
        <f t="shared" si="2"/>
        <v>37.860000000000007</v>
      </c>
      <c r="L19" s="530">
        <f t="shared" si="3"/>
        <v>95.475806451612897</v>
      </c>
      <c r="M19" s="530">
        <f t="shared" si="4"/>
        <v>94.911290322580641</v>
      </c>
      <c r="N19" s="530" t="e">
        <f>J19+'Nov ANX II'!N19</f>
        <v>#REF!</v>
      </c>
      <c r="O19" s="532" t="e">
        <f t="shared" si="5"/>
        <v>#REF!</v>
      </c>
      <c r="P19" s="530" t="e">
        <f t="shared" si="6"/>
        <v>#REF!</v>
      </c>
      <c r="Q19" s="530" t="e">
        <f t="shared" si="7"/>
        <v>#REF!</v>
      </c>
      <c r="R19" s="265"/>
      <c r="S19" s="265" t="e">
        <f t="shared" si="8"/>
        <v>#REF!</v>
      </c>
      <c r="T19" s="265" t="e">
        <f t="shared" si="8"/>
        <v>#REF!</v>
      </c>
    </row>
    <row r="20" spans="1:20" s="330" customFormat="1" ht="24.95" customHeight="1">
      <c r="A20" s="228">
        <v>7</v>
      </c>
      <c r="B20" s="229" t="s">
        <v>74</v>
      </c>
      <c r="C20" s="529">
        <v>2</v>
      </c>
      <c r="D20" s="529">
        <v>2</v>
      </c>
      <c r="E20" s="530">
        <v>6.8</v>
      </c>
      <c r="F20" s="531" t="e">
        <f>E20+'Nov ANX II'!F20</f>
        <v>#REF!</v>
      </c>
      <c r="G20" s="530">
        <v>46.32</v>
      </c>
      <c r="H20" s="530">
        <v>37.24</v>
      </c>
      <c r="I20" s="531">
        <f t="shared" si="0"/>
        <v>83.56</v>
      </c>
      <c r="J20" s="531">
        <f t="shared" si="1"/>
        <v>90.36</v>
      </c>
      <c r="K20" s="531">
        <f t="shared" si="2"/>
        <v>45.18</v>
      </c>
      <c r="L20" s="530">
        <f t="shared" si="3"/>
        <v>94.384408602150543</v>
      </c>
      <c r="M20" s="530">
        <f t="shared" si="4"/>
        <v>93.927419354838705</v>
      </c>
      <c r="N20" s="530" t="e">
        <f>J20+'Nov ANX II'!N20</f>
        <v>#REF!</v>
      </c>
      <c r="O20" s="532" t="e">
        <f t="shared" si="5"/>
        <v>#REF!</v>
      </c>
      <c r="P20" s="530" t="e">
        <f t="shared" si="6"/>
        <v>#REF!</v>
      </c>
      <c r="Q20" s="530" t="e">
        <f t="shared" si="7"/>
        <v>#REF!</v>
      </c>
      <c r="R20" s="265"/>
      <c r="S20" s="265" t="e">
        <f t="shared" si="8"/>
        <v>#REF!</v>
      </c>
      <c r="T20" s="265" t="e">
        <f t="shared" si="8"/>
        <v>#REF!</v>
      </c>
    </row>
    <row r="21" spans="1:20" s="330" customFormat="1" ht="24.95" customHeight="1">
      <c r="A21" s="228">
        <v>8</v>
      </c>
      <c r="B21" s="229" t="s">
        <v>44</v>
      </c>
      <c r="C21" s="529">
        <v>3</v>
      </c>
      <c r="D21" s="529">
        <v>3</v>
      </c>
      <c r="E21" s="530">
        <v>12.412479518382273</v>
      </c>
      <c r="F21" s="531" t="e">
        <f>E21+'Nov ANX II'!F21</f>
        <v>#REF!</v>
      </c>
      <c r="G21" s="530">
        <v>54.9</v>
      </c>
      <c r="H21" s="530">
        <v>24.15</v>
      </c>
      <c r="I21" s="531">
        <f t="shared" si="0"/>
        <v>79.05</v>
      </c>
      <c r="J21" s="531">
        <f t="shared" si="1"/>
        <v>91.462479518382267</v>
      </c>
      <c r="K21" s="531">
        <f t="shared" si="2"/>
        <v>30.487493172794089</v>
      </c>
      <c r="L21" s="530">
        <f t="shared" si="3"/>
        <v>96.458333333333314</v>
      </c>
      <c r="M21" s="530">
        <f t="shared" si="4"/>
        <v>95.902218659570693</v>
      </c>
      <c r="N21" s="530" t="e">
        <f>J21+'Nov ANX II'!N21</f>
        <v>#REF!</v>
      </c>
      <c r="O21" s="532" t="e">
        <f t="shared" si="5"/>
        <v>#REF!</v>
      </c>
      <c r="P21" s="530" t="e">
        <f t="shared" si="6"/>
        <v>#REF!</v>
      </c>
      <c r="Q21" s="530" t="e">
        <f t="shared" si="7"/>
        <v>#REF!</v>
      </c>
      <c r="R21" s="265"/>
      <c r="S21" s="265" t="e">
        <f t="shared" si="8"/>
        <v>#REF!</v>
      </c>
      <c r="T21" s="265" t="e">
        <f t="shared" si="8"/>
        <v>#REF!</v>
      </c>
    </row>
    <row r="22" spans="1:20" s="330" customFormat="1" ht="24.95" customHeight="1">
      <c r="A22" s="228">
        <v>9</v>
      </c>
      <c r="B22" s="229" t="s">
        <v>75</v>
      </c>
      <c r="C22" s="529">
        <v>5</v>
      </c>
      <c r="D22" s="529">
        <v>5</v>
      </c>
      <c r="E22" s="530">
        <v>14.392384226835908</v>
      </c>
      <c r="F22" s="531" t="e">
        <f>E22+'Nov ANX II'!F22</f>
        <v>#REF!</v>
      </c>
      <c r="G22" s="530">
        <v>28.67</v>
      </c>
      <c r="H22" s="530">
        <v>47.6</v>
      </c>
      <c r="I22" s="531">
        <f t="shared" si="0"/>
        <v>76.27000000000001</v>
      </c>
      <c r="J22" s="531">
        <f t="shared" si="1"/>
        <v>90.662384226835911</v>
      </c>
      <c r="K22" s="531">
        <f t="shared" si="2"/>
        <v>18.132476845367183</v>
      </c>
      <c r="L22" s="530">
        <f t="shared" si="3"/>
        <v>97.949731182795702</v>
      </c>
      <c r="M22" s="530">
        <f t="shared" si="4"/>
        <v>97.562839133687206</v>
      </c>
      <c r="N22" s="530" t="e">
        <f>J22+'Nov ANX II'!N22</f>
        <v>#REF!</v>
      </c>
      <c r="O22" s="532" t="e">
        <f t="shared" si="5"/>
        <v>#REF!</v>
      </c>
      <c r="P22" s="530" t="e">
        <f t="shared" si="6"/>
        <v>#REF!</v>
      </c>
      <c r="Q22" s="530" t="e">
        <f t="shared" si="7"/>
        <v>#REF!</v>
      </c>
      <c r="R22" s="265"/>
      <c r="S22" s="265" t="e">
        <f t="shared" si="8"/>
        <v>#REF!</v>
      </c>
      <c r="T22" s="265" t="e">
        <f t="shared" si="8"/>
        <v>#REF!</v>
      </c>
    </row>
    <row r="23" spans="1:20" s="330" customFormat="1" ht="24.95" customHeight="1">
      <c r="A23" s="228">
        <v>10</v>
      </c>
      <c r="B23" s="229" t="s">
        <v>76</v>
      </c>
      <c r="C23" s="529">
        <v>1</v>
      </c>
      <c r="D23" s="529">
        <v>1</v>
      </c>
      <c r="E23" s="530">
        <v>1.9690602049286967</v>
      </c>
      <c r="F23" s="531" t="e">
        <f>E23+'Nov ANX II'!F23</f>
        <v>#REF!</v>
      </c>
      <c r="G23" s="530">
        <v>6.25</v>
      </c>
      <c r="H23" s="530">
        <v>2.0499999999999998</v>
      </c>
      <c r="I23" s="531">
        <f t="shared" si="0"/>
        <v>8.3000000000000007</v>
      </c>
      <c r="J23" s="531">
        <f t="shared" si="1"/>
        <v>10.269060204928698</v>
      </c>
      <c r="K23" s="531">
        <f t="shared" si="2"/>
        <v>10.269060204928698</v>
      </c>
      <c r="L23" s="530">
        <f t="shared" si="3"/>
        <v>98.884408602150543</v>
      </c>
      <c r="M23" s="530">
        <f t="shared" si="4"/>
        <v>98.619749972455821</v>
      </c>
      <c r="N23" s="530" t="e">
        <f>J23+'Nov ANX II'!N23</f>
        <v>#REF!</v>
      </c>
      <c r="O23" s="532" t="e">
        <f t="shared" si="5"/>
        <v>#REF!</v>
      </c>
      <c r="P23" s="530" t="e">
        <f t="shared" si="6"/>
        <v>#REF!</v>
      </c>
      <c r="Q23" s="530" t="e">
        <f t="shared" si="7"/>
        <v>#REF!</v>
      </c>
      <c r="R23" s="265"/>
      <c r="S23" s="265" t="e">
        <f t="shared" si="8"/>
        <v>#REF!</v>
      </c>
      <c r="T23" s="265" t="e">
        <f t="shared" si="8"/>
        <v>#REF!</v>
      </c>
    </row>
    <row r="24" spans="1:20" s="266" customFormat="1" ht="24.95" customHeight="1">
      <c r="A24" s="228">
        <v>11</v>
      </c>
      <c r="B24" s="229" t="s">
        <v>28</v>
      </c>
      <c r="C24" s="533">
        <v>7</v>
      </c>
      <c r="D24" s="533">
        <v>7</v>
      </c>
      <c r="E24" s="533">
        <v>18.55</v>
      </c>
      <c r="F24" s="531" t="e">
        <f>E24+'Nov ANX II'!F24</f>
        <v>#REF!</v>
      </c>
      <c r="G24" s="533">
        <v>183.15</v>
      </c>
      <c r="H24" s="533">
        <v>136.44999999999999</v>
      </c>
      <c r="I24" s="531">
        <f t="shared" si="0"/>
        <v>319.60000000000002</v>
      </c>
      <c r="J24" s="531">
        <f t="shared" si="1"/>
        <v>338.15000000000003</v>
      </c>
      <c r="K24" s="531">
        <f t="shared" si="2"/>
        <v>48.307142857142864</v>
      </c>
      <c r="L24" s="530">
        <f t="shared" si="3"/>
        <v>93.863287250384019</v>
      </c>
      <c r="M24" s="530">
        <f t="shared" si="4"/>
        <v>93.507104454685106</v>
      </c>
      <c r="N24" s="530" t="e">
        <f>J24+'Nov ANX II'!N24</f>
        <v>#REF!</v>
      </c>
      <c r="O24" s="532" t="e">
        <f t="shared" si="5"/>
        <v>#REF!</v>
      </c>
      <c r="P24" s="530" t="e">
        <f t="shared" si="6"/>
        <v>#REF!</v>
      </c>
      <c r="Q24" s="530" t="e">
        <f t="shared" si="7"/>
        <v>#REF!</v>
      </c>
      <c r="R24" s="265"/>
      <c r="S24" s="265" t="e">
        <f t="shared" si="8"/>
        <v>#REF!</v>
      </c>
      <c r="T24" s="265" t="e">
        <f t="shared" si="8"/>
        <v>#REF!</v>
      </c>
    </row>
    <row r="25" spans="1:20" s="266" customFormat="1" ht="24.95" customHeight="1">
      <c r="A25" s="228">
        <v>12</v>
      </c>
      <c r="B25" s="229" t="s">
        <v>45</v>
      </c>
      <c r="C25" s="533">
        <v>11</v>
      </c>
      <c r="D25" s="533">
        <v>11</v>
      </c>
      <c r="E25" s="533">
        <v>14.95</v>
      </c>
      <c r="F25" s="531" t="e">
        <f>E25+'Nov ANX II'!F25</f>
        <v>#REF!</v>
      </c>
      <c r="G25" s="533">
        <v>122</v>
      </c>
      <c r="H25" s="533">
        <v>172</v>
      </c>
      <c r="I25" s="531">
        <f>G25+H25</f>
        <v>294</v>
      </c>
      <c r="J25" s="531">
        <f t="shared" si="1"/>
        <v>308.95</v>
      </c>
      <c r="K25" s="531">
        <f t="shared" si="2"/>
        <v>28.086363636363636</v>
      </c>
      <c r="L25" s="530">
        <f t="shared" si="3"/>
        <v>96.407624633431084</v>
      </c>
      <c r="M25" s="530">
        <f t="shared" si="4"/>
        <v>96.224951124144667</v>
      </c>
      <c r="N25" s="530" t="e">
        <f>J25+'Nov ANX II'!N25</f>
        <v>#REF!</v>
      </c>
      <c r="O25" s="532" t="e">
        <f t="shared" si="5"/>
        <v>#REF!</v>
      </c>
      <c r="P25" s="530" t="e">
        <f t="shared" si="6"/>
        <v>#REF!</v>
      </c>
      <c r="Q25" s="530" t="e">
        <f t="shared" si="7"/>
        <v>#REF!</v>
      </c>
      <c r="R25" s="265"/>
      <c r="S25" s="265" t="e">
        <f t="shared" si="8"/>
        <v>#REF!</v>
      </c>
      <c r="T25" s="265" t="e">
        <f t="shared" si="8"/>
        <v>#REF!</v>
      </c>
    </row>
    <row r="26" spans="1:20" s="266" customFormat="1" ht="24.95" customHeight="1">
      <c r="A26" s="228">
        <v>13</v>
      </c>
      <c r="B26" s="229" t="s">
        <v>46</v>
      </c>
      <c r="C26" s="533">
        <v>8</v>
      </c>
      <c r="D26" s="533">
        <v>8</v>
      </c>
      <c r="E26" s="533">
        <v>32.229999999999997</v>
      </c>
      <c r="F26" s="531" t="e">
        <f>E26+'Nov ANX II'!F26</f>
        <v>#REF!</v>
      </c>
      <c r="G26" s="533">
        <v>135.66999999999999</v>
      </c>
      <c r="H26" s="533">
        <v>38.92</v>
      </c>
      <c r="I26" s="531">
        <f>G26+H26</f>
        <v>174.58999999999997</v>
      </c>
      <c r="J26" s="531">
        <f t="shared" si="1"/>
        <v>206.81999999999996</v>
      </c>
      <c r="K26" s="531">
        <f t="shared" si="2"/>
        <v>25.852499999999996</v>
      </c>
      <c r="L26" s="530">
        <f t="shared" si="3"/>
        <v>97.0667002688172</v>
      </c>
      <c r="M26" s="530">
        <f t="shared" si="4"/>
        <v>96.525201612903231</v>
      </c>
      <c r="N26" s="530" t="e">
        <f>J26+'Nov ANX II'!N26</f>
        <v>#REF!</v>
      </c>
      <c r="O26" s="532" t="e">
        <f t="shared" si="5"/>
        <v>#REF!</v>
      </c>
      <c r="P26" s="530" t="e">
        <f t="shared" si="6"/>
        <v>#REF!</v>
      </c>
      <c r="Q26" s="530" t="e">
        <f t="shared" si="7"/>
        <v>#REF!</v>
      </c>
      <c r="R26" s="265"/>
      <c r="S26" s="265" t="e">
        <f t="shared" si="8"/>
        <v>#REF!</v>
      </c>
      <c r="T26" s="265" t="e">
        <f t="shared" si="8"/>
        <v>#REF!</v>
      </c>
    </row>
    <row r="27" spans="1:20" s="266" customFormat="1" ht="24.95" customHeight="1">
      <c r="A27" s="228">
        <v>14</v>
      </c>
      <c r="B27" s="229" t="s">
        <v>77</v>
      </c>
      <c r="C27" s="534">
        <v>4</v>
      </c>
      <c r="D27" s="534">
        <v>4</v>
      </c>
      <c r="E27" s="535">
        <v>1</v>
      </c>
      <c r="F27" s="531" t="e">
        <f>E27+'Nov ANX II'!F27</f>
        <v>#REF!</v>
      </c>
      <c r="G27" s="536">
        <v>21</v>
      </c>
      <c r="H27" s="535">
        <v>12.63</v>
      </c>
      <c r="I27" s="531">
        <f t="shared" si="0"/>
        <v>33.630000000000003</v>
      </c>
      <c r="J27" s="531">
        <f t="shared" si="1"/>
        <v>34.630000000000003</v>
      </c>
      <c r="K27" s="531">
        <f t="shared" si="2"/>
        <v>8.6575000000000006</v>
      </c>
      <c r="L27" s="530">
        <f t="shared" si="3"/>
        <v>98.869959677419359</v>
      </c>
      <c r="M27" s="530">
        <f t="shared" si="4"/>
        <v>98.836357526881727</v>
      </c>
      <c r="N27" s="530" t="e">
        <f>J27+'Nov ANX II'!N27</f>
        <v>#REF!</v>
      </c>
      <c r="O27" s="532" t="e">
        <f t="shared" si="5"/>
        <v>#REF!</v>
      </c>
      <c r="P27" s="530" t="e">
        <f t="shared" si="6"/>
        <v>#REF!</v>
      </c>
      <c r="Q27" s="530" t="e">
        <f t="shared" si="7"/>
        <v>#REF!</v>
      </c>
      <c r="R27" s="265"/>
      <c r="S27" s="265" t="e">
        <f>L27-P27</f>
        <v>#REF!</v>
      </c>
      <c r="T27" s="265" t="e">
        <f>M27-Q27</f>
        <v>#REF!</v>
      </c>
    </row>
    <row r="28" spans="1:20" s="266" customFormat="1" ht="24.95" customHeight="1">
      <c r="A28" s="228">
        <v>15</v>
      </c>
      <c r="B28" s="229" t="s">
        <v>47</v>
      </c>
      <c r="C28" s="537">
        <v>30</v>
      </c>
      <c r="D28" s="537">
        <v>30</v>
      </c>
      <c r="E28" s="538">
        <v>148</v>
      </c>
      <c r="F28" s="531" t="e">
        <f>E28+'Nov ANX II'!F28</f>
        <v>#REF!</v>
      </c>
      <c r="G28" s="539">
        <v>134</v>
      </c>
      <c r="H28" s="538">
        <v>61</v>
      </c>
      <c r="I28" s="531">
        <f t="shared" si="0"/>
        <v>195</v>
      </c>
      <c r="J28" s="531">
        <f t="shared" si="1"/>
        <v>343</v>
      </c>
      <c r="K28" s="531">
        <f t="shared" si="2"/>
        <v>11.433333333333334</v>
      </c>
      <c r="L28" s="530">
        <f t="shared" si="3"/>
        <v>99.126344086021504</v>
      </c>
      <c r="M28" s="530">
        <f t="shared" si="4"/>
        <v>98.463261648745515</v>
      </c>
      <c r="N28" s="530" t="e">
        <f>J28+'Nov ANX II'!N28</f>
        <v>#REF!</v>
      </c>
      <c r="O28" s="532" t="e">
        <f t="shared" si="5"/>
        <v>#REF!</v>
      </c>
      <c r="P28" s="530" t="e">
        <f t="shared" si="6"/>
        <v>#REF!</v>
      </c>
      <c r="Q28" s="530" t="e">
        <f t="shared" si="7"/>
        <v>#REF!</v>
      </c>
      <c r="R28" s="265"/>
      <c r="S28" s="265" t="e">
        <f t="shared" si="8"/>
        <v>#REF!</v>
      </c>
      <c r="T28" s="265" t="e">
        <f t="shared" si="8"/>
        <v>#REF!</v>
      </c>
    </row>
    <row r="29" spans="1:20" s="266" customFormat="1" ht="24.95" customHeight="1">
      <c r="A29" s="228">
        <v>16</v>
      </c>
      <c r="B29" s="229" t="s">
        <v>48</v>
      </c>
      <c r="C29" s="540">
        <v>15</v>
      </c>
      <c r="D29" s="540">
        <v>15</v>
      </c>
      <c r="E29" s="535">
        <v>90.55</v>
      </c>
      <c r="F29" s="531" t="e">
        <f>E29+'Nov ANX II'!F29</f>
        <v>#REF!</v>
      </c>
      <c r="G29" s="536">
        <v>59.14</v>
      </c>
      <c r="H29" s="535">
        <v>38.25</v>
      </c>
      <c r="I29" s="531">
        <f t="shared" si="0"/>
        <v>97.39</v>
      </c>
      <c r="J29" s="531">
        <f t="shared" si="1"/>
        <v>187.94</v>
      </c>
      <c r="K29" s="531">
        <f t="shared" si="2"/>
        <v>12.529333333333334</v>
      </c>
      <c r="L29" s="530">
        <f t="shared" si="3"/>
        <v>99.127329749103936</v>
      </c>
      <c r="M29" s="530">
        <f t="shared" si="4"/>
        <v>98.315949820788532</v>
      </c>
      <c r="N29" s="530" t="e">
        <f>J29+'Nov ANX II'!N29</f>
        <v>#REF!</v>
      </c>
      <c r="O29" s="532" t="e">
        <f t="shared" si="5"/>
        <v>#REF!</v>
      </c>
      <c r="P29" s="530" t="e">
        <f t="shared" si="6"/>
        <v>#REF!</v>
      </c>
      <c r="Q29" s="530" t="e">
        <f t="shared" si="7"/>
        <v>#REF!</v>
      </c>
      <c r="R29" s="265"/>
      <c r="S29" s="265" t="e">
        <f t="shared" si="8"/>
        <v>#REF!</v>
      </c>
      <c r="T29" s="265" t="e">
        <f t="shared" si="8"/>
        <v>#REF!</v>
      </c>
    </row>
    <row r="30" spans="1:20" s="266" customFormat="1" ht="24.95" customHeight="1">
      <c r="A30" s="228">
        <v>17</v>
      </c>
      <c r="B30" s="229" t="s">
        <v>63</v>
      </c>
      <c r="C30" s="534">
        <v>12</v>
      </c>
      <c r="D30" s="534">
        <v>12</v>
      </c>
      <c r="E30" s="541">
        <v>54.48</v>
      </c>
      <c r="F30" s="531" t="e">
        <f>E30+'Nov ANX II'!F30</f>
        <v>#REF!</v>
      </c>
      <c r="G30" s="542">
        <v>58.06</v>
      </c>
      <c r="H30" s="541">
        <v>47.25</v>
      </c>
      <c r="I30" s="531">
        <f t="shared" si="0"/>
        <v>105.31</v>
      </c>
      <c r="J30" s="531">
        <f t="shared" si="1"/>
        <v>159.79</v>
      </c>
      <c r="K30" s="531">
        <f t="shared" si="2"/>
        <v>13.315833333333332</v>
      </c>
      <c r="L30" s="530">
        <f t="shared" si="3"/>
        <v>98.820452508960571</v>
      </c>
      <c r="M30" s="530">
        <f t="shared" si="4"/>
        <v>98.210237455197117</v>
      </c>
      <c r="N30" s="530" t="e">
        <f>J30+'Nov ANX II'!N30</f>
        <v>#REF!</v>
      </c>
      <c r="O30" s="532" t="e">
        <f t="shared" si="5"/>
        <v>#REF!</v>
      </c>
      <c r="P30" s="530" t="e">
        <f t="shared" si="6"/>
        <v>#REF!</v>
      </c>
      <c r="Q30" s="530" t="e">
        <f t="shared" si="7"/>
        <v>#REF!</v>
      </c>
      <c r="R30" s="265"/>
      <c r="S30" s="265" t="e">
        <f t="shared" si="8"/>
        <v>#REF!</v>
      </c>
      <c r="T30" s="265" t="e">
        <f t="shared" si="8"/>
        <v>#REF!</v>
      </c>
    </row>
    <row r="31" spans="1:20" s="266" customFormat="1" ht="24.95" customHeight="1">
      <c r="A31" s="228">
        <v>18</v>
      </c>
      <c r="B31" s="229" t="s">
        <v>50</v>
      </c>
      <c r="C31" s="543">
        <v>49</v>
      </c>
      <c r="D31" s="543">
        <v>49</v>
      </c>
      <c r="E31" s="533">
        <v>266.25000000000006</v>
      </c>
      <c r="F31" s="531" t="e">
        <f>E31+'Nov ANX II'!F31</f>
        <v>#REF!</v>
      </c>
      <c r="G31" s="555">
        <v>1586.78</v>
      </c>
      <c r="H31" s="555">
        <v>2934.32</v>
      </c>
      <c r="I31" s="531">
        <f>G31+H31</f>
        <v>4521.1000000000004</v>
      </c>
      <c r="J31" s="531">
        <f>E31+I31</f>
        <v>4787.3500000000004</v>
      </c>
      <c r="K31" s="531">
        <f>J31/C31</f>
        <v>97.701020408163274</v>
      </c>
      <c r="L31" s="530">
        <f t="shared" si="3"/>
        <v>87.598474873820493</v>
      </c>
      <c r="M31" s="530">
        <f t="shared" si="4"/>
        <v>86.868142418257619</v>
      </c>
      <c r="N31" s="530" t="e">
        <f>J31+'Nov ANX II'!N31</f>
        <v>#REF!</v>
      </c>
      <c r="O31" s="532" t="e">
        <f t="shared" si="5"/>
        <v>#REF!</v>
      </c>
      <c r="P31" s="530" t="e">
        <f t="shared" si="6"/>
        <v>#REF!</v>
      </c>
      <c r="Q31" s="530" t="e">
        <f t="shared" si="7"/>
        <v>#REF!</v>
      </c>
      <c r="R31" s="265" t="str">
        <f>'[2]Annexure II'!B8</f>
        <v>Devanahalli</v>
      </c>
      <c r="S31" s="265" t="e">
        <f t="shared" si="8"/>
        <v>#REF!</v>
      </c>
      <c r="T31" s="265" t="e">
        <f t="shared" si="8"/>
        <v>#REF!</v>
      </c>
    </row>
    <row r="32" spans="1:20" s="266" customFormat="1" ht="24.95" customHeight="1">
      <c r="A32" s="228">
        <v>19</v>
      </c>
      <c r="B32" s="229" t="s">
        <v>51</v>
      </c>
      <c r="C32" s="544">
        <v>59</v>
      </c>
      <c r="D32" s="544">
        <v>59</v>
      </c>
      <c r="E32" s="533">
        <v>671.84999999999991</v>
      </c>
      <c r="F32" s="531" t="e">
        <f>E32+'Nov ANX II'!F32</f>
        <v>#REF!</v>
      </c>
      <c r="G32" s="530">
        <v>2363.7366666666667</v>
      </c>
      <c r="H32" s="530">
        <v>3122.036666666666</v>
      </c>
      <c r="I32" s="531">
        <f t="shared" si="0"/>
        <v>5485.7733333333326</v>
      </c>
      <c r="J32" s="531">
        <f t="shared" si="1"/>
        <v>6157.623333333333</v>
      </c>
      <c r="K32" s="531">
        <f t="shared" si="2"/>
        <v>104.36649717514123</v>
      </c>
      <c r="L32" s="530">
        <f t="shared" si="3"/>
        <v>87.502794483931723</v>
      </c>
      <c r="M32" s="530">
        <f t="shared" si="4"/>
        <v>85.972245003341229</v>
      </c>
      <c r="N32" s="530" t="e">
        <f>J32+'Nov ANX II'!N32</f>
        <v>#REF!</v>
      </c>
      <c r="O32" s="532" t="e">
        <f t="shared" si="5"/>
        <v>#REF!</v>
      </c>
      <c r="P32" s="530" t="e">
        <f t="shared" si="6"/>
        <v>#REF!</v>
      </c>
      <c r="Q32" s="530" t="e">
        <f t="shared" si="7"/>
        <v>#REF!</v>
      </c>
      <c r="R32" s="265" t="str">
        <f>'[2]Annexure II'!B9</f>
        <v>Hosakote</v>
      </c>
      <c r="S32" s="265" t="e">
        <f t="shared" si="8"/>
        <v>#REF!</v>
      </c>
      <c r="T32" s="265" t="e">
        <f t="shared" si="8"/>
        <v>#REF!</v>
      </c>
    </row>
    <row r="33" spans="1:20" s="266" customFormat="1" ht="24.95" customHeight="1">
      <c r="A33" s="228">
        <v>20</v>
      </c>
      <c r="B33" s="229" t="s">
        <v>52</v>
      </c>
      <c r="C33" s="543">
        <v>48</v>
      </c>
      <c r="D33" s="543">
        <v>48</v>
      </c>
      <c r="E33" s="533">
        <v>58.249999999999972</v>
      </c>
      <c r="F33" s="531" t="e">
        <f>E33+'Nov ANX II'!F33</f>
        <v>#REF!</v>
      </c>
      <c r="G33" s="530">
        <v>842.72</v>
      </c>
      <c r="H33" s="530">
        <v>521.03</v>
      </c>
      <c r="I33" s="531">
        <f t="shared" si="0"/>
        <v>1363.75</v>
      </c>
      <c r="J33" s="531">
        <f t="shared" si="1"/>
        <v>1422</v>
      </c>
      <c r="K33" s="531">
        <f t="shared" si="2"/>
        <v>29.625</v>
      </c>
      <c r="L33" s="530">
        <f t="shared" si="3"/>
        <v>96.181255600358426</v>
      </c>
      <c r="M33" s="530">
        <f t="shared" si="4"/>
        <v>96.01814516129032</v>
      </c>
      <c r="N33" s="530" t="e">
        <f>J33+'Nov ANX II'!N33</f>
        <v>#REF!</v>
      </c>
      <c r="O33" s="532" t="e">
        <f t="shared" si="5"/>
        <v>#REF!</v>
      </c>
      <c r="P33" s="530" t="e">
        <f t="shared" si="6"/>
        <v>#REF!</v>
      </c>
      <c r="Q33" s="530" t="e">
        <f t="shared" si="7"/>
        <v>#REF!</v>
      </c>
      <c r="R33" s="265" t="str">
        <f>'[2]Annexure II'!B10</f>
        <v>Nelamangala</v>
      </c>
      <c r="S33" s="265" t="e">
        <f t="shared" si="8"/>
        <v>#REF!</v>
      </c>
      <c r="T33" s="265" t="e">
        <f t="shared" si="8"/>
        <v>#REF!</v>
      </c>
    </row>
    <row r="34" spans="1:20" s="266" customFormat="1" ht="28.5" customHeight="1">
      <c r="A34" s="228">
        <v>21</v>
      </c>
      <c r="B34" s="229" t="s">
        <v>53</v>
      </c>
      <c r="C34" s="543">
        <v>36</v>
      </c>
      <c r="D34" s="543">
        <v>36</v>
      </c>
      <c r="E34" s="533">
        <v>72.650000000000006</v>
      </c>
      <c r="F34" s="531" t="e">
        <f>E34+'Nov ANX II'!F34</f>
        <v>#REF!</v>
      </c>
      <c r="G34" s="530">
        <v>227.00000000000011</v>
      </c>
      <c r="H34" s="530">
        <v>256.05</v>
      </c>
      <c r="I34" s="531">
        <f t="shared" si="0"/>
        <v>483.05000000000013</v>
      </c>
      <c r="J34" s="531">
        <f t="shared" si="1"/>
        <v>555.70000000000016</v>
      </c>
      <c r="K34" s="531">
        <f t="shared" si="2"/>
        <v>15.436111111111115</v>
      </c>
      <c r="L34" s="530">
        <f t="shared" si="3"/>
        <v>98.196497909199522</v>
      </c>
      <c r="M34" s="530">
        <f t="shared" si="4"/>
        <v>97.925253882915172</v>
      </c>
      <c r="N34" s="530" t="e">
        <f>J34+'Nov ANX II'!N34</f>
        <v>#REF!</v>
      </c>
      <c r="O34" s="532" t="e">
        <f t="shared" si="5"/>
        <v>#REF!</v>
      </c>
      <c r="P34" s="530" t="e">
        <f t="shared" si="6"/>
        <v>#REF!</v>
      </c>
      <c r="Q34" s="530" t="e">
        <f t="shared" si="7"/>
        <v>#REF!</v>
      </c>
      <c r="R34" s="265" t="str">
        <f>'[2]Annexure II'!B11</f>
        <v>Doddaballapura</v>
      </c>
      <c r="S34" s="265" t="e">
        <f t="shared" si="8"/>
        <v>#REF!</v>
      </c>
      <c r="T34" s="265" t="e">
        <f t="shared" si="8"/>
        <v>#REF!</v>
      </c>
    </row>
    <row r="35" spans="1:20" s="266" customFormat="1" ht="24.95" customHeight="1">
      <c r="A35" s="228">
        <v>22</v>
      </c>
      <c r="B35" s="229" t="s">
        <v>54</v>
      </c>
      <c r="C35" s="533">
        <f>14+12</f>
        <v>26</v>
      </c>
      <c r="D35" s="533">
        <v>26</v>
      </c>
      <c r="E35" s="533">
        <f>29.8+6.57</f>
        <v>36.370000000000005</v>
      </c>
      <c r="F35" s="531" t="e">
        <f>E35+'Nov ANX II'!F35</f>
        <v>#REF!</v>
      </c>
      <c r="G35" s="530">
        <f>124+9.09</f>
        <v>133.09</v>
      </c>
      <c r="H35" s="530">
        <f>134.4+2.65</f>
        <v>137.05000000000001</v>
      </c>
      <c r="I35" s="531">
        <f t="shared" si="0"/>
        <v>270.14</v>
      </c>
      <c r="J35" s="531">
        <f t="shared" si="1"/>
        <v>306.51</v>
      </c>
      <c r="K35" s="531">
        <f t="shared" si="2"/>
        <v>11.788846153846153</v>
      </c>
      <c r="L35" s="530">
        <f t="shared" si="3"/>
        <v>98.603494623655919</v>
      </c>
      <c r="M35" s="530">
        <f t="shared" si="4"/>
        <v>98.415477667493803</v>
      </c>
      <c r="N35" s="530" t="e">
        <f>J35+'Nov ANX II'!N35</f>
        <v>#REF!</v>
      </c>
      <c r="O35" s="532" t="e">
        <f t="shared" si="5"/>
        <v>#REF!</v>
      </c>
      <c r="P35" s="530" t="e">
        <f t="shared" si="6"/>
        <v>#REF!</v>
      </c>
      <c r="Q35" s="530" t="e">
        <f t="shared" si="7"/>
        <v>#REF!</v>
      </c>
      <c r="R35" s="265" t="str">
        <f>'[2]Annexure II'!B12</f>
        <v>Magadi</v>
      </c>
      <c r="S35" s="265" t="e">
        <f t="shared" si="8"/>
        <v>#REF!</v>
      </c>
      <c r="T35" s="265" t="e">
        <f t="shared" si="8"/>
        <v>#REF!</v>
      </c>
    </row>
    <row r="36" spans="1:20" s="266" customFormat="1" ht="24.95" customHeight="1">
      <c r="A36" s="228">
        <v>23</v>
      </c>
      <c r="B36" s="229" t="s">
        <v>49</v>
      </c>
      <c r="C36" s="545">
        <v>127</v>
      </c>
      <c r="D36" s="545">
        <v>127</v>
      </c>
      <c r="E36" s="530">
        <v>41.708333333333336</v>
      </c>
      <c r="F36" s="531" t="e">
        <f>E36+'Nov ANX II'!F36</f>
        <v>#REF!</v>
      </c>
      <c r="G36" s="530">
        <v>41.708333333333336</v>
      </c>
      <c r="H36" s="530">
        <v>29.751388888888897</v>
      </c>
      <c r="I36" s="531">
        <f>G36+H36</f>
        <v>71.45972222222224</v>
      </c>
      <c r="J36" s="531">
        <f t="shared" si="1"/>
        <v>113.16805555555558</v>
      </c>
      <c r="K36" s="531">
        <f t="shared" si="2"/>
        <v>0.89108705161854784</v>
      </c>
      <c r="L36" s="530">
        <f t="shared" si="3"/>
        <v>99.924371642724765</v>
      </c>
      <c r="M36" s="530">
        <f t="shared" si="4"/>
        <v>99.880230234997498</v>
      </c>
      <c r="N36" s="530" t="e">
        <f>J36+'Nov ANX II'!N36</f>
        <v>#REF!</v>
      </c>
      <c r="O36" s="532" t="e">
        <f t="shared" si="5"/>
        <v>#REF!</v>
      </c>
      <c r="P36" s="530" t="e">
        <f t="shared" si="6"/>
        <v>#REF!</v>
      </c>
      <c r="Q36" s="530" t="e">
        <f t="shared" si="7"/>
        <v>#REF!</v>
      </c>
      <c r="R36" s="265" t="str">
        <f>'[2]Annexure II'!B7</f>
        <v>Anekal</v>
      </c>
      <c r="S36" s="265" t="e">
        <f>L36-P36</f>
        <v>#REF!</v>
      </c>
      <c r="T36" s="265" t="e">
        <f>M36-Q36</f>
        <v>#REF!</v>
      </c>
    </row>
    <row r="37" spans="1:20" s="266" customFormat="1" ht="24.95" customHeight="1">
      <c r="A37" s="228">
        <v>24</v>
      </c>
      <c r="B37" s="229" t="s">
        <v>32</v>
      </c>
      <c r="C37" s="546">
        <v>24</v>
      </c>
      <c r="D37" s="546">
        <v>24</v>
      </c>
      <c r="E37" s="530">
        <v>14.18</v>
      </c>
      <c r="F37" s="531" t="e">
        <f>E37+'Nov ANX II'!F37</f>
        <v>#REF!</v>
      </c>
      <c r="G37" s="530">
        <v>29.955694444444443</v>
      </c>
      <c r="H37" s="530">
        <v>29.902916666666666</v>
      </c>
      <c r="I37" s="531">
        <f t="shared" si="0"/>
        <v>59.858611111111109</v>
      </c>
      <c r="J37" s="531">
        <f t="shared" si="1"/>
        <v>74.038611111111109</v>
      </c>
      <c r="K37" s="531">
        <f t="shared" si="2"/>
        <v>3.0849421296296295</v>
      </c>
      <c r="L37" s="530">
        <f t="shared" si="3"/>
        <v>99.664770323078457</v>
      </c>
      <c r="M37" s="530">
        <f t="shared" si="4"/>
        <v>99.585357240641187</v>
      </c>
      <c r="N37" s="530" t="e">
        <f>J37+'Nov ANX II'!N37</f>
        <v>#REF!</v>
      </c>
      <c r="O37" s="532" t="e">
        <f t="shared" si="5"/>
        <v>#REF!</v>
      </c>
      <c r="P37" s="530" t="e">
        <f t="shared" si="6"/>
        <v>#REF!</v>
      </c>
      <c r="Q37" s="530" t="e">
        <f t="shared" si="7"/>
        <v>#REF!</v>
      </c>
      <c r="R37" s="265" t="str">
        <f>'[2]Annexure II'!B13</f>
        <v>Ramanagara</v>
      </c>
      <c r="S37" s="265" t="e">
        <f t="shared" si="8"/>
        <v>#REF!</v>
      </c>
      <c r="T37" s="265" t="e">
        <f t="shared" si="8"/>
        <v>#REF!</v>
      </c>
    </row>
    <row r="38" spans="1:20" s="266" customFormat="1" ht="24.95" customHeight="1">
      <c r="A38" s="228">
        <v>25</v>
      </c>
      <c r="B38" s="229" t="s">
        <v>55</v>
      </c>
      <c r="C38" s="547">
        <v>7</v>
      </c>
      <c r="D38" s="546">
        <v>7</v>
      </c>
      <c r="E38" s="530">
        <v>41.129999999999995</v>
      </c>
      <c r="F38" s="531" t="e">
        <f>E38+'Nov ANX II'!F38</f>
        <v>#REF!</v>
      </c>
      <c r="G38" s="530">
        <v>38.31527777777778</v>
      </c>
      <c r="H38" s="530">
        <v>15.227777777777778</v>
      </c>
      <c r="I38" s="531">
        <f t="shared" si="0"/>
        <v>53.543055555555554</v>
      </c>
      <c r="J38" s="531">
        <f t="shared" si="1"/>
        <v>94.67305555555555</v>
      </c>
      <c r="K38" s="531">
        <f t="shared" si="2"/>
        <v>13.524722222222222</v>
      </c>
      <c r="L38" s="530">
        <f t="shared" si="3"/>
        <v>98.971907535415596</v>
      </c>
      <c r="M38" s="530">
        <f t="shared" si="4"/>
        <v>98.182160991636792</v>
      </c>
      <c r="N38" s="530" t="e">
        <f>J38+'Nov ANX II'!N38</f>
        <v>#REF!</v>
      </c>
      <c r="O38" s="532" t="e">
        <f t="shared" si="5"/>
        <v>#REF!</v>
      </c>
      <c r="P38" s="530" t="e">
        <f t="shared" si="6"/>
        <v>#REF!</v>
      </c>
      <c r="Q38" s="530" t="e">
        <f t="shared" si="7"/>
        <v>#REF!</v>
      </c>
      <c r="R38" s="265" t="str">
        <f>'[2]Annexure II'!B14</f>
        <v>Channapatna</v>
      </c>
      <c r="S38" s="265" t="e">
        <f t="shared" si="8"/>
        <v>#REF!</v>
      </c>
      <c r="T38" s="265" t="e">
        <f t="shared" si="8"/>
        <v>#REF!</v>
      </c>
    </row>
    <row r="39" spans="1:20" s="266" customFormat="1" ht="24.95" customHeight="1">
      <c r="A39" s="228">
        <v>26</v>
      </c>
      <c r="B39" s="229" t="s">
        <v>56</v>
      </c>
      <c r="C39" s="547">
        <v>22</v>
      </c>
      <c r="D39" s="546">
        <v>22</v>
      </c>
      <c r="E39" s="555">
        <v>5.03</v>
      </c>
      <c r="F39" s="531" t="e">
        <f>E39+'Nov ANX II'!F39</f>
        <v>#REF!</v>
      </c>
      <c r="G39" s="530">
        <v>6.9472222222222229</v>
      </c>
      <c r="H39" s="530">
        <v>2.6479166666666671</v>
      </c>
      <c r="I39" s="531">
        <f t="shared" si="0"/>
        <v>9.59513888888889</v>
      </c>
      <c r="J39" s="531">
        <f t="shared" si="1"/>
        <v>14.625138888888891</v>
      </c>
      <c r="K39" s="531">
        <f t="shared" si="2"/>
        <v>0.66477904040404046</v>
      </c>
      <c r="L39" s="530">
        <f t="shared" si="3"/>
        <v>99.941378672477455</v>
      </c>
      <c r="M39" s="530">
        <f t="shared" si="4"/>
        <v>99.910647978440323</v>
      </c>
      <c r="N39" s="530" t="e">
        <f>J39+'Nov ANX II'!N39</f>
        <v>#REF!</v>
      </c>
      <c r="O39" s="532" t="e">
        <f t="shared" si="5"/>
        <v>#REF!</v>
      </c>
      <c r="P39" s="530" t="e">
        <f t="shared" si="6"/>
        <v>#REF!</v>
      </c>
      <c r="Q39" s="530" t="e">
        <f t="shared" si="7"/>
        <v>#REF!</v>
      </c>
      <c r="R39" s="265" t="str">
        <f>'[2]Annexure II'!B15</f>
        <v>Kanakapura</v>
      </c>
      <c r="S39" s="265" t="e">
        <f t="shared" si="8"/>
        <v>#REF!</v>
      </c>
      <c r="T39" s="265" t="e">
        <f t="shared" si="8"/>
        <v>#REF!</v>
      </c>
    </row>
    <row r="40" spans="1:20" s="494" customFormat="1" ht="24.95" customHeight="1">
      <c r="A40" s="490"/>
      <c r="B40" s="491"/>
      <c r="C40" s="492"/>
      <c r="D40" s="492"/>
      <c r="E40" s="492"/>
      <c r="F40" s="492"/>
      <c r="G40" s="492"/>
      <c r="H40" s="492"/>
      <c r="I40" s="438"/>
      <c r="J40" s="438"/>
      <c r="K40" s="438"/>
      <c r="L40" s="438"/>
      <c r="M40" s="438"/>
      <c r="N40" s="438"/>
      <c r="O40" s="438"/>
      <c r="P40" s="438"/>
      <c r="Q40" s="438"/>
      <c r="R40" s="493"/>
      <c r="S40" s="493"/>
      <c r="T40" s="493"/>
    </row>
    <row r="41" spans="1:20" s="494" customFormat="1" ht="24.95" customHeight="1">
      <c r="A41" s="927" t="s">
        <v>116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  <c r="L41" s="927"/>
      <c r="M41" s="927"/>
      <c r="N41" s="927"/>
      <c r="O41" s="927"/>
      <c r="P41" s="927"/>
      <c r="Q41" s="927"/>
      <c r="R41" s="493"/>
      <c r="S41" s="493"/>
      <c r="T41" s="493"/>
    </row>
    <row r="42" spans="1:20" ht="18.75" customHeight="1" thickBot="1">
      <c r="B42" s="495"/>
      <c r="C42" s="496">
        <f>SUM(C14:C39)</f>
        <v>516</v>
      </c>
      <c r="D42" s="496">
        <f t="shared" ref="D42:O42" si="9">SUM(D14:D39)</f>
        <v>516</v>
      </c>
      <c r="E42" s="496">
        <f t="shared" si="9"/>
        <v>1617.1722572834803</v>
      </c>
      <c r="F42" s="496" t="e">
        <f t="shared" si="9"/>
        <v>#REF!</v>
      </c>
      <c r="G42" s="496">
        <f t="shared" si="9"/>
        <v>6306.1331944444446</v>
      </c>
      <c r="H42" s="496">
        <f t="shared" si="9"/>
        <v>7723.9366666666674</v>
      </c>
      <c r="I42" s="497">
        <f t="shared" si="9"/>
        <v>14030.069861111109</v>
      </c>
      <c r="J42" s="497">
        <f t="shared" si="9"/>
        <v>15647.242118394592</v>
      </c>
      <c r="K42" s="497">
        <f t="shared" si="9"/>
        <v>642.39926928146008</v>
      </c>
      <c r="L42" s="498">
        <f>+(((C42*24)*30)-I42)*100/((C42*24)*30)</f>
        <v>96.223603073559673</v>
      </c>
      <c r="M42" s="498">
        <f>+(((C42*24)*30)-J42)*100/((C42*24)*30)</f>
        <v>95.788317689923929</v>
      </c>
      <c r="N42" s="497" t="e">
        <f t="shared" si="9"/>
        <v>#REF!</v>
      </c>
      <c r="O42" s="497" t="e">
        <f t="shared" si="9"/>
        <v>#REF!</v>
      </c>
      <c r="P42" s="498" t="e">
        <f>((C42*24*30)-(N42-E42))*100/(C42*24*30)</f>
        <v>#REF!</v>
      </c>
      <c r="Q42" s="498" t="e">
        <f>((C42*24*30)-(N42))*100/(C42*24*30)</f>
        <v>#REF!</v>
      </c>
    </row>
    <row r="43" spans="1:20" s="499" customFormat="1" ht="63" customHeight="1" thickBot="1">
      <c r="A43" s="928" t="s">
        <v>100</v>
      </c>
      <c r="B43" s="929"/>
      <c r="C43" s="929"/>
      <c r="D43" s="929"/>
      <c r="E43" s="929"/>
      <c r="F43" s="929"/>
      <c r="G43" s="929"/>
      <c r="H43" s="929"/>
      <c r="I43" s="929"/>
      <c r="J43" s="929"/>
      <c r="K43" s="929"/>
      <c r="L43" s="929"/>
      <c r="M43" s="929"/>
      <c r="N43" s="929"/>
      <c r="O43" s="929"/>
      <c r="P43" s="929"/>
      <c r="Q43" s="930"/>
    </row>
    <row r="44" spans="1:20" s="499" customFormat="1" ht="80.25" customHeight="1">
      <c r="A44" s="928" t="s">
        <v>101</v>
      </c>
      <c r="B44" s="929"/>
      <c r="C44" s="929"/>
      <c r="D44" s="929"/>
      <c r="E44" s="929"/>
      <c r="F44" s="929"/>
      <c r="G44" s="929"/>
      <c r="H44" s="929"/>
      <c r="I44" s="929"/>
      <c r="J44" s="929"/>
      <c r="K44" s="929"/>
      <c r="L44" s="929"/>
      <c r="M44" s="929"/>
      <c r="N44" s="929"/>
      <c r="O44" s="929"/>
      <c r="P44" s="929"/>
      <c r="Q44" s="930"/>
    </row>
    <row r="45" spans="1:20" ht="20.25" hidden="1" customHeight="1">
      <c r="A45" s="895" t="s">
        <v>36</v>
      </c>
      <c r="B45" s="896"/>
      <c r="C45" s="896"/>
      <c r="D45" s="896"/>
      <c r="E45" s="896"/>
      <c r="F45" s="896"/>
      <c r="G45" s="896"/>
      <c r="H45" s="896"/>
      <c r="I45" s="896"/>
      <c r="J45" s="896"/>
      <c r="K45" s="896"/>
      <c r="L45" s="896"/>
      <c r="M45" s="896"/>
      <c r="N45" s="896"/>
      <c r="O45" s="896"/>
      <c r="P45" s="896"/>
      <c r="Q45" s="897"/>
    </row>
    <row r="46" spans="1:20" ht="27" hidden="1" customHeight="1" thickBot="1">
      <c r="A46" s="898"/>
      <c r="B46" s="899"/>
      <c r="C46" s="899"/>
      <c r="D46" s="899"/>
      <c r="E46" s="899"/>
      <c r="F46" s="899"/>
      <c r="G46" s="899"/>
      <c r="H46" s="899"/>
      <c r="I46" s="899"/>
      <c r="J46" s="899"/>
      <c r="K46" s="899"/>
      <c r="L46" s="899"/>
      <c r="M46" s="899"/>
      <c r="N46" s="899"/>
      <c r="O46" s="899"/>
      <c r="P46" s="899"/>
      <c r="Q46" s="900"/>
    </row>
    <row r="47" spans="1:20" hidden="1"/>
    <row r="54" spans="3:17">
      <c r="C54" s="479" t="e">
        <f>su</f>
        <v>#NAME?</v>
      </c>
      <c r="P54" s="500"/>
      <c r="Q54" s="500"/>
    </row>
    <row r="55" spans="3:17">
      <c r="C55" s="496"/>
      <c r="N55" s="500"/>
    </row>
    <row r="56" spans="3:17">
      <c r="N56" s="500"/>
    </row>
    <row r="58" spans="3:17">
      <c r="H58" s="479">
        <f>4667/89</f>
        <v>52.438202247191015</v>
      </c>
    </row>
    <row r="59" spans="3:17">
      <c r="E59" s="479">
        <f>2362/24</f>
        <v>98.416666666666671</v>
      </c>
    </row>
    <row r="65" spans="3:18">
      <c r="C65" s="479">
        <v>2</v>
      </c>
      <c r="D65" s="479">
        <v>2</v>
      </c>
      <c r="E65" s="479">
        <v>8</v>
      </c>
    </row>
    <row r="66" spans="3:18">
      <c r="C66" s="479">
        <v>5</v>
      </c>
      <c r="D66" s="479">
        <v>5</v>
      </c>
      <c r="E66" s="479">
        <v>12</v>
      </c>
    </row>
    <row r="67" spans="3:18">
      <c r="C67" s="479">
        <v>7</v>
      </c>
      <c r="D67" s="479">
        <v>7</v>
      </c>
      <c r="E67" s="479">
        <v>18</v>
      </c>
    </row>
    <row r="68" spans="3:18">
      <c r="C68" s="479">
        <v>2</v>
      </c>
      <c r="D68" s="479">
        <v>2</v>
      </c>
      <c r="E68" s="479">
        <v>22</v>
      </c>
    </row>
    <row r="69" spans="3:18">
      <c r="C69" s="479">
        <v>2</v>
      </c>
      <c r="D69" s="479">
        <v>2</v>
      </c>
      <c r="E69" s="479">
        <v>25</v>
      </c>
    </row>
    <row r="70" spans="3:18">
      <c r="C70" s="479">
        <v>2</v>
      </c>
      <c r="D70" s="479">
        <v>2</v>
      </c>
      <c r="E70" s="479">
        <v>42</v>
      </c>
    </row>
    <row r="71" spans="3:18" ht="20.25">
      <c r="C71" s="479">
        <v>4</v>
      </c>
      <c r="D71" s="479">
        <v>4</v>
      </c>
      <c r="E71" s="479">
        <v>105</v>
      </c>
      <c r="I71" s="499">
        <f>20000</f>
        <v>20000</v>
      </c>
    </row>
    <row r="72" spans="3:18" ht="20.25">
      <c r="C72" s="479">
        <v>1</v>
      </c>
      <c r="D72" s="479">
        <v>1</v>
      </c>
      <c r="E72" s="479">
        <v>54</v>
      </c>
      <c r="I72" s="499">
        <v>5000</v>
      </c>
    </row>
    <row r="73" spans="3:18" ht="20.25">
      <c r="C73" s="479">
        <v>1</v>
      </c>
      <c r="D73" s="479">
        <v>1</v>
      </c>
      <c r="E73" s="479">
        <v>91</v>
      </c>
      <c r="I73" s="499">
        <v>5000</v>
      </c>
    </row>
    <row r="74" spans="3:18" ht="20.25">
      <c r="I74" s="499">
        <v>8000</v>
      </c>
    </row>
    <row r="75" spans="3:18" ht="20.25">
      <c r="I75" s="499">
        <f>SUM(I72:I74)</f>
        <v>18000</v>
      </c>
    </row>
    <row r="76" spans="3:18" ht="20.25">
      <c r="I76" s="499">
        <f>I71-I75</f>
        <v>2000</v>
      </c>
    </row>
    <row r="77" spans="3:18" ht="20.25">
      <c r="I77" s="499"/>
    </row>
    <row r="78" spans="3:18" ht="20.25">
      <c r="I78" s="499"/>
      <c r="L78" s="500">
        <f>L14+L15+L16+L18+L17+L19+L20+L21+L22+L23+L24+L25+L26+L27+L28+L29+L30+L36+L31+L32+L33+L34+L35+L37+L38+L39</f>
        <v>2524.142224239582</v>
      </c>
      <c r="M78" s="500">
        <f>M14+M15+M16+M18+M17+M19+M20+M21+M22+M23+M24+M25+M26+M27+M28+M29+M30+M36+M31+M32+M33+M34+M35+M37+M38+M39</f>
        <v>2513.6560121933521</v>
      </c>
      <c r="P78" s="500" t="e">
        <f>P14+P15+P16+P18+P17+P19+P20+P21+P22+P23+P24+P25+P26+P27+P28+P29+P30+P36+P31+P32+P33+P34+P35+P37+P38+P39</f>
        <v>#REF!</v>
      </c>
      <c r="Q78" s="500" t="e">
        <f>Q14+Q15+Q16+Q18+Q17+Q19+Q20+Q21+Q22+Q23+Q24+Q25+Q26+Q27+Q28+Q29+Q30+Q36+Q31+Q32+Q33+Q34+Q35+Q37+Q38+Q39</f>
        <v>#REF!</v>
      </c>
      <c r="R78" s="500" t="e">
        <f>R14+R15+R16+R18+R17+R19+R20+R23+R24+R25+R26+R27+R28+R29+R30+R36+R31+R32+R33+R34+R35+R37+R38+R39</f>
        <v>#VALUE!</v>
      </c>
    </row>
    <row r="79" spans="3:18">
      <c r="L79" s="480">
        <f>L78/26</f>
        <v>97.082393239983929</v>
      </c>
      <c r="M79" s="480">
        <f>M78/26</f>
        <v>96.679077392052008</v>
      </c>
      <c r="P79" s="480" t="e">
        <f>P78/26</f>
        <v>#REF!</v>
      </c>
      <c r="Q79" s="480" t="e">
        <f>Q78/26</f>
        <v>#REF!</v>
      </c>
    </row>
  </sheetData>
  <mergeCells count="17">
    <mergeCell ref="A45:Q46"/>
    <mergeCell ref="G11:I11"/>
    <mergeCell ref="J11:M11"/>
    <mergeCell ref="N11:Q11"/>
    <mergeCell ref="A41:Q41"/>
    <mergeCell ref="A43:Q43"/>
    <mergeCell ref="A44:Q44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</mergeCells>
  <printOptions horizontalCentered="1"/>
  <pageMargins left="0" right="0" top="0.5" bottom="0" header="0.19" footer="0.5"/>
  <pageSetup paperSize="9" scale="64" orientation="landscape" r:id="rId1"/>
  <headerFooter alignWithMargins="0"/>
  <rowBreaks count="1" manualBreakCount="1">
    <brk id="39" max="16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view="pageBreakPreview" topLeftCell="A16" zoomScale="85" zoomScaleSheetLayoutView="85" workbookViewId="0">
      <selection activeCell="I34" activeCellId="1" sqref="I34 L36"/>
    </sheetView>
  </sheetViews>
  <sheetFormatPr defaultRowHeight="15"/>
  <cols>
    <col min="1" max="1" width="5.85546875" style="501" customWidth="1"/>
    <col min="2" max="2" width="17.140625" style="501" customWidth="1"/>
    <col min="3" max="3" width="10.140625" style="501" customWidth="1"/>
    <col min="4" max="4" width="8.85546875" style="501" customWidth="1"/>
    <col min="5" max="5" width="11.28515625" style="501" customWidth="1"/>
    <col min="6" max="6" width="15.5703125" style="501" customWidth="1"/>
    <col min="7" max="7" width="14.5703125" style="507" customWidth="1"/>
    <col min="8" max="8" width="13.7109375" style="507" customWidth="1"/>
    <col min="9" max="9" width="15.42578125" style="501" customWidth="1"/>
    <col min="10" max="10" width="16.42578125" style="501" customWidth="1"/>
    <col min="11" max="11" width="12.28515625" style="501" customWidth="1"/>
    <col min="12" max="12" width="13.42578125" style="501" customWidth="1"/>
    <col min="13" max="13" width="14" style="501" customWidth="1"/>
    <col min="14" max="14" width="17.28515625" style="501" customWidth="1"/>
    <col min="15" max="15" width="13.140625" style="501" customWidth="1"/>
    <col min="16" max="16" width="11.42578125" style="501" customWidth="1"/>
    <col min="17" max="17" width="13.28515625" style="501" customWidth="1"/>
    <col min="18" max="18" width="18.28515625" style="501" bestFit="1" customWidth="1"/>
    <col min="19" max="19" width="19" style="501" bestFit="1" customWidth="1"/>
    <col min="20" max="20" width="9.28515625" style="501" bestFit="1" customWidth="1"/>
    <col min="21" max="16384" width="9.140625" style="501"/>
  </cols>
  <sheetData>
    <row r="1" spans="1:20" ht="24.75" customHeight="1">
      <c r="A1" s="921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</row>
    <row r="2" spans="1:20" ht="17.25" customHeight="1">
      <c r="A2" s="922" t="s">
        <v>57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</row>
    <row r="3" spans="1:20" s="473" customFormat="1" ht="18.75" customHeight="1">
      <c r="A3" s="903" t="s">
        <v>144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</row>
    <row r="4" spans="1:20" ht="14.25" customHeight="1">
      <c r="A4" s="931"/>
      <c r="B4" s="931"/>
      <c r="C4" s="931"/>
      <c r="D4" s="931"/>
      <c r="E4" s="485"/>
      <c r="F4" s="485"/>
      <c r="G4" s="484"/>
      <c r="H4" s="484"/>
      <c r="I4" s="485"/>
      <c r="J4" s="485"/>
      <c r="K4" s="485"/>
      <c r="L4" s="485"/>
      <c r="M4" s="485"/>
      <c r="N4" s="485"/>
      <c r="O4" s="485"/>
      <c r="P4" s="485"/>
      <c r="Q4" s="485"/>
    </row>
    <row r="5" spans="1:20" s="451" customFormat="1" ht="23.25" customHeight="1">
      <c r="A5" s="932" t="s">
        <v>2</v>
      </c>
      <c r="B5" s="932" t="s">
        <v>58</v>
      </c>
      <c r="C5" s="932" t="s">
        <v>4</v>
      </c>
      <c r="D5" s="932" t="s">
        <v>5</v>
      </c>
      <c r="E5" s="932" t="s">
        <v>6</v>
      </c>
      <c r="F5" s="932" t="s">
        <v>7</v>
      </c>
      <c r="G5" s="939" t="s">
        <v>39</v>
      </c>
      <c r="H5" s="939"/>
      <c r="I5" s="939"/>
      <c r="J5" s="939" t="s">
        <v>137</v>
      </c>
      <c r="K5" s="939"/>
      <c r="L5" s="939"/>
      <c r="M5" s="939"/>
      <c r="N5" s="939" t="s">
        <v>139</v>
      </c>
      <c r="O5" s="939"/>
      <c r="P5" s="939"/>
      <c r="Q5" s="939"/>
    </row>
    <row r="6" spans="1:20" s="451" customFormat="1" ht="117.75" customHeight="1">
      <c r="A6" s="932"/>
      <c r="B6" s="932"/>
      <c r="C6" s="932"/>
      <c r="D6" s="932"/>
      <c r="E6" s="932"/>
      <c r="F6" s="932"/>
      <c r="G6" s="503" t="s">
        <v>9</v>
      </c>
      <c r="H6" s="503" t="s">
        <v>10</v>
      </c>
      <c r="I6" s="503" t="s">
        <v>11</v>
      </c>
      <c r="J6" s="503" t="s">
        <v>12</v>
      </c>
      <c r="K6" s="503" t="s">
        <v>13</v>
      </c>
      <c r="L6" s="503" t="s">
        <v>78</v>
      </c>
      <c r="M6" s="503" t="s">
        <v>14</v>
      </c>
      <c r="N6" s="503" t="s">
        <v>145</v>
      </c>
      <c r="O6" s="503" t="s">
        <v>143</v>
      </c>
      <c r="P6" s="503" t="s">
        <v>141</v>
      </c>
      <c r="Q6" s="503" t="s">
        <v>142</v>
      </c>
    </row>
    <row r="7" spans="1:20" ht="18" customHeight="1">
      <c r="A7" s="487">
        <v>1</v>
      </c>
      <c r="B7" s="487" t="s">
        <v>40</v>
      </c>
      <c r="C7" s="487">
        <v>3</v>
      </c>
      <c r="D7" s="487">
        <v>4</v>
      </c>
      <c r="E7" s="487">
        <v>5</v>
      </c>
      <c r="F7" s="487" t="s">
        <v>19</v>
      </c>
      <c r="G7" s="488">
        <v>6</v>
      </c>
      <c r="H7" s="488">
        <v>7</v>
      </c>
      <c r="I7" s="487" t="s">
        <v>20</v>
      </c>
      <c r="J7" s="487" t="s">
        <v>21</v>
      </c>
      <c r="K7" s="489" t="s">
        <v>22</v>
      </c>
      <c r="L7" s="487" t="s">
        <v>23</v>
      </c>
      <c r="M7" s="487" t="s">
        <v>24</v>
      </c>
      <c r="N7" s="487">
        <v>13</v>
      </c>
      <c r="O7" s="487" t="s">
        <v>25</v>
      </c>
      <c r="P7" s="487">
        <v>15</v>
      </c>
      <c r="Q7" s="487">
        <v>16</v>
      </c>
    </row>
    <row r="8" spans="1:20" s="504" customFormat="1" ht="24.95" customHeight="1">
      <c r="A8" s="228">
        <v>1</v>
      </c>
      <c r="B8" s="229" t="s">
        <v>60</v>
      </c>
      <c r="C8" s="550">
        <v>230</v>
      </c>
      <c r="D8" s="550">
        <v>227</v>
      </c>
      <c r="E8" s="551">
        <v>112.35</v>
      </c>
      <c r="F8" s="531">
        <f>E8+'[3]Nov ANX III '!F8</f>
        <v>1408.56</v>
      </c>
      <c r="G8" s="551">
        <v>4547.7599999999984</v>
      </c>
      <c r="H8" s="551">
        <v>1765.2300000000005</v>
      </c>
      <c r="I8" s="531">
        <f>G8+H8</f>
        <v>6312.9899999999989</v>
      </c>
      <c r="J8" s="531">
        <f>E8+I8</f>
        <v>6425.3399999999992</v>
      </c>
      <c r="K8" s="531">
        <f>J8/C8</f>
        <v>27.936260869565213</v>
      </c>
      <c r="L8" s="530">
        <f>+(((C8*18)*31)-I8)*100/((C8*18)*31)</f>
        <v>95.081042543244507</v>
      </c>
      <c r="M8" s="530">
        <f>+(((C8*18)*31)-J8)*100/((C8*18)*31)</f>
        <v>94.993501636278637</v>
      </c>
      <c r="N8" s="530" t="e">
        <f>J8+'Nov ANX III '!N8</f>
        <v>#REF!</v>
      </c>
      <c r="O8" s="532" t="e">
        <f>N8/C8</f>
        <v>#REF!</v>
      </c>
      <c r="P8" s="530" t="e">
        <f>((C8*18*275)-(N8-E8))*100/(C8*18*275)</f>
        <v>#REF!</v>
      </c>
      <c r="Q8" s="530" t="e">
        <f>((C8*18*275)-(N8))*100/(C8*18*275)</f>
        <v>#REF!</v>
      </c>
      <c r="R8" s="428" t="e">
        <f>L8-P8</f>
        <v>#REF!</v>
      </c>
      <c r="S8" s="428" t="e">
        <f>M8-Q8</f>
        <v>#REF!</v>
      </c>
    </row>
    <row r="9" spans="1:20" s="504" customFormat="1" ht="24.95" customHeight="1">
      <c r="A9" s="228">
        <v>2</v>
      </c>
      <c r="B9" s="229" t="s">
        <v>43</v>
      </c>
      <c r="C9" s="550">
        <v>172</v>
      </c>
      <c r="D9" s="550">
        <v>172</v>
      </c>
      <c r="E9" s="551">
        <v>71.05</v>
      </c>
      <c r="F9" s="531">
        <f>E9+'[3]Nov ANX III '!F9</f>
        <v>749.91999999999985</v>
      </c>
      <c r="G9" s="551">
        <v>3674.3399999999997</v>
      </c>
      <c r="H9" s="551">
        <v>1556.92</v>
      </c>
      <c r="I9" s="531">
        <f t="shared" ref="I9:I30" si="0">G9+H9</f>
        <v>5231.26</v>
      </c>
      <c r="J9" s="531">
        <f t="shared" ref="J9:J30" si="1">E9+I9</f>
        <v>5302.31</v>
      </c>
      <c r="K9" s="531">
        <f t="shared" ref="K9:K30" si="2">J9/C9</f>
        <v>30.827383720930236</v>
      </c>
      <c r="L9" s="530">
        <f t="shared" ref="L9:L30" si="3">+(((C9*18)*31)-I9)*100/((C9*18)*31)</f>
        <v>94.549408185379676</v>
      </c>
      <c r="M9" s="530">
        <f t="shared" ref="M9:M30" si="4">+(((C9*18)*31)-J9)*100/((C9*18)*31)</f>
        <v>94.475379261482033</v>
      </c>
      <c r="N9" s="530" t="e">
        <f>J9+'Nov ANX III '!N9</f>
        <v>#REF!</v>
      </c>
      <c r="O9" s="532" t="e">
        <f t="shared" ref="O9:O30" si="5">N9/C9</f>
        <v>#REF!</v>
      </c>
      <c r="P9" s="530" t="e">
        <f t="shared" ref="P9:P30" si="6">((C9*18*275)-(N9-E9))*100/(C9*18*275)</f>
        <v>#REF!</v>
      </c>
      <c r="Q9" s="530" t="e">
        <f t="shared" ref="Q9:Q30" si="7">((C9*18*275)-(N9))*100/(C9*18*275)</f>
        <v>#REF!</v>
      </c>
      <c r="R9" s="428" t="e">
        <f t="shared" ref="R9:S56" si="8">L9-P9</f>
        <v>#REF!</v>
      </c>
      <c r="S9" s="428" t="e">
        <f t="shared" si="8"/>
        <v>#REF!</v>
      </c>
    </row>
    <row r="10" spans="1:20" s="504" customFormat="1" ht="24.95" customHeight="1">
      <c r="A10" s="228">
        <v>3</v>
      </c>
      <c r="B10" s="229" t="s">
        <v>27</v>
      </c>
      <c r="C10" s="550">
        <v>178</v>
      </c>
      <c r="D10" s="550">
        <v>178</v>
      </c>
      <c r="E10" s="551">
        <v>112.5</v>
      </c>
      <c r="F10" s="531">
        <f>E10+'[3]Nov ANX III '!F10</f>
        <v>1307.31</v>
      </c>
      <c r="G10" s="551">
        <v>3427.18</v>
      </c>
      <c r="H10" s="551">
        <v>3645.35</v>
      </c>
      <c r="I10" s="531">
        <f t="shared" si="0"/>
        <v>7072.53</v>
      </c>
      <c r="J10" s="531">
        <f t="shared" si="1"/>
        <v>7185.03</v>
      </c>
      <c r="K10" s="531">
        <f t="shared" si="2"/>
        <v>40.365337078651685</v>
      </c>
      <c r="L10" s="530">
        <f t="shared" si="3"/>
        <v>92.879334299867097</v>
      </c>
      <c r="M10" s="530">
        <f t="shared" si="4"/>
        <v>92.766068623897553</v>
      </c>
      <c r="N10" s="530" t="e">
        <f>J10+'Nov ANX III '!N10</f>
        <v>#REF!</v>
      </c>
      <c r="O10" s="532" t="e">
        <f t="shared" si="5"/>
        <v>#REF!</v>
      </c>
      <c r="P10" s="530" t="e">
        <f t="shared" si="6"/>
        <v>#REF!</v>
      </c>
      <c r="Q10" s="530" t="e">
        <f t="shared" si="7"/>
        <v>#REF!</v>
      </c>
      <c r="R10" s="428" t="e">
        <f t="shared" si="8"/>
        <v>#REF!</v>
      </c>
      <c r="S10" s="428" t="e">
        <f t="shared" si="8"/>
        <v>#REF!</v>
      </c>
    </row>
    <row r="11" spans="1:20" s="504" customFormat="1" ht="24.95" customHeight="1">
      <c r="A11" s="228">
        <v>4</v>
      </c>
      <c r="B11" s="229" t="s">
        <v>44</v>
      </c>
      <c r="C11" s="550">
        <v>192</v>
      </c>
      <c r="D11" s="550">
        <v>192</v>
      </c>
      <c r="E11" s="551">
        <v>49.012739456590062</v>
      </c>
      <c r="F11" s="531">
        <f>E11+'[3]Nov ANX III '!F11</f>
        <v>408.0546122860938</v>
      </c>
      <c r="G11" s="551">
        <v>1838.684</v>
      </c>
      <c r="H11" s="551">
        <v>1429.53</v>
      </c>
      <c r="I11" s="531">
        <f t="shared" si="0"/>
        <v>3268.2139999999999</v>
      </c>
      <c r="J11" s="531">
        <f t="shared" si="1"/>
        <v>3317.2267394565902</v>
      </c>
      <c r="K11" s="531">
        <f t="shared" si="2"/>
        <v>17.277222601336408</v>
      </c>
      <c r="L11" s="530">
        <f t="shared" si="3"/>
        <v>96.949471699522093</v>
      </c>
      <c r="M11" s="530">
        <f t="shared" si="4"/>
        <v>96.90372354814761</v>
      </c>
      <c r="N11" s="530" t="e">
        <f>J11+'Nov ANX III '!N11</f>
        <v>#REF!</v>
      </c>
      <c r="O11" s="532" t="e">
        <f t="shared" si="5"/>
        <v>#REF!</v>
      </c>
      <c r="P11" s="530" t="e">
        <f t="shared" si="6"/>
        <v>#REF!</v>
      </c>
      <c r="Q11" s="530" t="e">
        <f t="shared" si="7"/>
        <v>#REF!</v>
      </c>
      <c r="R11" s="428" t="e">
        <f t="shared" si="8"/>
        <v>#REF!</v>
      </c>
      <c r="S11" s="428" t="e">
        <f t="shared" si="8"/>
        <v>#REF!</v>
      </c>
    </row>
    <row r="12" spans="1:20" s="429" customFormat="1" ht="25.5" customHeight="1">
      <c r="A12" s="228">
        <v>5</v>
      </c>
      <c r="B12" s="229" t="s">
        <v>28</v>
      </c>
      <c r="C12" s="550">
        <v>385</v>
      </c>
      <c r="D12" s="550">
        <v>365</v>
      </c>
      <c r="E12" s="551">
        <v>38</v>
      </c>
      <c r="F12" s="531">
        <f>E12+'[3]Nov ANX III '!F12</f>
        <v>806.6</v>
      </c>
      <c r="G12" s="532">
        <v>4873.8500000000004</v>
      </c>
      <c r="H12" s="532">
        <v>9405.5499999999993</v>
      </c>
      <c r="I12" s="531">
        <f t="shared" si="0"/>
        <v>14279.4</v>
      </c>
      <c r="J12" s="531">
        <f t="shared" si="1"/>
        <v>14317.4</v>
      </c>
      <c r="K12" s="531">
        <f t="shared" si="2"/>
        <v>37.18805194805195</v>
      </c>
      <c r="L12" s="530">
        <f t="shared" si="3"/>
        <v>93.353162966066193</v>
      </c>
      <c r="M12" s="530">
        <f t="shared" si="4"/>
        <v>93.335474561281018</v>
      </c>
      <c r="N12" s="530" t="e">
        <f>J12+'Nov ANX III '!N12</f>
        <v>#REF!</v>
      </c>
      <c r="O12" s="532" t="e">
        <f t="shared" si="5"/>
        <v>#REF!</v>
      </c>
      <c r="P12" s="530" t="e">
        <f t="shared" si="6"/>
        <v>#REF!</v>
      </c>
      <c r="Q12" s="530" t="e">
        <f t="shared" si="7"/>
        <v>#REF!</v>
      </c>
      <c r="R12" s="428" t="e">
        <f t="shared" si="8"/>
        <v>#REF!</v>
      </c>
      <c r="S12" s="428" t="e">
        <f t="shared" si="8"/>
        <v>#REF!</v>
      </c>
      <c r="T12" s="429">
        <f>E12/60</f>
        <v>0.6333333333333333</v>
      </c>
    </row>
    <row r="13" spans="1:20" s="429" customFormat="1" ht="25.5" customHeight="1">
      <c r="A13" s="228">
        <v>6</v>
      </c>
      <c r="B13" s="505" t="s">
        <v>45</v>
      </c>
      <c r="C13" s="550">
        <v>187</v>
      </c>
      <c r="D13" s="550">
        <v>187</v>
      </c>
      <c r="E13" s="551">
        <v>52</v>
      </c>
      <c r="F13" s="531">
        <f>E13+'[3]Nov ANX III '!F13</f>
        <v>807.44999999999993</v>
      </c>
      <c r="G13" s="532">
        <v>2583</v>
      </c>
      <c r="H13" s="532">
        <v>5013</v>
      </c>
      <c r="I13" s="531">
        <f t="shared" si="0"/>
        <v>7596</v>
      </c>
      <c r="J13" s="531">
        <f t="shared" si="1"/>
        <v>7648</v>
      </c>
      <c r="K13" s="531">
        <f t="shared" si="2"/>
        <v>40.898395721925134</v>
      </c>
      <c r="L13" s="530">
        <f t="shared" si="3"/>
        <v>92.720372606520613</v>
      </c>
      <c r="M13" s="530">
        <f t="shared" si="4"/>
        <v>92.670538401088692</v>
      </c>
      <c r="N13" s="530" t="e">
        <f>J13+'Nov ANX III '!N13</f>
        <v>#REF!</v>
      </c>
      <c r="O13" s="532" t="e">
        <f t="shared" si="5"/>
        <v>#REF!</v>
      </c>
      <c r="P13" s="530" t="e">
        <f t="shared" si="6"/>
        <v>#REF!</v>
      </c>
      <c r="Q13" s="530" t="e">
        <f t="shared" si="7"/>
        <v>#REF!</v>
      </c>
      <c r="R13" s="428" t="e">
        <f t="shared" si="8"/>
        <v>#REF!</v>
      </c>
      <c r="S13" s="428" t="e">
        <f t="shared" si="8"/>
        <v>#REF!</v>
      </c>
      <c r="T13" s="429">
        <f>E13/60</f>
        <v>0.8666666666666667</v>
      </c>
    </row>
    <row r="14" spans="1:20" s="429" customFormat="1" ht="25.5" customHeight="1">
      <c r="A14" s="228">
        <v>7</v>
      </c>
      <c r="B14" s="505" t="s">
        <v>88</v>
      </c>
      <c r="C14" s="550">
        <v>289</v>
      </c>
      <c r="D14" s="550">
        <v>289</v>
      </c>
      <c r="E14" s="551">
        <v>47</v>
      </c>
      <c r="F14" s="531">
        <f>E14+'[3]Nov ANX III '!F14</f>
        <v>676.41</v>
      </c>
      <c r="G14" s="532">
        <v>4185.3329999999996</v>
      </c>
      <c r="H14" s="532">
        <v>4729.0829999999996</v>
      </c>
      <c r="I14" s="531">
        <f t="shared" si="0"/>
        <v>8914.4159999999993</v>
      </c>
      <c r="J14" s="531">
        <f t="shared" si="1"/>
        <v>8961.4159999999993</v>
      </c>
      <c r="K14" s="531">
        <f t="shared" si="2"/>
        <v>31.008359861591693</v>
      </c>
      <c r="L14" s="530">
        <f t="shared" si="3"/>
        <v>94.472091379246194</v>
      </c>
      <c r="M14" s="530">
        <f t="shared" si="4"/>
        <v>94.442946261363502</v>
      </c>
      <c r="N14" s="530" t="e">
        <f>J14+'Nov ANX III '!N14</f>
        <v>#REF!</v>
      </c>
      <c r="O14" s="532" t="e">
        <f t="shared" si="5"/>
        <v>#REF!</v>
      </c>
      <c r="P14" s="530" t="e">
        <f t="shared" si="6"/>
        <v>#REF!</v>
      </c>
      <c r="Q14" s="530" t="e">
        <f t="shared" si="7"/>
        <v>#REF!</v>
      </c>
      <c r="R14" s="428" t="e">
        <f t="shared" si="8"/>
        <v>#REF!</v>
      </c>
      <c r="S14" s="428" t="e">
        <f t="shared" si="8"/>
        <v>#REF!</v>
      </c>
      <c r="T14" s="429">
        <f>E14/60</f>
        <v>0.78333333333333333</v>
      </c>
    </row>
    <row r="15" spans="1:20" s="429" customFormat="1" ht="25.5" customHeight="1">
      <c r="A15" s="228">
        <v>8</v>
      </c>
      <c r="B15" s="505" t="s">
        <v>30</v>
      </c>
      <c r="C15" s="552">
        <v>134</v>
      </c>
      <c r="D15" s="552">
        <v>134</v>
      </c>
      <c r="E15" s="541">
        <v>50.6</v>
      </c>
      <c r="F15" s="531" t="e">
        <f>E15+'Nov ANX III '!F15</f>
        <v>#REF!</v>
      </c>
      <c r="G15" s="541">
        <v>231.04</v>
      </c>
      <c r="H15" s="541">
        <v>225.6</v>
      </c>
      <c r="I15" s="531">
        <f t="shared" si="0"/>
        <v>456.64</v>
      </c>
      <c r="J15" s="531">
        <f t="shared" si="1"/>
        <v>507.24</v>
      </c>
      <c r="K15" s="531">
        <f t="shared" si="2"/>
        <v>3.7853731343283581</v>
      </c>
      <c r="L15" s="530">
        <f t="shared" si="3"/>
        <v>99.389290108596796</v>
      </c>
      <c r="M15" s="530">
        <f t="shared" si="4"/>
        <v>99.321617717862296</v>
      </c>
      <c r="N15" s="530" t="e">
        <f>J15+'Nov ANX III '!N15</f>
        <v>#REF!</v>
      </c>
      <c r="O15" s="532" t="e">
        <f t="shared" si="5"/>
        <v>#REF!</v>
      </c>
      <c r="P15" s="530" t="e">
        <f t="shared" si="6"/>
        <v>#REF!</v>
      </c>
      <c r="Q15" s="530" t="e">
        <f t="shared" si="7"/>
        <v>#REF!</v>
      </c>
      <c r="R15" s="428" t="e">
        <f t="shared" si="8"/>
        <v>#REF!</v>
      </c>
      <c r="S15" s="428" t="e">
        <f t="shared" si="8"/>
        <v>#REF!</v>
      </c>
    </row>
    <row r="16" spans="1:20" s="429" customFormat="1" ht="25.5" customHeight="1">
      <c r="A16" s="228">
        <v>9</v>
      </c>
      <c r="B16" s="505" t="s">
        <v>47</v>
      </c>
      <c r="C16" s="552">
        <v>170</v>
      </c>
      <c r="D16" s="552">
        <v>170</v>
      </c>
      <c r="E16" s="541">
        <v>269</v>
      </c>
      <c r="F16" s="531" t="e">
        <f>E16+'Nov ANX III '!F16</f>
        <v>#REF!</v>
      </c>
      <c r="G16" s="541">
        <v>524</v>
      </c>
      <c r="H16" s="541">
        <v>161</v>
      </c>
      <c r="I16" s="531">
        <f t="shared" si="0"/>
        <v>685</v>
      </c>
      <c r="J16" s="531">
        <f t="shared" si="1"/>
        <v>954</v>
      </c>
      <c r="K16" s="531">
        <f t="shared" si="2"/>
        <v>5.6117647058823525</v>
      </c>
      <c r="L16" s="530">
        <f t="shared" si="3"/>
        <v>99.277883196289267</v>
      </c>
      <c r="M16" s="530">
        <f t="shared" si="4"/>
        <v>98.994307400379512</v>
      </c>
      <c r="N16" s="530" t="e">
        <f>J16+'Nov ANX III '!N16</f>
        <v>#REF!</v>
      </c>
      <c r="O16" s="532" t="e">
        <f t="shared" si="5"/>
        <v>#REF!</v>
      </c>
      <c r="P16" s="530" t="e">
        <f t="shared" si="6"/>
        <v>#REF!</v>
      </c>
      <c r="Q16" s="530" t="e">
        <f t="shared" si="7"/>
        <v>#REF!</v>
      </c>
      <c r="R16" s="428" t="e">
        <f t="shared" si="8"/>
        <v>#REF!</v>
      </c>
      <c r="S16" s="428" t="e">
        <f t="shared" si="8"/>
        <v>#REF!</v>
      </c>
      <c r="T16" s="429">
        <f>E16/60</f>
        <v>4.4833333333333334</v>
      </c>
    </row>
    <row r="17" spans="1:20" s="429" customFormat="1" ht="25.5" customHeight="1">
      <c r="A17" s="228">
        <v>10</v>
      </c>
      <c r="B17" s="505" t="s">
        <v>48</v>
      </c>
      <c r="C17" s="552">
        <v>173</v>
      </c>
      <c r="D17" s="552">
        <v>173</v>
      </c>
      <c r="E17" s="541">
        <v>477.5</v>
      </c>
      <c r="F17" s="531" t="e">
        <f>E17+'Nov ANX III '!F17</f>
        <v>#REF!</v>
      </c>
      <c r="G17" s="541">
        <v>212.1</v>
      </c>
      <c r="H17" s="541">
        <v>193.03</v>
      </c>
      <c r="I17" s="531">
        <f t="shared" si="0"/>
        <v>405.13</v>
      </c>
      <c r="J17" s="531">
        <f t="shared" si="1"/>
        <v>882.63</v>
      </c>
      <c r="K17" s="531">
        <f t="shared" si="2"/>
        <v>5.1019075144508674</v>
      </c>
      <c r="L17" s="530">
        <f t="shared" si="3"/>
        <v>99.580324030911385</v>
      </c>
      <c r="M17" s="530">
        <f t="shared" si="4"/>
        <v>99.085679656908454</v>
      </c>
      <c r="N17" s="530" t="e">
        <f>J17+'Nov ANX III '!N17</f>
        <v>#REF!</v>
      </c>
      <c r="O17" s="532" t="e">
        <f t="shared" si="5"/>
        <v>#REF!</v>
      </c>
      <c r="P17" s="530" t="e">
        <f t="shared" si="6"/>
        <v>#REF!</v>
      </c>
      <c r="Q17" s="530" t="e">
        <f t="shared" si="7"/>
        <v>#REF!</v>
      </c>
      <c r="R17" s="428" t="e">
        <f t="shared" si="8"/>
        <v>#REF!</v>
      </c>
      <c r="S17" s="428" t="e">
        <f t="shared" si="8"/>
        <v>#REF!</v>
      </c>
      <c r="T17" s="429">
        <f>E17/60</f>
        <v>7.958333333333333</v>
      </c>
    </row>
    <row r="18" spans="1:20" s="429" customFormat="1" ht="25.5" customHeight="1">
      <c r="A18" s="228">
        <v>11</v>
      </c>
      <c r="B18" s="505" t="s">
        <v>63</v>
      </c>
      <c r="C18" s="552">
        <v>120</v>
      </c>
      <c r="D18" s="552">
        <v>120</v>
      </c>
      <c r="E18" s="541">
        <v>33.200000000000003</v>
      </c>
      <c r="F18" s="531" t="e">
        <f>E18+'Nov ANX III '!F18</f>
        <v>#REF!</v>
      </c>
      <c r="G18" s="541">
        <v>424.1</v>
      </c>
      <c r="H18" s="541">
        <v>324.39999999999998</v>
      </c>
      <c r="I18" s="531">
        <f t="shared" si="0"/>
        <v>748.5</v>
      </c>
      <c r="J18" s="531">
        <f t="shared" si="1"/>
        <v>781.7</v>
      </c>
      <c r="K18" s="531">
        <f t="shared" si="2"/>
        <v>6.5141666666666671</v>
      </c>
      <c r="L18" s="530">
        <f t="shared" si="3"/>
        <v>98.882168458781365</v>
      </c>
      <c r="M18" s="530">
        <f t="shared" si="4"/>
        <v>98.832586618876945</v>
      </c>
      <c r="N18" s="530" t="e">
        <f>J18+'Nov ANX III '!N18</f>
        <v>#REF!</v>
      </c>
      <c r="O18" s="532" t="e">
        <f t="shared" si="5"/>
        <v>#REF!</v>
      </c>
      <c r="P18" s="530" t="e">
        <f t="shared" si="6"/>
        <v>#REF!</v>
      </c>
      <c r="Q18" s="530" t="e">
        <f t="shared" si="7"/>
        <v>#REF!</v>
      </c>
      <c r="R18" s="428" t="e">
        <f t="shared" si="8"/>
        <v>#REF!</v>
      </c>
      <c r="S18" s="428" t="e">
        <f t="shared" si="8"/>
        <v>#REF!</v>
      </c>
    </row>
    <row r="19" spans="1:20" s="509" customFormat="1" ht="25.5" customHeight="1">
      <c r="A19" s="509">
        <v>12</v>
      </c>
      <c r="B19" s="509" t="s">
        <v>50</v>
      </c>
      <c r="C19" s="553">
        <v>34</v>
      </c>
      <c r="D19" s="553">
        <v>34</v>
      </c>
      <c r="E19" s="553">
        <v>118.74000000000002</v>
      </c>
      <c r="F19" s="531" t="e">
        <f>E19+'Nov ANX III '!F19</f>
        <v>#REF!</v>
      </c>
      <c r="G19" s="554">
        <v>462.66666666666674</v>
      </c>
      <c r="H19" s="554">
        <v>849.31666666666661</v>
      </c>
      <c r="I19" s="553">
        <f t="shared" si="0"/>
        <v>1311.9833333333333</v>
      </c>
      <c r="J19" s="553">
        <f t="shared" si="1"/>
        <v>1430.7233333333334</v>
      </c>
      <c r="K19" s="553">
        <f t="shared" si="2"/>
        <v>42.080098039215684</v>
      </c>
      <c r="L19" s="530">
        <f t="shared" si="3"/>
        <v>93.084633494975051</v>
      </c>
      <c r="M19" s="530">
        <f t="shared" si="4"/>
        <v>92.45876379225524</v>
      </c>
      <c r="N19" s="530" t="e">
        <f>J19+'Nov ANX III '!N19</f>
        <v>#REF!</v>
      </c>
      <c r="O19" s="554" t="e">
        <f t="shared" si="5"/>
        <v>#REF!</v>
      </c>
      <c r="P19" s="530" t="e">
        <f t="shared" si="6"/>
        <v>#REF!</v>
      </c>
      <c r="Q19" s="530" t="e">
        <f t="shared" si="7"/>
        <v>#REF!</v>
      </c>
      <c r="R19" s="510" t="e">
        <f t="shared" si="8"/>
        <v>#REF!</v>
      </c>
      <c r="S19" s="509" t="e">
        <f t="shared" si="8"/>
        <v>#REF!</v>
      </c>
    </row>
    <row r="20" spans="1:20" s="509" customFormat="1" ht="25.5" customHeight="1">
      <c r="A20" s="509">
        <v>13</v>
      </c>
      <c r="B20" s="509" t="s">
        <v>51</v>
      </c>
      <c r="C20" s="553">
        <v>31</v>
      </c>
      <c r="D20" s="553">
        <v>31</v>
      </c>
      <c r="E20" s="553">
        <v>234.97000000000003</v>
      </c>
      <c r="F20" s="531" t="e">
        <f>E20+'Nov ANX III '!F20</f>
        <v>#REF!</v>
      </c>
      <c r="G20" s="554">
        <v>621.98666666666668</v>
      </c>
      <c r="H20" s="554">
        <v>1204.6166666666666</v>
      </c>
      <c r="I20" s="553">
        <f t="shared" si="0"/>
        <v>1826.6033333333332</v>
      </c>
      <c r="J20" s="553">
        <f t="shared" si="1"/>
        <v>2061.5733333333333</v>
      </c>
      <c r="K20" s="553">
        <f t="shared" si="2"/>
        <v>66.502365591397847</v>
      </c>
      <c r="L20" s="530">
        <f t="shared" si="3"/>
        <v>89.440378463791575</v>
      </c>
      <c r="M20" s="530">
        <f t="shared" si="4"/>
        <v>88.082013334874929</v>
      </c>
      <c r="N20" s="530" t="e">
        <f>J20+'Nov ANX III '!N20</f>
        <v>#REF!</v>
      </c>
      <c r="O20" s="554" t="e">
        <f t="shared" si="5"/>
        <v>#REF!</v>
      </c>
      <c r="P20" s="530" t="e">
        <f t="shared" si="6"/>
        <v>#REF!</v>
      </c>
      <c r="Q20" s="530" t="e">
        <f t="shared" si="7"/>
        <v>#REF!</v>
      </c>
      <c r="R20" s="510" t="e">
        <f t="shared" si="8"/>
        <v>#REF!</v>
      </c>
      <c r="S20" s="509" t="e">
        <f t="shared" si="8"/>
        <v>#REF!</v>
      </c>
    </row>
    <row r="21" spans="1:20" s="429" customFormat="1" ht="25.5" customHeight="1">
      <c r="A21" s="228">
        <v>12</v>
      </c>
      <c r="B21" s="556" t="s">
        <v>99</v>
      </c>
      <c r="C21" s="533">
        <f>C19+C20</f>
        <v>65</v>
      </c>
      <c r="D21" s="533">
        <f>D19+D20</f>
        <v>65</v>
      </c>
      <c r="E21" s="533">
        <f>E19+E20</f>
        <v>353.71000000000004</v>
      </c>
      <c r="F21" s="531" t="e">
        <f>E21+'Nov ANX III '!F21</f>
        <v>#REF!</v>
      </c>
      <c r="G21" s="530">
        <f>SUM(G19:G20)</f>
        <v>1084.6533333333334</v>
      </c>
      <c r="H21" s="530">
        <f>SUM(H19:H20)</f>
        <v>2053.9333333333334</v>
      </c>
      <c r="I21" s="531">
        <f t="shared" si="0"/>
        <v>3138.586666666667</v>
      </c>
      <c r="J21" s="531">
        <f t="shared" si="1"/>
        <v>3492.2966666666671</v>
      </c>
      <c r="K21" s="531">
        <f t="shared" si="2"/>
        <v>53.727641025641034</v>
      </c>
      <c r="L21" s="530">
        <f t="shared" si="3"/>
        <v>91.346604172410622</v>
      </c>
      <c r="M21" s="530">
        <f t="shared" si="4"/>
        <v>90.371390497196941</v>
      </c>
      <c r="N21" s="530" t="e">
        <f>J21+'Nov ANX III '!N21</f>
        <v>#REF!</v>
      </c>
      <c r="O21" s="531" t="e">
        <f t="shared" si="5"/>
        <v>#REF!</v>
      </c>
      <c r="P21" s="530" t="e">
        <f t="shared" si="6"/>
        <v>#REF!</v>
      </c>
      <c r="Q21" s="530" t="e">
        <f t="shared" si="7"/>
        <v>#REF!</v>
      </c>
      <c r="R21" s="428"/>
      <c r="S21" s="428"/>
    </row>
    <row r="22" spans="1:20" s="513" customFormat="1" ht="25.5" customHeight="1">
      <c r="A22" s="511">
        <v>14</v>
      </c>
      <c r="B22" s="509" t="s">
        <v>52</v>
      </c>
      <c r="C22" s="553">
        <v>14</v>
      </c>
      <c r="D22" s="553">
        <v>14</v>
      </c>
      <c r="E22" s="553">
        <v>6.77</v>
      </c>
      <c r="F22" s="531" t="e">
        <f>E22+'Nov ANX III '!F22</f>
        <v>#REF!</v>
      </c>
      <c r="G22" s="553">
        <v>78.010000000000005</v>
      </c>
      <c r="H22" s="553">
        <v>246.97000000000003</v>
      </c>
      <c r="I22" s="553">
        <f t="shared" si="0"/>
        <v>324.98</v>
      </c>
      <c r="J22" s="553">
        <f t="shared" si="1"/>
        <v>331.75</v>
      </c>
      <c r="K22" s="553">
        <f t="shared" si="2"/>
        <v>23.696428571428573</v>
      </c>
      <c r="L22" s="530">
        <f t="shared" si="3"/>
        <v>95.839989759344604</v>
      </c>
      <c r="M22" s="530">
        <f t="shared" si="4"/>
        <v>95.753328213005631</v>
      </c>
      <c r="N22" s="530" t="e">
        <f>J22+'Nov ANX III '!N22</f>
        <v>#REF!</v>
      </c>
      <c r="O22" s="554" t="e">
        <f t="shared" si="5"/>
        <v>#REF!</v>
      </c>
      <c r="P22" s="530" t="e">
        <f t="shared" si="6"/>
        <v>#REF!</v>
      </c>
      <c r="Q22" s="530" t="e">
        <f t="shared" si="7"/>
        <v>#REF!</v>
      </c>
      <c r="R22" s="512" t="e">
        <f t="shared" si="8"/>
        <v>#REF!</v>
      </c>
      <c r="S22" s="512" t="e">
        <f t="shared" si="8"/>
        <v>#REF!</v>
      </c>
    </row>
    <row r="23" spans="1:20" s="513" customFormat="1" ht="30" customHeight="1">
      <c r="A23" s="511">
        <v>15</v>
      </c>
      <c r="B23" s="509" t="s">
        <v>53</v>
      </c>
      <c r="C23" s="553">
        <v>35</v>
      </c>
      <c r="D23" s="553">
        <v>35</v>
      </c>
      <c r="E23" s="553">
        <v>32.400000000000006</v>
      </c>
      <c r="F23" s="531" t="e">
        <f>E23+'Nov ANX III '!F23</f>
        <v>#REF!</v>
      </c>
      <c r="G23" s="553">
        <v>226.7</v>
      </c>
      <c r="H23" s="553">
        <v>640</v>
      </c>
      <c r="I23" s="553">
        <f t="shared" si="0"/>
        <v>866.7</v>
      </c>
      <c r="J23" s="553">
        <f t="shared" si="1"/>
        <v>899.1</v>
      </c>
      <c r="K23" s="553">
        <f t="shared" si="2"/>
        <v>25.688571428571429</v>
      </c>
      <c r="L23" s="530">
        <f t="shared" si="3"/>
        <v>95.562211981566819</v>
      </c>
      <c r="M23" s="530">
        <f t="shared" si="4"/>
        <v>95.396313364055317</v>
      </c>
      <c r="N23" s="530" t="e">
        <f>J23+'Nov ANX III '!N23</f>
        <v>#REF!</v>
      </c>
      <c r="O23" s="554" t="e">
        <f t="shared" si="5"/>
        <v>#REF!</v>
      </c>
      <c r="P23" s="530" t="e">
        <f t="shared" si="6"/>
        <v>#REF!</v>
      </c>
      <c r="Q23" s="530" t="e">
        <f t="shared" si="7"/>
        <v>#REF!</v>
      </c>
      <c r="R23" s="512" t="e">
        <f t="shared" si="8"/>
        <v>#REF!</v>
      </c>
      <c r="S23" s="512" t="e">
        <f t="shared" si="8"/>
        <v>#REF!</v>
      </c>
    </row>
    <row r="24" spans="1:20" s="513" customFormat="1" ht="25.5" customHeight="1">
      <c r="A24" s="511">
        <v>16</v>
      </c>
      <c r="B24" s="509" t="s">
        <v>54</v>
      </c>
      <c r="C24" s="553">
        <f>7+33</f>
        <v>40</v>
      </c>
      <c r="D24" s="553">
        <v>40</v>
      </c>
      <c r="E24" s="553">
        <f>19.9+28.1</f>
        <v>48</v>
      </c>
      <c r="F24" s="531" t="e">
        <f>E24+'Nov ANX III '!F24</f>
        <v>#REF!</v>
      </c>
      <c r="G24" s="553">
        <f>142.75+331.1</f>
        <v>473.85</v>
      </c>
      <c r="H24" s="553">
        <f>51.35+156.9</f>
        <v>208.25</v>
      </c>
      <c r="I24" s="553">
        <f t="shared" si="0"/>
        <v>682.1</v>
      </c>
      <c r="J24" s="553">
        <f t="shared" si="1"/>
        <v>730.1</v>
      </c>
      <c r="K24" s="553">
        <f t="shared" si="2"/>
        <v>18.252500000000001</v>
      </c>
      <c r="L24" s="530">
        <f t="shared" si="3"/>
        <v>96.943996415770613</v>
      </c>
      <c r="M24" s="530">
        <f t="shared" si="4"/>
        <v>96.728942652329749</v>
      </c>
      <c r="N24" s="530" t="e">
        <f>J24+'Nov ANX III '!N24</f>
        <v>#REF!</v>
      </c>
      <c r="O24" s="554" t="e">
        <f t="shared" si="5"/>
        <v>#REF!</v>
      </c>
      <c r="P24" s="530" t="e">
        <f t="shared" si="6"/>
        <v>#REF!</v>
      </c>
      <c r="Q24" s="530" t="e">
        <f t="shared" si="7"/>
        <v>#REF!</v>
      </c>
      <c r="R24" s="512" t="e">
        <f t="shared" si="8"/>
        <v>#REF!</v>
      </c>
      <c r="S24" s="512" t="e">
        <f t="shared" si="8"/>
        <v>#REF!</v>
      </c>
    </row>
    <row r="25" spans="1:20" s="429" customFormat="1" ht="25.5" customHeight="1">
      <c r="A25" s="228">
        <v>13</v>
      </c>
      <c r="B25" s="556" t="s">
        <v>52</v>
      </c>
      <c r="C25" s="533">
        <f>C22+C23+C24</f>
        <v>89</v>
      </c>
      <c r="D25" s="533">
        <f>D22+D23+D24</f>
        <v>89</v>
      </c>
      <c r="E25" s="533">
        <f>E22+E23+E24</f>
        <v>87.17</v>
      </c>
      <c r="F25" s="531" t="e">
        <f>E25+'Nov ANX III '!F25</f>
        <v>#REF!</v>
      </c>
      <c r="G25" s="533">
        <v>778.56</v>
      </c>
      <c r="H25" s="533">
        <f>H22+H23+H24</f>
        <v>1095.22</v>
      </c>
      <c r="I25" s="531">
        <f>G25+H25</f>
        <v>1873.78</v>
      </c>
      <c r="J25" s="531">
        <f t="shared" si="1"/>
        <v>1960.95</v>
      </c>
      <c r="K25" s="531">
        <f>J25/C25</f>
        <v>22.033146067415732</v>
      </c>
      <c r="L25" s="530">
        <f t="shared" si="3"/>
        <v>96.226934074342552</v>
      </c>
      <c r="M25" s="530">
        <f t="shared" si="4"/>
        <v>96.051407514800047</v>
      </c>
      <c r="N25" s="530" t="e">
        <f>J25+'Nov ANX III '!N25</f>
        <v>#REF!</v>
      </c>
      <c r="O25" s="531" t="e">
        <f t="shared" si="5"/>
        <v>#REF!</v>
      </c>
      <c r="P25" s="530" t="e">
        <f t="shared" si="6"/>
        <v>#REF!</v>
      </c>
      <c r="Q25" s="530" t="e">
        <f t="shared" si="7"/>
        <v>#REF!</v>
      </c>
      <c r="R25" s="428"/>
      <c r="S25" s="428"/>
    </row>
    <row r="26" spans="1:20" s="429" customFormat="1" ht="25.5" customHeight="1">
      <c r="A26" s="228">
        <v>14</v>
      </c>
      <c r="B26" s="505" t="s">
        <v>94</v>
      </c>
      <c r="C26" s="533">
        <v>19</v>
      </c>
      <c r="D26" s="533">
        <v>19</v>
      </c>
      <c r="E26" s="530">
        <v>0.39</v>
      </c>
      <c r="F26" s="531" t="e">
        <f>E26+'Nov ANX III '!F26</f>
        <v>#REF!</v>
      </c>
      <c r="G26" s="530">
        <v>7.7097222222222221</v>
      </c>
      <c r="H26" s="530">
        <v>6.43</v>
      </c>
      <c r="I26" s="531">
        <f t="shared" si="0"/>
        <v>14.139722222222222</v>
      </c>
      <c r="J26" s="531">
        <f t="shared" si="1"/>
        <v>14.529722222222222</v>
      </c>
      <c r="K26" s="531">
        <f t="shared" si="2"/>
        <v>0.76472222222222219</v>
      </c>
      <c r="L26" s="530">
        <f t="shared" si="3"/>
        <v>99.866631557986963</v>
      </c>
      <c r="M26" s="530">
        <f t="shared" si="4"/>
        <v>99.862953006770212</v>
      </c>
      <c r="N26" s="530" t="e">
        <f>J26+'Nov ANX III '!N26</f>
        <v>#REF!</v>
      </c>
      <c r="O26" s="532" t="e">
        <f t="shared" si="5"/>
        <v>#REF!</v>
      </c>
      <c r="P26" s="530" t="e">
        <f t="shared" si="6"/>
        <v>#REF!</v>
      </c>
      <c r="Q26" s="530" t="e">
        <f t="shared" si="7"/>
        <v>#REF!</v>
      </c>
      <c r="R26" s="428" t="e">
        <f>L26-P26</f>
        <v>#REF!</v>
      </c>
      <c r="S26" s="428" t="e">
        <f>M26-Q26</f>
        <v>#REF!</v>
      </c>
    </row>
    <row r="27" spans="1:20" s="513" customFormat="1" ht="25.5" customHeight="1">
      <c r="A27" s="511">
        <v>18</v>
      </c>
      <c r="B27" s="509" t="s">
        <v>32</v>
      </c>
      <c r="C27" s="553">
        <v>34</v>
      </c>
      <c r="D27" s="553">
        <v>34</v>
      </c>
      <c r="E27" s="553">
        <v>31.83</v>
      </c>
      <c r="F27" s="531" t="e">
        <f>E27+'Nov ANX III '!F27</f>
        <v>#REF!</v>
      </c>
      <c r="G27" s="554">
        <v>61.345805555555557</v>
      </c>
      <c r="H27" s="554">
        <v>74.621111111111105</v>
      </c>
      <c r="I27" s="553">
        <f t="shared" si="0"/>
        <v>135.96691666666666</v>
      </c>
      <c r="J27" s="553">
        <f t="shared" si="1"/>
        <v>167.79691666666668</v>
      </c>
      <c r="K27" s="553">
        <f t="shared" si="2"/>
        <v>4.9352034313725497</v>
      </c>
      <c r="L27" s="530">
        <f t="shared" si="3"/>
        <v>99.283328501651539</v>
      </c>
      <c r="M27" s="530">
        <f t="shared" si="4"/>
        <v>99.115554940614246</v>
      </c>
      <c r="N27" s="530" t="e">
        <f>J27+'Nov ANX III '!N27</f>
        <v>#REF!</v>
      </c>
      <c r="O27" s="554" t="e">
        <f t="shared" si="5"/>
        <v>#REF!</v>
      </c>
      <c r="P27" s="530" t="e">
        <f t="shared" si="6"/>
        <v>#REF!</v>
      </c>
      <c r="Q27" s="530" t="e">
        <f t="shared" si="7"/>
        <v>#REF!</v>
      </c>
      <c r="R27" s="512" t="e">
        <f t="shared" si="8"/>
        <v>#REF!</v>
      </c>
      <c r="S27" s="512" t="e">
        <f t="shared" si="8"/>
        <v>#REF!</v>
      </c>
    </row>
    <row r="28" spans="1:20" s="513" customFormat="1" ht="25.5" customHeight="1">
      <c r="A28" s="511">
        <v>19</v>
      </c>
      <c r="B28" s="509" t="s">
        <v>55</v>
      </c>
      <c r="C28" s="553">
        <v>47</v>
      </c>
      <c r="D28" s="553">
        <v>47</v>
      </c>
      <c r="E28" s="553">
        <v>103.6</v>
      </c>
      <c r="F28" s="531" t="e">
        <f>E28+'Nov ANX III '!F28</f>
        <v>#REF!</v>
      </c>
      <c r="G28" s="554">
        <v>80.331527777777779</v>
      </c>
      <c r="H28" s="554">
        <v>72.301944444444445</v>
      </c>
      <c r="I28" s="553">
        <v>142.23638888888888</v>
      </c>
      <c r="J28" s="553">
        <f t="shared" si="1"/>
        <v>245.83638888888888</v>
      </c>
      <c r="K28" s="553">
        <f t="shared" si="2"/>
        <v>5.2305614657210402</v>
      </c>
      <c r="L28" s="530">
        <f t="shared" si="3"/>
        <v>99.457651228212882</v>
      </c>
      <c r="M28" s="530">
        <f t="shared" si="4"/>
        <v>99.06262339323996</v>
      </c>
      <c r="N28" s="530" t="e">
        <f>J28+'Nov ANX III '!N28</f>
        <v>#REF!</v>
      </c>
      <c r="O28" s="554" t="e">
        <f t="shared" si="5"/>
        <v>#REF!</v>
      </c>
      <c r="P28" s="530" t="e">
        <f t="shared" si="6"/>
        <v>#REF!</v>
      </c>
      <c r="Q28" s="530" t="e">
        <f t="shared" si="7"/>
        <v>#REF!</v>
      </c>
      <c r="R28" s="512" t="e">
        <f t="shared" si="8"/>
        <v>#REF!</v>
      </c>
      <c r="S28" s="512" t="e">
        <f t="shared" si="8"/>
        <v>#REF!</v>
      </c>
    </row>
    <row r="29" spans="1:20" s="429" customFormat="1" ht="25.5" customHeight="1">
      <c r="A29" s="228">
        <v>15</v>
      </c>
      <c r="B29" s="556" t="s">
        <v>32</v>
      </c>
      <c r="C29" s="533">
        <f>C27+C28</f>
        <v>81</v>
      </c>
      <c r="D29" s="533">
        <f>D27+D28</f>
        <v>81</v>
      </c>
      <c r="E29" s="533">
        <f>E27+E28</f>
        <v>135.43</v>
      </c>
      <c r="F29" s="531" t="e">
        <f>E29+'Nov ANX III '!F29</f>
        <v>#REF!</v>
      </c>
      <c r="G29" s="530">
        <f>SUM(G27:G28)</f>
        <v>141.67733333333334</v>
      </c>
      <c r="H29" s="530">
        <f>SUM(H27:H28)</f>
        <v>146.92305555555555</v>
      </c>
      <c r="I29" s="531">
        <f t="shared" si="0"/>
        <v>288.60038888888892</v>
      </c>
      <c r="J29" s="531">
        <f t="shared" si="1"/>
        <v>424.03038888888892</v>
      </c>
      <c r="K29" s="531">
        <f t="shared" si="2"/>
        <v>5.2349430727023325</v>
      </c>
      <c r="L29" s="530">
        <f t="shared" si="3"/>
        <v>99.361475311100307</v>
      </c>
      <c r="M29" s="530">
        <f t="shared" si="4"/>
        <v>99.061838159013931</v>
      </c>
      <c r="N29" s="530" t="e">
        <f>J29+'Nov ANX III '!N29</f>
        <v>#REF!</v>
      </c>
      <c r="O29" s="531" t="e">
        <f t="shared" si="5"/>
        <v>#REF!</v>
      </c>
      <c r="P29" s="530" t="e">
        <f t="shared" si="6"/>
        <v>#REF!</v>
      </c>
      <c r="Q29" s="530" t="e">
        <f t="shared" si="7"/>
        <v>#REF!</v>
      </c>
      <c r="R29" s="428"/>
      <c r="S29" s="428"/>
    </row>
    <row r="30" spans="1:20" s="429" customFormat="1" ht="25.5" customHeight="1">
      <c r="A30" s="228">
        <v>16</v>
      </c>
      <c r="B30" s="505" t="s">
        <v>56</v>
      </c>
      <c r="C30" s="533">
        <v>64</v>
      </c>
      <c r="D30" s="533">
        <v>64</v>
      </c>
      <c r="E30" s="530">
        <v>6.5879166666666666</v>
      </c>
      <c r="F30" s="531" t="e">
        <f>E30+'Nov ANX III '!F30</f>
        <v>#REF!</v>
      </c>
      <c r="G30" s="530">
        <v>41.439444444444426</v>
      </c>
      <c r="H30" s="530">
        <v>79.798888888888882</v>
      </c>
      <c r="I30" s="531">
        <f t="shared" si="0"/>
        <v>121.23833333333332</v>
      </c>
      <c r="J30" s="531">
        <f t="shared" si="1"/>
        <v>127.82624999999999</v>
      </c>
      <c r="K30" s="531">
        <f t="shared" si="2"/>
        <v>1.9972851562499998</v>
      </c>
      <c r="L30" s="530">
        <f t="shared" si="3"/>
        <v>99.660510939366787</v>
      </c>
      <c r="M30" s="530">
        <f t="shared" si="4"/>
        <v>99.642063592069889</v>
      </c>
      <c r="N30" s="530" t="e">
        <f>J30+'Nov ANX III '!N30</f>
        <v>#REF!</v>
      </c>
      <c r="O30" s="531" t="e">
        <f t="shared" si="5"/>
        <v>#REF!</v>
      </c>
      <c r="P30" s="530" t="e">
        <f t="shared" si="6"/>
        <v>#REF!</v>
      </c>
      <c r="Q30" s="530" t="e">
        <f t="shared" si="7"/>
        <v>#REF!</v>
      </c>
      <c r="R30" s="428" t="e">
        <f t="shared" si="8"/>
        <v>#REF!</v>
      </c>
      <c r="S30" s="428" t="e">
        <f t="shared" si="8"/>
        <v>#REF!</v>
      </c>
    </row>
    <row r="31" spans="1:20" s="429" customFormat="1" ht="74.25" customHeight="1">
      <c r="A31" s="426"/>
      <c r="B31" s="949" t="s">
        <v>147</v>
      </c>
      <c r="C31" s="949"/>
      <c r="D31" s="949"/>
      <c r="E31" s="949"/>
      <c r="F31" s="949"/>
      <c r="G31" s="949"/>
      <c r="H31" s="949"/>
      <c r="I31" s="949"/>
      <c r="J31" s="949"/>
      <c r="K31" s="949"/>
      <c r="L31" s="949"/>
      <c r="M31" s="949"/>
      <c r="N31" s="949"/>
      <c r="O31" s="949"/>
      <c r="P31" s="949"/>
      <c r="Q31" s="950"/>
      <c r="R31" s="428"/>
      <c r="S31" s="428"/>
    </row>
    <row r="32" spans="1:20" s="429" customFormat="1" ht="21.75" customHeight="1" thickBot="1">
      <c r="A32" s="426"/>
      <c r="B32" s="430" t="s">
        <v>66</v>
      </c>
      <c r="C32" s="430"/>
      <c r="D32" s="430"/>
      <c r="E32" s="430"/>
      <c r="F32" s="430"/>
      <c r="G32" s="433"/>
      <c r="H32" s="433"/>
      <c r="I32" s="430"/>
      <c r="J32" s="430"/>
      <c r="K32" s="430"/>
      <c r="L32" s="431"/>
      <c r="M32" s="431"/>
      <c r="N32" s="431"/>
      <c r="O32" s="427"/>
      <c r="P32" s="431"/>
      <c r="Q32" s="432"/>
      <c r="R32" s="428"/>
      <c r="S32" s="428"/>
    </row>
    <row r="33" spans="1:18" ht="52.5" customHeight="1">
      <c r="A33" s="933" t="s">
        <v>33</v>
      </c>
      <c r="B33" s="934"/>
      <c r="C33" s="934"/>
      <c r="D33" s="934"/>
      <c r="E33" s="934"/>
      <c r="F33" s="934"/>
      <c r="G33" s="934"/>
      <c r="H33" s="934"/>
      <c r="I33" s="934"/>
      <c r="J33" s="934"/>
      <c r="K33" s="934"/>
      <c r="L33" s="934"/>
      <c r="M33" s="934"/>
      <c r="N33" s="934"/>
      <c r="O33" s="934"/>
      <c r="P33" s="934"/>
      <c r="Q33" s="935"/>
      <c r="R33" s="506">
        <f t="shared" si="8"/>
        <v>0</v>
      </c>
    </row>
    <row r="34" spans="1:18" ht="9.75" customHeight="1" thickBot="1">
      <c r="A34" s="936"/>
      <c r="B34" s="937"/>
      <c r="C34" s="937"/>
      <c r="D34" s="937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8"/>
      <c r="R34" s="506">
        <f t="shared" si="8"/>
        <v>0</v>
      </c>
    </row>
    <row r="35" spans="1:18" ht="28.5" customHeight="1">
      <c r="A35" s="940" t="s">
        <v>34</v>
      </c>
      <c r="B35" s="941"/>
      <c r="C35" s="941"/>
      <c r="D35" s="941"/>
      <c r="E35" s="941"/>
      <c r="F35" s="941"/>
      <c r="G35" s="941"/>
      <c r="H35" s="941"/>
      <c r="I35" s="941"/>
      <c r="J35" s="941"/>
      <c r="K35" s="941"/>
      <c r="L35" s="941"/>
      <c r="M35" s="941"/>
      <c r="N35" s="941"/>
      <c r="O35" s="941"/>
      <c r="P35" s="941"/>
      <c r="Q35" s="942"/>
      <c r="R35" s="506">
        <f t="shared" si="8"/>
        <v>0</v>
      </c>
    </row>
    <row r="36" spans="1:18" ht="17.25" customHeight="1">
      <c r="A36" s="943"/>
      <c r="B36" s="944"/>
      <c r="C36" s="944"/>
      <c r="D36" s="944"/>
      <c r="E36" s="944"/>
      <c r="F36" s="944"/>
      <c r="G36" s="944"/>
      <c r="H36" s="944"/>
      <c r="I36" s="944"/>
      <c r="J36" s="944"/>
      <c r="K36" s="944"/>
      <c r="L36" s="944"/>
      <c r="M36" s="944"/>
      <c r="N36" s="944"/>
      <c r="O36" s="944"/>
      <c r="P36" s="944"/>
      <c r="Q36" s="945"/>
      <c r="R36" s="506">
        <f t="shared" si="8"/>
        <v>0</v>
      </c>
    </row>
    <row r="37" spans="1:18" ht="13.5" customHeight="1" thickBot="1">
      <c r="A37" s="946"/>
      <c r="B37" s="947"/>
      <c r="C37" s="947"/>
      <c r="D37" s="947"/>
      <c r="E37" s="947"/>
      <c r="F37" s="947"/>
      <c r="G37" s="947"/>
      <c r="H37" s="947"/>
      <c r="I37" s="947"/>
      <c r="J37" s="947"/>
      <c r="K37" s="947"/>
      <c r="L37" s="947"/>
      <c r="M37" s="947"/>
      <c r="N37" s="947"/>
      <c r="O37" s="947"/>
      <c r="P37" s="947"/>
      <c r="Q37" s="948"/>
      <c r="R37" s="506">
        <f t="shared" si="8"/>
        <v>0</v>
      </c>
    </row>
    <row r="38" spans="1:18" ht="30.75" customHeight="1">
      <c r="A38" s="933" t="s">
        <v>35</v>
      </c>
      <c r="B38" s="934"/>
      <c r="C38" s="934"/>
      <c r="D38" s="934"/>
      <c r="E38" s="934"/>
      <c r="F38" s="934"/>
      <c r="G38" s="934"/>
      <c r="H38" s="934"/>
      <c r="I38" s="934"/>
      <c r="J38" s="934"/>
      <c r="K38" s="934"/>
      <c r="L38" s="934"/>
      <c r="M38" s="934"/>
      <c r="N38" s="934"/>
      <c r="O38" s="934"/>
      <c r="P38" s="934"/>
      <c r="Q38" s="935"/>
      <c r="R38" s="506">
        <f t="shared" si="8"/>
        <v>0</v>
      </c>
    </row>
    <row r="39" spans="1:18" ht="20.25" customHeight="1" thickBot="1">
      <c r="A39" s="936"/>
      <c r="B39" s="937"/>
      <c r="C39" s="937"/>
      <c r="D39" s="937"/>
      <c r="E39" s="937"/>
      <c r="F39" s="937"/>
      <c r="G39" s="937"/>
      <c r="H39" s="937"/>
      <c r="I39" s="937"/>
      <c r="J39" s="937"/>
      <c r="K39" s="937"/>
      <c r="L39" s="937"/>
      <c r="M39" s="937"/>
      <c r="N39" s="937"/>
      <c r="O39" s="937"/>
      <c r="P39" s="937"/>
      <c r="Q39" s="938"/>
      <c r="R39" s="506">
        <f t="shared" si="8"/>
        <v>0</v>
      </c>
    </row>
    <row r="40" spans="1:18" ht="18.75" customHeight="1">
      <c r="A40" s="933" t="s">
        <v>36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4"/>
      <c r="N40" s="934"/>
      <c r="O40" s="934"/>
      <c r="P40" s="934"/>
      <c r="Q40" s="935"/>
      <c r="R40" s="506">
        <f t="shared" si="8"/>
        <v>0</v>
      </c>
    </row>
    <row r="41" spans="1:18" ht="29.25" customHeight="1" thickBot="1">
      <c r="A41" s="936"/>
      <c r="B41" s="937"/>
      <c r="C41" s="937"/>
      <c r="D41" s="937"/>
      <c r="E41" s="937"/>
      <c r="F41" s="937"/>
      <c r="G41" s="937"/>
      <c r="H41" s="937"/>
      <c r="I41" s="937"/>
      <c r="J41" s="937"/>
      <c r="K41" s="937"/>
      <c r="L41" s="937"/>
      <c r="M41" s="937"/>
      <c r="N41" s="937"/>
      <c r="O41" s="937"/>
      <c r="P41" s="937"/>
      <c r="Q41" s="938"/>
      <c r="R41" s="506">
        <f t="shared" si="8"/>
        <v>0</v>
      </c>
    </row>
    <row r="42" spans="1:18">
      <c r="R42" s="506">
        <f t="shared" si="8"/>
        <v>0</v>
      </c>
    </row>
    <row r="43" spans="1:18">
      <c r="R43" s="506">
        <f t="shared" si="8"/>
        <v>0</v>
      </c>
    </row>
    <row r="44" spans="1:18">
      <c r="R44" s="506">
        <f t="shared" si="8"/>
        <v>0</v>
      </c>
    </row>
    <row r="45" spans="1:18" ht="15" customHeight="1">
      <c r="P45" s="506"/>
      <c r="Q45" s="506"/>
      <c r="R45" s="506">
        <f t="shared" si="8"/>
        <v>0</v>
      </c>
    </row>
    <row r="46" spans="1:18" ht="15" customHeight="1">
      <c r="P46" s="506">
        <f>98.57</f>
        <v>98.57</v>
      </c>
      <c r="Q46" s="506">
        <f>97.92</f>
        <v>97.92</v>
      </c>
      <c r="R46" s="506">
        <f t="shared" si="8"/>
        <v>-98.57</v>
      </c>
    </row>
    <row r="47" spans="1:18" ht="15" customHeight="1">
      <c r="H47" s="507">
        <v>3.42</v>
      </c>
      <c r="R47" s="506">
        <f t="shared" si="8"/>
        <v>0</v>
      </c>
    </row>
    <row r="48" spans="1:18" ht="15" customHeight="1">
      <c r="C48" s="508"/>
      <c r="H48" s="507">
        <v>0.47</v>
      </c>
      <c r="R48" s="506">
        <f t="shared" si="8"/>
        <v>0</v>
      </c>
    </row>
    <row r="49" spans="3:18" ht="15" customHeight="1">
      <c r="C49" s="508"/>
      <c r="R49" s="506">
        <f t="shared" si="8"/>
        <v>0</v>
      </c>
    </row>
    <row r="50" spans="3:18" ht="15" customHeight="1">
      <c r="K50" s="501">
        <f>85+86+94</f>
        <v>265</v>
      </c>
      <c r="R50" s="506">
        <f t="shared" si="8"/>
        <v>0</v>
      </c>
    </row>
    <row r="51" spans="3:18" ht="15" customHeight="1">
      <c r="K51" s="501">
        <f>K50/3</f>
        <v>88.333333333333329</v>
      </c>
      <c r="R51" s="506">
        <f t="shared" si="8"/>
        <v>0</v>
      </c>
    </row>
    <row r="52" spans="3:18" ht="15" customHeight="1">
      <c r="R52" s="506">
        <f t="shared" si="8"/>
        <v>0</v>
      </c>
    </row>
    <row r="53" spans="3:18" ht="11.25" customHeight="1">
      <c r="R53" s="506">
        <f t="shared" si="8"/>
        <v>0</v>
      </c>
    </row>
    <row r="54" spans="3:18" ht="11.25" customHeight="1">
      <c r="R54" s="506">
        <f t="shared" si="8"/>
        <v>0</v>
      </c>
    </row>
    <row r="55" spans="3:18" ht="11.25" customHeight="1">
      <c r="R55" s="506">
        <f t="shared" si="8"/>
        <v>0</v>
      </c>
    </row>
    <row r="56" spans="3:18" ht="11.25" customHeight="1">
      <c r="R56" s="506">
        <f t="shared" si="8"/>
        <v>0</v>
      </c>
    </row>
    <row r="57" spans="3:18" ht="11.25" customHeight="1"/>
    <row r="58" spans="3:18" ht="11.25" customHeight="1">
      <c r="C58" s="508" t="e">
        <f>C8:C30</f>
        <v>#VALUE!</v>
      </c>
      <c r="L58" s="506">
        <f>L8+L9+L10+L11+L12+L13+L14+L15+L16+L17+L18+L26+L19+L20+L22+L23+L24+L27+L28+L30</f>
        <v>1926.2738818170922</v>
      </c>
      <c r="M58" s="506">
        <f>M8+M9+M10+M11+M12+M13+M14+M15+M16+M17+M18+M26+M19+M20+M22+M23+M24+M27+M28+M30</f>
        <v>1921.9243799767814</v>
      </c>
    </row>
    <row r="59" spans="3:18" ht="11.25" customHeight="1">
      <c r="C59" s="508">
        <f>C8+C9+C10+C11+C12+C13+C14+C15+C16+C17+C18+C19+C20+C22+C23+C24+C26+C27+C28+C30</f>
        <v>2548</v>
      </c>
      <c r="L59" s="501">
        <f>L58/20</f>
        <v>96.313694090854611</v>
      </c>
      <c r="M59" s="501">
        <f>M58/20</f>
        <v>96.096218998839078</v>
      </c>
    </row>
    <row r="60" spans="3:18">
      <c r="F60" s="501">
        <f>1013.5+118.24</f>
        <v>1131.74</v>
      </c>
      <c r="P60" s="506" t="e">
        <f>P8+P9+P10+P11+P12+P13+P14+P15+P16+P17+P18+P26+P19+P20+P22+P23+P24+P27+P28+P30</f>
        <v>#REF!</v>
      </c>
      <c r="Q60" s="506" t="e">
        <f>Q8+Q9+Q10+Q11+Q12+Q13+Q14+Q15+Q16+Q17+Q18+Q26+Q19+Q20+Q22+Q23+Q24+Q27+Q28+Q30</f>
        <v>#REF!</v>
      </c>
    </row>
    <row r="61" spans="3:18">
      <c r="C61" s="508">
        <f>C30+C29+C26+C25+C21+C18+C17+C16+C15+C14+C13+C12+C11+C10+C9+C8</f>
        <v>2548</v>
      </c>
    </row>
    <row r="62" spans="3:18">
      <c r="C62" s="501">
        <v>1420</v>
      </c>
      <c r="K62" s="506">
        <f>3258+J21</f>
        <v>6750.2966666666671</v>
      </c>
      <c r="P62" s="501" t="e">
        <f>P60/20</f>
        <v>#REF!</v>
      </c>
      <c r="Q62" s="501" t="e">
        <f>Q60/20</f>
        <v>#REF!</v>
      </c>
    </row>
    <row r="63" spans="3:18">
      <c r="C63" s="501">
        <v>529</v>
      </c>
    </row>
    <row r="64" spans="3:18">
      <c r="C64" s="508">
        <f>SUM(C61:C63)</f>
        <v>4497</v>
      </c>
    </row>
    <row r="65" spans="7:7">
      <c r="G65" s="507">
        <f>71.34+67.53</f>
        <v>138.87</v>
      </c>
    </row>
  </sheetData>
  <mergeCells count="18">
    <mergeCell ref="A40:Q41"/>
    <mergeCell ref="G5:I5"/>
    <mergeCell ref="J5:M5"/>
    <mergeCell ref="N5:Q5"/>
    <mergeCell ref="A33:Q34"/>
    <mergeCell ref="A35:Q37"/>
    <mergeCell ref="A38:Q39"/>
    <mergeCell ref="B31:Q31"/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</mergeCells>
  <printOptions horizontalCentered="1"/>
  <pageMargins left="0" right="0" top="0.5" bottom="0" header="0.19" footer="0.5"/>
  <pageSetup paperSize="9" scale="65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view="pageBreakPreview" topLeftCell="D1" zoomScale="80" zoomScaleSheetLayoutView="80" workbookViewId="0">
      <selection activeCell="I34" activeCellId="1" sqref="I34 L36"/>
    </sheetView>
  </sheetViews>
  <sheetFormatPr defaultRowHeight="12.75"/>
  <cols>
    <col min="1" max="1" width="5" style="463" customWidth="1"/>
    <col min="2" max="2" width="19.140625" style="561" customWidth="1"/>
    <col min="3" max="3" width="9.5703125" style="561" customWidth="1"/>
    <col min="4" max="4" width="9.42578125" style="561" customWidth="1"/>
    <col min="5" max="5" width="12.42578125" style="561" customWidth="1"/>
    <col min="6" max="6" width="13.85546875" style="561" customWidth="1"/>
    <col min="7" max="8" width="14.7109375" style="561" customWidth="1"/>
    <col min="9" max="9" width="15.85546875" style="561" customWidth="1"/>
    <col min="10" max="10" width="14.28515625" style="561" customWidth="1"/>
    <col min="11" max="11" width="12.140625" style="561" customWidth="1"/>
    <col min="12" max="12" width="9.5703125" style="561" customWidth="1"/>
    <col min="13" max="13" width="13.42578125" style="561" customWidth="1"/>
    <col min="14" max="14" width="16.85546875" style="561" customWidth="1"/>
    <col min="15" max="15" width="15" style="561" customWidth="1"/>
    <col min="16" max="16" width="15.7109375" style="561" customWidth="1"/>
    <col min="17" max="17" width="15.140625" style="561" customWidth="1"/>
    <col min="18" max="18" width="13.140625" style="561" hidden="1" customWidth="1"/>
    <col min="19" max="21" width="9.140625" style="561"/>
    <col min="22" max="22" width="12.28515625" style="561" customWidth="1"/>
    <col min="23" max="16384" width="9.140625" style="561"/>
  </cols>
  <sheetData>
    <row r="1" spans="1:25" s="434" customFormat="1" ht="17.25" customHeight="1">
      <c r="A1" s="901" t="s">
        <v>0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V1" s="435">
        <v>42461</v>
      </c>
      <c r="W1" s="436">
        <v>30</v>
      </c>
      <c r="X1" s="436">
        <f t="shared" ref="X1:X11" si="0">SUM(W1)</f>
        <v>30</v>
      </c>
      <c r="Y1" s="437"/>
    </row>
    <row r="2" spans="1:25" ht="17.25" customHeight="1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V2" s="439">
        <v>42491</v>
      </c>
      <c r="W2" s="440">
        <v>31</v>
      </c>
      <c r="X2" s="440">
        <f t="shared" si="0"/>
        <v>31</v>
      </c>
      <c r="Y2" s="441"/>
    </row>
    <row r="3" spans="1:25" ht="18" customHeight="1">
      <c r="A3" s="903" t="s">
        <v>148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V3" s="439">
        <v>42522</v>
      </c>
      <c r="W3" s="440">
        <v>30</v>
      </c>
      <c r="X3" s="440">
        <f t="shared" si="0"/>
        <v>30</v>
      </c>
      <c r="Y3" s="441"/>
    </row>
    <row r="4" spans="1:25" ht="15" customHeight="1">
      <c r="A4" s="442"/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V4" s="439">
        <v>42552</v>
      </c>
      <c r="W4" s="440">
        <v>31</v>
      </c>
      <c r="X4" s="440">
        <f t="shared" si="0"/>
        <v>31</v>
      </c>
      <c r="Y4" s="441"/>
    </row>
    <row r="5" spans="1:25" s="445" customFormat="1" ht="28.5" customHeight="1">
      <c r="A5" s="904" t="s">
        <v>2</v>
      </c>
      <c r="B5" s="904" t="s">
        <v>3</v>
      </c>
      <c r="C5" s="904" t="s">
        <v>4</v>
      </c>
      <c r="D5" s="904" t="s">
        <v>5</v>
      </c>
      <c r="E5" s="904" t="s">
        <v>6</v>
      </c>
      <c r="F5" s="904" t="s">
        <v>7</v>
      </c>
      <c r="G5" s="905" t="s">
        <v>8</v>
      </c>
      <c r="H5" s="906"/>
      <c r="I5" s="906"/>
      <c r="J5" s="906" t="s">
        <v>149</v>
      </c>
      <c r="K5" s="906"/>
      <c r="L5" s="906"/>
      <c r="M5" s="906"/>
      <c r="N5" s="906" t="s">
        <v>139</v>
      </c>
      <c r="O5" s="906"/>
      <c r="P5" s="906"/>
      <c r="Q5" s="906"/>
      <c r="V5" s="446">
        <v>42583</v>
      </c>
      <c r="W5" s="447">
        <v>31</v>
      </c>
      <c r="X5" s="447">
        <f t="shared" si="0"/>
        <v>31</v>
      </c>
      <c r="Y5" s="448"/>
    </row>
    <row r="6" spans="1:25" s="450" customFormat="1" ht="94.5" customHeight="1">
      <c r="A6" s="904"/>
      <c r="B6" s="904"/>
      <c r="C6" s="904"/>
      <c r="D6" s="904"/>
      <c r="E6" s="904"/>
      <c r="F6" s="904"/>
      <c r="G6" s="560" t="s">
        <v>9</v>
      </c>
      <c r="H6" s="560" t="s">
        <v>10</v>
      </c>
      <c r="I6" s="560" t="s">
        <v>11</v>
      </c>
      <c r="J6" s="560" t="s">
        <v>12</v>
      </c>
      <c r="K6" s="560" t="s">
        <v>13</v>
      </c>
      <c r="L6" s="560" t="s">
        <v>78</v>
      </c>
      <c r="M6" s="560" t="s">
        <v>14</v>
      </c>
      <c r="N6" s="560" t="s">
        <v>140</v>
      </c>
      <c r="O6" s="560" t="s">
        <v>143</v>
      </c>
      <c r="P6" s="560" t="s">
        <v>141</v>
      </c>
      <c r="Q6" s="560" t="s">
        <v>142</v>
      </c>
      <c r="V6" s="446">
        <v>42614</v>
      </c>
      <c r="W6" s="447">
        <v>30</v>
      </c>
      <c r="X6" s="447">
        <f t="shared" si="0"/>
        <v>30</v>
      </c>
      <c r="Y6" s="451"/>
    </row>
    <row r="7" spans="1:25" s="454" customFormat="1" ht="24" customHeight="1">
      <c r="A7" s="452">
        <v>1</v>
      </c>
      <c r="B7" s="452">
        <v>2</v>
      </c>
      <c r="C7" s="452">
        <v>3</v>
      </c>
      <c r="D7" s="452">
        <v>4</v>
      </c>
      <c r="E7" s="452">
        <v>5</v>
      </c>
      <c r="F7" s="452" t="s">
        <v>19</v>
      </c>
      <c r="G7" s="452">
        <v>6</v>
      </c>
      <c r="H7" s="452">
        <v>7</v>
      </c>
      <c r="I7" s="452" t="s">
        <v>20</v>
      </c>
      <c r="J7" s="452" t="s">
        <v>21</v>
      </c>
      <c r="K7" s="453" t="s">
        <v>22</v>
      </c>
      <c r="L7" s="452" t="s">
        <v>23</v>
      </c>
      <c r="M7" s="452" t="s">
        <v>24</v>
      </c>
      <c r="N7" s="452">
        <v>13</v>
      </c>
      <c r="O7" s="452" t="s">
        <v>25</v>
      </c>
      <c r="P7" s="452">
        <v>15</v>
      </c>
      <c r="Q7" s="452">
        <v>16</v>
      </c>
      <c r="V7" s="439">
        <v>42644</v>
      </c>
      <c r="W7" s="440">
        <v>31</v>
      </c>
      <c r="X7" s="440">
        <f t="shared" si="0"/>
        <v>31</v>
      </c>
      <c r="Y7" s="455"/>
    </row>
    <row r="8" spans="1:25" s="345" customFormat="1" ht="42" customHeight="1">
      <c r="A8" s="338">
        <v>1</v>
      </c>
      <c r="B8" s="339" t="s">
        <v>26</v>
      </c>
      <c r="C8" s="516">
        <v>34</v>
      </c>
      <c r="D8" s="516">
        <v>31</v>
      </c>
      <c r="E8" s="517">
        <v>24.35</v>
      </c>
      <c r="F8" s="518" t="e">
        <f>E8+'DEC ANX I  '!F8</f>
        <v>#REF!</v>
      </c>
      <c r="G8" s="517">
        <v>210.62</v>
      </c>
      <c r="H8" s="517">
        <v>52.349999999999994</v>
      </c>
      <c r="I8" s="519">
        <f>G8+H8</f>
        <v>262.97000000000003</v>
      </c>
      <c r="J8" s="519">
        <f>E8+I8</f>
        <v>287.32000000000005</v>
      </c>
      <c r="K8" s="519">
        <f>J8/C8</f>
        <v>8.45058823529412</v>
      </c>
      <c r="L8" s="520">
        <f>+(((C8*24)*31)-I8)*100/((C8*24)*31)</f>
        <v>98.960428526249203</v>
      </c>
      <c r="M8" s="520">
        <f>+(((C8*24)*31)-J8)*100/((C8*24)*31)</f>
        <v>98.864168247944335</v>
      </c>
      <c r="N8" s="520" t="e">
        <f>J8+'DEC ANX I  '!N8</f>
        <v>#REF!</v>
      </c>
      <c r="O8" s="521" t="e">
        <f>N8/C8</f>
        <v>#REF!</v>
      </c>
      <c r="P8" s="520" t="e">
        <f>((C8*24*306)-(N8-E8))*100/(C8*24*306)</f>
        <v>#REF!</v>
      </c>
      <c r="Q8" s="520" t="e">
        <f>((C8*24*306)-(N8))*100/(C8*24*306)</f>
        <v>#REF!</v>
      </c>
      <c r="R8" s="341"/>
      <c r="S8" s="344" t="e">
        <f>L8-P8</f>
        <v>#REF!</v>
      </c>
      <c r="T8" s="344" t="e">
        <f>M8-Q8</f>
        <v>#REF!</v>
      </c>
      <c r="V8" s="346">
        <v>42675</v>
      </c>
      <c r="W8" s="347">
        <v>30</v>
      </c>
      <c r="X8" s="347">
        <f t="shared" si="0"/>
        <v>30</v>
      </c>
      <c r="Y8" s="345">
        <f>122+31</f>
        <v>153</v>
      </c>
    </row>
    <row r="9" spans="1:25" s="345" customFormat="1" ht="42" customHeight="1">
      <c r="A9" s="338">
        <v>2</v>
      </c>
      <c r="B9" s="339" t="s">
        <v>27</v>
      </c>
      <c r="C9" s="522">
        <v>11</v>
      </c>
      <c r="D9" s="522">
        <v>11</v>
      </c>
      <c r="E9" s="517">
        <v>12.6</v>
      </c>
      <c r="F9" s="518" t="e">
        <f>E9+'DEC ANX I  '!F9</f>
        <v>#REF!</v>
      </c>
      <c r="G9" s="517">
        <v>202.9</v>
      </c>
      <c r="H9" s="517">
        <v>155.34</v>
      </c>
      <c r="I9" s="519">
        <f t="shared" ref="I9:I14" si="1">G9+H9</f>
        <v>358.24</v>
      </c>
      <c r="J9" s="519">
        <f t="shared" ref="J9:J14" si="2">E9+I9</f>
        <v>370.84000000000003</v>
      </c>
      <c r="K9" s="519">
        <f t="shared" ref="K9:K14" si="3">J9/C9</f>
        <v>33.712727272727278</v>
      </c>
      <c r="L9" s="520">
        <f t="shared" ref="L9:L15" si="4">+(((C9*24)*31)-I9)*100/((C9*24)*31)</f>
        <v>95.622678396871947</v>
      </c>
      <c r="M9" s="520">
        <f t="shared" ref="M9:M15" si="5">+(((C9*24)*31)-J9)*100/((C9*24)*31)</f>
        <v>95.46871945259042</v>
      </c>
      <c r="N9" s="520" t="e">
        <f>J9+'DEC ANX I  '!N9</f>
        <v>#REF!</v>
      </c>
      <c r="O9" s="521" t="e">
        <f t="shared" ref="O9:O14" si="6">N9/C9</f>
        <v>#REF!</v>
      </c>
      <c r="P9" s="520" t="e">
        <f t="shared" ref="P9:P15" si="7">((C9*24*306)-(N9-E9))*100/(C9*24*306)</f>
        <v>#REF!</v>
      </c>
      <c r="Q9" s="520" t="e">
        <f t="shared" ref="Q9:Q15" si="8">((C9*24*306)-(N9))*100/(C9*24*306)</f>
        <v>#REF!</v>
      </c>
      <c r="R9" s="341"/>
      <c r="S9" s="344" t="e">
        <f t="shared" ref="S9:T24" si="9">L9-P9</f>
        <v>#REF!</v>
      </c>
      <c r="T9" s="344" t="e">
        <f t="shared" si="9"/>
        <v>#REF!</v>
      </c>
      <c r="V9" s="346">
        <v>42705</v>
      </c>
      <c r="W9" s="347">
        <v>31</v>
      </c>
      <c r="X9" s="347">
        <v>31</v>
      </c>
    </row>
    <row r="10" spans="1:25" s="348" customFormat="1" ht="42" customHeight="1">
      <c r="A10" s="338">
        <v>3</v>
      </c>
      <c r="B10" s="339" t="s">
        <v>28</v>
      </c>
      <c r="C10" s="523">
        <v>30</v>
      </c>
      <c r="D10" s="523">
        <v>30</v>
      </c>
      <c r="E10" s="524">
        <v>25</v>
      </c>
      <c r="F10" s="518" t="e">
        <f>E10+'DEC ANX I  '!F10</f>
        <v>#REF!</v>
      </c>
      <c r="G10" s="524">
        <v>363</v>
      </c>
      <c r="H10" s="524">
        <v>71</v>
      </c>
      <c r="I10" s="519">
        <f t="shared" si="1"/>
        <v>434</v>
      </c>
      <c r="J10" s="519">
        <f t="shared" si="2"/>
        <v>459</v>
      </c>
      <c r="K10" s="519">
        <f t="shared" si="3"/>
        <v>15.3</v>
      </c>
      <c r="L10" s="520">
        <f t="shared" si="4"/>
        <v>98.055555555555557</v>
      </c>
      <c r="M10" s="520">
        <f t="shared" si="5"/>
        <v>97.943548387096769</v>
      </c>
      <c r="N10" s="520" t="e">
        <f>J10+'DEC ANX I  '!N10</f>
        <v>#REF!</v>
      </c>
      <c r="O10" s="521" t="e">
        <f t="shared" si="6"/>
        <v>#REF!</v>
      </c>
      <c r="P10" s="520" t="e">
        <f t="shared" si="7"/>
        <v>#REF!</v>
      </c>
      <c r="Q10" s="520" t="e">
        <f t="shared" si="8"/>
        <v>#REF!</v>
      </c>
      <c r="R10" s="343"/>
      <c r="S10" s="344" t="e">
        <f t="shared" si="9"/>
        <v>#REF!</v>
      </c>
      <c r="T10" s="344" t="e">
        <f t="shared" si="9"/>
        <v>#REF!</v>
      </c>
      <c r="V10" s="349">
        <v>42370</v>
      </c>
      <c r="W10" s="350">
        <v>31</v>
      </c>
      <c r="X10" s="350">
        <f t="shared" si="0"/>
        <v>31</v>
      </c>
    </row>
    <row r="11" spans="1:25" s="358" customFormat="1" ht="42" customHeight="1">
      <c r="A11" s="338">
        <v>4</v>
      </c>
      <c r="B11" s="339" t="s">
        <v>29</v>
      </c>
      <c r="C11" s="516">
        <v>1346</v>
      </c>
      <c r="D11" s="358">
        <v>1111</v>
      </c>
      <c r="E11" s="517">
        <v>542</v>
      </c>
      <c r="F11" s="518" t="e">
        <f>E11+'DEC ANX I  '!F11</f>
        <v>#REF!</v>
      </c>
      <c r="G11" s="517">
        <v>2960</v>
      </c>
      <c r="H11" s="517">
        <v>3586</v>
      </c>
      <c r="I11" s="519">
        <f>G11+H11</f>
        <v>6546</v>
      </c>
      <c r="J11" s="519">
        <f t="shared" si="2"/>
        <v>7088</v>
      </c>
      <c r="K11" s="519">
        <f t="shared" si="3"/>
        <v>5.2659732540861812</v>
      </c>
      <c r="L11" s="520">
        <f t="shared" si="4"/>
        <v>99.346330824905337</v>
      </c>
      <c r="M11" s="520">
        <f t="shared" si="5"/>
        <v>99.292207895956153</v>
      </c>
      <c r="N11" s="520" t="e">
        <f>J11+'DEC ANX I  '!N11</f>
        <v>#REF!</v>
      </c>
      <c r="O11" s="521" t="e">
        <f t="shared" si="6"/>
        <v>#REF!</v>
      </c>
      <c r="P11" s="520" t="e">
        <f t="shared" si="7"/>
        <v>#REF!</v>
      </c>
      <c r="Q11" s="520" t="e">
        <f t="shared" si="8"/>
        <v>#REF!</v>
      </c>
      <c r="R11" s="343"/>
      <c r="S11" s="344" t="e">
        <f t="shared" si="9"/>
        <v>#REF!</v>
      </c>
      <c r="T11" s="344" t="e">
        <f t="shared" si="9"/>
        <v>#REF!</v>
      </c>
      <c r="V11" s="349">
        <v>42401</v>
      </c>
      <c r="W11" s="350">
        <v>29</v>
      </c>
      <c r="X11" s="350">
        <f t="shared" si="0"/>
        <v>29</v>
      </c>
    </row>
    <row r="12" spans="1:25" s="358" customFormat="1" ht="42" customHeight="1">
      <c r="A12" s="338">
        <v>5</v>
      </c>
      <c r="B12" s="339" t="s">
        <v>32</v>
      </c>
      <c r="C12" s="525">
        <v>4</v>
      </c>
      <c r="D12" s="525">
        <v>4</v>
      </c>
      <c r="E12" s="526">
        <v>1</v>
      </c>
      <c r="F12" s="518" t="e">
        <f>E12+'DEC ANX I  '!F12</f>
        <v>#REF!</v>
      </c>
      <c r="G12" s="526">
        <v>27.763194444444448</v>
      </c>
      <c r="H12" s="526">
        <v>7.2243055555555555</v>
      </c>
      <c r="I12" s="519">
        <f>G12+H12</f>
        <v>34.987500000000004</v>
      </c>
      <c r="J12" s="519">
        <f t="shared" si="2"/>
        <v>35.987500000000004</v>
      </c>
      <c r="K12" s="519">
        <f t="shared" si="3"/>
        <v>8.9968750000000011</v>
      </c>
      <c r="L12" s="520">
        <f t="shared" si="4"/>
        <v>98.824344758064512</v>
      </c>
      <c r="M12" s="520">
        <f t="shared" si="5"/>
        <v>98.79074260752688</v>
      </c>
      <c r="N12" s="520" t="e">
        <f>J12+'DEC ANX I  '!N12</f>
        <v>#REF!</v>
      </c>
      <c r="O12" s="521" t="e">
        <f t="shared" si="6"/>
        <v>#REF!</v>
      </c>
      <c r="P12" s="520" t="e">
        <f t="shared" si="7"/>
        <v>#REF!</v>
      </c>
      <c r="Q12" s="520" t="e">
        <f t="shared" si="8"/>
        <v>#REF!</v>
      </c>
      <c r="R12" s="343"/>
      <c r="S12" s="344" t="e">
        <f t="shared" si="9"/>
        <v>#REF!</v>
      </c>
      <c r="T12" s="344" t="e">
        <f t="shared" si="9"/>
        <v>#REF!</v>
      </c>
      <c r="V12" s="349">
        <v>42430</v>
      </c>
      <c r="W12" s="350">
        <v>31</v>
      </c>
      <c r="X12" s="350">
        <v>31</v>
      </c>
    </row>
    <row r="13" spans="1:25" s="358" customFormat="1" ht="42" customHeight="1">
      <c r="A13" s="338">
        <v>6</v>
      </c>
      <c r="B13" s="339" t="s">
        <v>30</v>
      </c>
      <c r="C13" s="527">
        <v>13</v>
      </c>
      <c r="D13" s="527">
        <v>13</v>
      </c>
      <c r="E13" s="528">
        <v>1.6</v>
      </c>
      <c r="F13" s="518" t="e">
        <f>E13+'DEC ANX I  '!F13</f>
        <v>#REF!</v>
      </c>
      <c r="G13" s="528">
        <v>98.84</v>
      </c>
      <c r="H13" s="528">
        <v>80.23</v>
      </c>
      <c r="I13" s="519">
        <f t="shared" si="1"/>
        <v>179.07</v>
      </c>
      <c r="J13" s="519">
        <f t="shared" si="2"/>
        <v>180.67</v>
      </c>
      <c r="K13" s="519">
        <f t="shared" si="3"/>
        <v>13.897692307692306</v>
      </c>
      <c r="L13" s="520">
        <f t="shared" si="4"/>
        <v>98.148573200992558</v>
      </c>
      <c r="M13" s="520">
        <f t="shared" si="5"/>
        <v>98.132030603804793</v>
      </c>
      <c r="N13" s="520" t="e">
        <f>J13+'DEC ANX I  '!N13</f>
        <v>#REF!</v>
      </c>
      <c r="O13" s="521" t="e">
        <f t="shared" si="6"/>
        <v>#REF!</v>
      </c>
      <c r="P13" s="520" t="e">
        <f t="shared" si="7"/>
        <v>#REF!</v>
      </c>
      <c r="Q13" s="520" t="e">
        <f t="shared" si="8"/>
        <v>#REF!</v>
      </c>
      <c r="R13" s="343"/>
      <c r="S13" s="344" t="e">
        <f>L14-P14</f>
        <v>#REF!</v>
      </c>
      <c r="T13" s="344" t="e">
        <f>M14-Q14</f>
        <v>#REF!</v>
      </c>
      <c r="V13" s="350"/>
      <c r="W13" s="350">
        <f>SUM(W1:W12)</f>
        <v>366</v>
      </c>
      <c r="X13" s="350">
        <f>SUM(W14)</f>
        <v>0</v>
      </c>
    </row>
    <row r="14" spans="1:25" s="358" customFormat="1" ht="42" customHeight="1">
      <c r="A14" s="338">
        <v>7</v>
      </c>
      <c r="B14" s="339" t="s">
        <v>31</v>
      </c>
      <c r="C14" s="527">
        <v>9</v>
      </c>
      <c r="D14" s="527">
        <v>9</v>
      </c>
      <c r="E14" s="528">
        <v>29.2</v>
      </c>
      <c r="F14" s="518" t="e">
        <f>E14+'DEC ANX I  '!F14</f>
        <v>#REF!</v>
      </c>
      <c r="G14" s="528">
        <v>51.37</v>
      </c>
      <c r="H14" s="528">
        <v>43.04</v>
      </c>
      <c r="I14" s="519">
        <f t="shared" si="1"/>
        <v>94.41</v>
      </c>
      <c r="J14" s="519">
        <f t="shared" si="2"/>
        <v>123.61</v>
      </c>
      <c r="K14" s="519">
        <f t="shared" si="3"/>
        <v>13.734444444444444</v>
      </c>
      <c r="L14" s="520">
        <f t="shared" si="4"/>
        <v>98.590053763440864</v>
      </c>
      <c r="M14" s="520">
        <f t="shared" si="5"/>
        <v>98.153972520907999</v>
      </c>
      <c r="N14" s="520" t="e">
        <f>J14+'DEC ANX I  '!N14</f>
        <v>#REF!</v>
      </c>
      <c r="O14" s="521" t="e">
        <f t="shared" si="6"/>
        <v>#REF!</v>
      </c>
      <c r="P14" s="520" t="e">
        <f t="shared" si="7"/>
        <v>#REF!</v>
      </c>
      <c r="Q14" s="520" t="e">
        <f t="shared" si="8"/>
        <v>#REF!</v>
      </c>
      <c r="R14" s="359"/>
      <c r="S14" s="344" t="e">
        <f t="shared" si="9"/>
        <v>#REF!</v>
      </c>
      <c r="T14" s="344" t="e">
        <f t="shared" si="9"/>
        <v>#REF!</v>
      </c>
    </row>
    <row r="15" spans="1:25" ht="27.75" hidden="1" customHeight="1" thickBot="1">
      <c r="A15" s="456"/>
      <c r="B15" s="457"/>
      <c r="C15" s="458">
        <f t="shared" ref="C15:K15" si="10">C8+C9+C10+C11+C12+C14+C14</f>
        <v>1443</v>
      </c>
      <c r="D15" s="458">
        <f>D8+D9+D10+E11+D12+D14+D14</f>
        <v>636</v>
      </c>
      <c r="E15" s="458" t="e">
        <f>E8+E9+E10+#REF!+E12+E14+E14</f>
        <v>#REF!</v>
      </c>
      <c r="F15" s="518" t="e">
        <f>E15+'DEC ANX I  '!F15</f>
        <v>#REF!</v>
      </c>
      <c r="G15" s="458">
        <f>G8+G9+G10+G11+G12+G14+G14</f>
        <v>3867.023194444444</v>
      </c>
      <c r="H15" s="458">
        <f>H8+H9+H10+H11+H12+H14+H14</f>
        <v>3957.9943055555555</v>
      </c>
      <c r="I15" s="458">
        <f t="shared" si="10"/>
        <v>7825.0174999999999</v>
      </c>
      <c r="J15" s="458">
        <f t="shared" si="10"/>
        <v>8488.3675000000003</v>
      </c>
      <c r="K15" s="458">
        <f t="shared" si="10"/>
        <v>99.195052650996473</v>
      </c>
      <c r="L15" s="459">
        <f t="shared" si="4"/>
        <v>99.271136753999656</v>
      </c>
      <c r="M15" s="459">
        <f t="shared" si="5"/>
        <v>99.209348849469819</v>
      </c>
      <c r="N15" s="520" t="e">
        <f>J15+'DEC ANX I  '!N15</f>
        <v>#REF!</v>
      </c>
      <c r="O15" s="458" t="e">
        <f>O8+O9+O10+O11+O12+O14+O14</f>
        <v>#REF!</v>
      </c>
      <c r="P15" s="520" t="e">
        <f t="shared" si="7"/>
        <v>#REF!</v>
      </c>
      <c r="Q15" s="520" t="e">
        <f t="shared" si="8"/>
        <v>#REF!</v>
      </c>
      <c r="T15" s="460" t="e">
        <f t="shared" si="9"/>
        <v>#REF!</v>
      </c>
    </row>
    <row r="16" spans="1:25" ht="27.75" hidden="1" customHeight="1">
      <c r="A16" s="895" t="s">
        <v>61</v>
      </c>
      <c r="B16" s="896"/>
      <c r="C16" s="896"/>
      <c r="D16" s="896"/>
      <c r="E16" s="896"/>
      <c r="F16" s="896"/>
      <c r="G16" s="896"/>
      <c r="H16" s="896"/>
      <c r="I16" s="896"/>
      <c r="J16" s="896"/>
      <c r="K16" s="896"/>
      <c r="L16" s="896"/>
      <c r="M16" s="896"/>
      <c r="N16" s="896"/>
      <c r="O16" s="896"/>
      <c r="P16" s="896"/>
      <c r="Q16" s="897"/>
      <c r="T16" s="460">
        <f t="shared" si="9"/>
        <v>0</v>
      </c>
    </row>
    <row r="17" spans="1:20" ht="9" hidden="1" customHeight="1" thickBot="1">
      <c r="A17" s="898"/>
      <c r="B17" s="899"/>
      <c r="C17" s="899"/>
      <c r="D17" s="899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900"/>
      <c r="T17" s="460">
        <f t="shared" si="9"/>
        <v>0</v>
      </c>
    </row>
    <row r="18" spans="1:20" ht="16.5" hidden="1" customHeight="1">
      <c r="A18" s="907" t="s">
        <v>62</v>
      </c>
      <c r="B18" s="908"/>
      <c r="C18" s="908"/>
      <c r="D18" s="908"/>
      <c r="E18" s="908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08"/>
      <c r="Q18" s="909"/>
      <c r="T18" s="460">
        <f t="shared" si="9"/>
        <v>0</v>
      </c>
    </row>
    <row r="19" spans="1:20" ht="30.75" hidden="1" customHeight="1">
      <c r="A19" s="910"/>
      <c r="B19" s="911"/>
      <c r="C19" s="911"/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  <c r="Q19" s="912"/>
      <c r="T19" s="460">
        <f t="shared" si="9"/>
        <v>0</v>
      </c>
    </row>
    <row r="20" spans="1:20" ht="23.25" hidden="1" customHeight="1" thickBot="1">
      <c r="A20" s="913"/>
      <c r="B20" s="914"/>
      <c r="C20" s="914"/>
      <c r="D20" s="914"/>
      <c r="E20" s="914"/>
      <c r="F20" s="914"/>
      <c r="G20" s="914"/>
      <c r="H20" s="914"/>
      <c r="I20" s="914"/>
      <c r="J20" s="914"/>
      <c r="K20" s="914"/>
      <c r="L20" s="914"/>
      <c r="M20" s="914"/>
      <c r="N20" s="914"/>
      <c r="O20" s="914"/>
      <c r="P20" s="914"/>
      <c r="Q20" s="915"/>
      <c r="T20" s="460">
        <f t="shared" si="9"/>
        <v>0</v>
      </c>
    </row>
    <row r="21" spans="1:20" ht="30" hidden="1" customHeight="1">
      <c r="A21" s="895" t="s">
        <v>65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97"/>
      <c r="T21" s="460">
        <f t="shared" si="9"/>
        <v>0</v>
      </c>
    </row>
    <row r="22" spans="1:20" ht="16.5" hidden="1" customHeight="1" thickBot="1">
      <c r="A22" s="898"/>
      <c r="B22" s="899"/>
      <c r="C22" s="899"/>
      <c r="D22" s="899"/>
      <c r="E22" s="899"/>
      <c r="F22" s="899"/>
      <c r="G22" s="899"/>
      <c r="H22" s="899"/>
      <c r="I22" s="899"/>
      <c r="J22" s="899"/>
      <c r="K22" s="899"/>
      <c r="L22" s="899"/>
      <c r="M22" s="899"/>
      <c r="N22" s="899"/>
      <c r="O22" s="899"/>
      <c r="P22" s="899"/>
      <c r="Q22" s="900"/>
      <c r="T22" s="460">
        <f t="shared" si="9"/>
        <v>0</v>
      </c>
    </row>
    <row r="23" spans="1:20" ht="27.75" hidden="1" customHeight="1">
      <c r="A23" s="895" t="s">
        <v>36</v>
      </c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7"/>
      <c r="T23" s="460">
        <f t="shared" si="9"/>
        <v>0</v>
      </c>
    </row>
    <row r="24" spans="1:20" ht="27.75" hidden="1" customHeight="1" thickBot="1">
      <c r="A24" s="898"/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  <c r="M24" s="899"/>
      <c r="N24" s="899"/>
      <c r="O24" s="899"/>
      <c r="P24" s="899"/>
      <c r="Q24" s="900"/>
      <c r="T24" s="460">
        <f t="shared" si="9"/>
        <v>0</v>
      </c>
    </row>
    <row r="25" spans="1:20" ht="27.75" hidden="1" customHeight="1">
      <c r="A25" s="456"/>
      <c r="B25" s="457"/>
      <c r="C25" s="461"/>
      <c r="D25" s="461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T25" s="460">
        <f t="shared" ref="T25:T55" si="11">M25-Q25</f>
        <v>0</v>
      </c>
    </row>
    <row r="26" spans="1:20" ht="27.75" hidden="1" customHeight="1">
      <c r="A26" s="456"/>
      <c r="B26" s="457"/>
      <c r="C26" s="461"/>
      <c r="D26" s="461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T26" s="460">
        <f t="shared" si="11"/>
        <v>0</v>
      </c>
    </row>
    <row r="27" spans="1:20" ht="18" hidden="1">
      <c r="T27" s="460">
        <f t="shared" si="11"/>
        <v>0</v>
      </c>
    </row>
    <row r="28" spans="1:20" ht="33" hidden="1" customHeight="1">
      <c r="A28" s="917"/>
      <c r="B28" s="917"/>
      <c r="C28" s="917"/>
      <c r="D28" s="917"/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917"/>
      <c r="P28" s="917"/>
      <c r="Q28" s="917"/>
      <c r="T28" s="460">
        <f t="shared" si="11"/>
        <v>0</v>
      </c>
    </row>
    <row r="29" spans="1:20" ht="19.5" hidden="1" customHeight="1">
      <c r="A29" s="918"/>
      <c r="B29" s="918"/>
      <c r="C29" s="918"/>
      <c r="D29" s="918"/>
      <c r="E29" s="918"/>
      <c r="F29" s="918"/>
      <c r="G29" s="918"/>
      <c r="H29" s="918"/>
      <c r="I29" s="918"/>
      <c r="J29" s="918"/>
      <c r="K29" s="918"/>
      <c r="L29" s="918"/>
      <c r="M29" s="918"/>
      <c r="N29" s="918"/>
      <c r="O29" s="918"/>
      <c r="P29" s="918"/>
      <c r="Q29" s="918"/>
      <c r="T29" s="460">
        <f t="shared" si="11"/>
        <v>0</v>
      </c>
    </row>
    <row r="30" spans="1:20" ht="33" hidden="1" customHeight="1">
      <c r="A30" s="917">
        <f>669/7</f>
        <v>95.571428571428569</v>
      </c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917"/>
      <c r="P30" s="917"/>
      <c r="Q30" s="917"/>
      <c r="T30" s="460">
        <f t="shared" si="11"/>
        <v>0</v>
      </c>
    </row>
    <row r="31" spans="1:20" ht="24.75" hidden="1" customHeight="1">
      <c r="P31" s="464" t="e">
        <f>P15+#REF!+#REF!</f>
        <v>#REF!</v>
      </c>
      <c r="Q31" s="464" t="e">
        <f>Q15+#REF!+#REF!</f>
        <v>#REF!</v>
      </c>
      <c r="R31" s="464" t="e">
        <f>R15+#REF!+#REF!</f>
        <v>#REF!</v>
      </c>
      <c r="T31" s="460" t="e">
        <f t="shared" si="11"/>
        <v>#REF!</v>
      </c>
    </row>
    <row r="32" spans="1:20" ht="24.75" hidden="1" customHeight="1">
      <c r="P32" s="464" t="e">
        <f>P31/3</f>
        <v>#REF!</v>
      </c>
      <c r="Q32" s="464" t="e">
        <f>Q31/3</f>
        <v>#REF!</v>
      </c>
      <c r="T32" s="460" t="e">
        <f t="shared" si="11"/>
        <v>#REF!</v>
      </c>
    </row>
    <row r="33" spans="16:20" ht="24.75" hidden="1" customHeight="1">
      <c r="P33" s="464"/>
      <c r="Q33" s="464"/>
      <c r="T33" s="460">
        <f t="shared" si="11"/>
        <v>0</v>
      </c>
    </row>
    <row r="34" spans="16:20" ht="24.75" hidden="1" customHeight="1">
      <c r="P34" s="465" t="e">
        <f>P14+P11</f>
        <v>#REF!</v>
      </c>
      <c r="Q34" s="465" t="e">
        <f>Q14+Q11</f>
        <v>#REF!</v>
      </c>
      <c r="T34" s="460" t="e">
        <f t="shared" si="11"/>
        <v>#REF!</v>
      </c>
    </row>
    <row r="35" spans="16:20" ht="20.25" hidden="1" customHeight="1">
      <c r="P35" s="465" t="e">
        <f>P34/2</f>
        <v>#REF!</v>
      </c>
      <c r="Q35" s="465" t="e">
        <f>Q34/2</f>
        <v>#REF!</v>
      </c>
      <c r="T35" s="460" t="e">
        <f t="shared" si="11"/>
        <v>#REF!</v>
      </c>
    </row>
    <row r="36" spans="16:20" ht="18" hidden="1">
      <c r="T36" s="460">
        <f t="shared" si="11"/>
        <v>0</v>
      </c>
    </row>
    <row r="37" spans="16:20" ht="18" hidden="1">
      <c r="T37" s="460">
        <f t="shared" si="11"/>
        <v>0</v>
      </c>
    </row>
    <row r="38" spans="16:20" ht="18" hidden="1">
      <c r="P38" s="464"/>
      <c r="Q38" s="464"/>
      <c r="R38" s="464"/>
      <c r="T38" s="460">
        <f t="shared" si="11"/>
        <v>0</v>
      </c>
    </row>
    <row r="39" spans="16:20" ht="18" hidden="1">
      <c r="T39" s="460">
        <f t="shared" si="11"/>
        <v>0</v>
      </c>
    </row>
    <row r="40" spans="16:20" ht="18" hidden="1">
      <c r="T40" s="460">
        <f t="shared" si="11"/>
        <v>0</v>
      </c>
    </row>
    <row r="41" spans="16:20" ht="18" hidden="1">
      <c r="T41" s="460">
        <f t="shared" si="11"/>
        <v>0</v>
      </c>
    </row>
    <row r="42" spans="16:20" ht="18" hidden="1">
      <c r="T42" s="460">
        <f t="shared" si="11"/>
        <v>0</v>
      </c>
    </row>
    <row r="43" spans="16:20" ht="18" hidden="1">
      <c r="T43" s="460">
        <f t="shared" si="11"/>
        <v>0</v>
      </c>
    </row>
    <row r="44" spans="16:20" ht="18" hidden="1">
      <c r="T44" s="460">
        <f t="shared" si="11"/>
        <v>0</v>
      </c>
    </row>
    <row r="45" spans="16:20" ht="18" hidden="1">
      <c r="T45" s="460">
        <f t="shared" si="11"/>
        <v>0</v>
      </c>
    </row>
    <row r="46" spans="16:20" ht="18" hidden="1">
      <c r="P46" s="464"/>
      <c r="Q46" s="464"/>
      <c r="T46" s="460">
        <f t="shared" si="11"/>
        <v>0</v>
      </c>
    </row>
    <row r="47" spans="16:20" ht="18" hidden="1">
      <c r="P47" s="464"/>
      <c r="Q47" s="464"/>
      <c r="T47" s="460">
        <f t="shared" si="11"/>
        <v>0</v>
      </c>
    </row>
    <row r="48" spans="16:20" ht="18" hidden="1">
      <c r="P48" s="464" t="e">
        <f>P10+P12</f>
        <v>#REF!</v>
      </c>
      <c r="Q48" s="464" t="e">
        <f>Q10+Q12</f>
        <v>#REF!</v>
      </c>
      <c r="T48" s="460" t="e">
        <f t="shared" si="11"/>
        <v>#REF!</v>
      </c>
    </row>
    <row r="49" spans="1:20" ht="18" hidden="1">
      <c r="P49" s="561" t="e">
        <f>P48/2</f>
        <v>#REF!</v>
      </c>
      <c r="Q49" s="561" t="e">
        <f>Q48/2</f>
        <v>#REF!</v>
      </c>
      <c r="T49" s="460" t="e">
        <f t="shared" si="11"/>
        <v>#REF!</v>
      </c>
    </row>
    <row r="50" spans="1:20" ht="18" hidden="1">
      <c r="T50" s="460">
        <f t="shared" si="11"/>
        <v>0</v>
      </c>
    </row>
    <row r="51" spans="1:20" ht="18" hidden="1">
      <c r="T51" s="460">
        <f t="shared" si="11"/>
        <v>0</v>
      </c>
    </row>
    <row r="52" spans="1:20" ht="18" hidden="1">
      <c r="T52" s="460">
        <f t="shared" si="11"/>
        <v>0</v>
      </c>
    </row>
    <row r="53" spans="1:20" ht="18" hidden="1">
      <c r="T53" s="460">
        <f t="shared" si="11"/>
        <v>0</v>
      </c>
    </row>
    <row r="54" spans="1:20" ht="18" hidden="1">
      <c r="T54" s="460">
        <f t="shared" si="11"/>
        <v>0</v>
      </c>
    </row>
    <row r="55" spans="1:20" ht="18" hidden="1">
      <c r="T55" s="460">
        <f t="shared" si="11"/>
        <v>0</v>
      </c>
    </row>
    <row r="56" spans="1:20" s="577" customFormat="1" ht="15.75">
      <c r="A56" s="574"/>
      <c r="B56" s="575" t="s">
        <v>153</v>
      </c>
      <c r="C56" s="576" t="s">
        <v>159</v>
      </c>
      <c r="D56" s="576"/>
      <c r="E56" s="576"/>
      <c r="F56" s="576"/>
      <c r="G56" s="575"/>
      <c r="H56" s="575"/>
      <c r="I56" s="575"/>
      <c r="T56" s="578"/>
    </row>
    <row r="57" spans="1:20" s="577" customFormat="1" ht="20.25" customHeight="1">
      <c r="A57" s="574"/>
      <c r="C57" s="577" t="s">
        <v>155</v>
      </c>
      <c r="T57" s="578"/>
    </row>
    <row r="58" spans="1:20" s="577" customFormat="1" ht="20.25" customHeight="1">
      <c r="A58" s="574"/>
      <c r="C58" s="577" t="s">
        <v>156</v>
      </c>
      <c r="T58" s="578"/>
    </row>
    <row r="59" spans="1:20" s="577" customFormat="1" ht="20.25" customHeight="1">
      <c r="A59" s="574"/>
      <c r="C59" s="577" t="s">
        <v>157</v>
      </c>
      <c r="T59" s="578"/>
    </row>
    <row r="60" spans="1:20" s="577" customFormat="1" ht="20.25" customHeight="1">
      <c r="A60" s="574"/>
      <c r="C60" s="577" t="s">
        <v>158</v>
      </c>
    </row>
    <row r="61" spans="1:20" ht="12.75" customHeight="1"/>
    <row r="62" spans="1:20" ht="38.25" customHeight="1"/>
    <row r="64" spans="1:20" ht="23.25" customHeight="1">
      <c r="C64" s="466"/>
      <c r="F64" s="514"/>
      <c r="G64" s="515"/>
      <c r="H64" s="514"/>
      <c r="L64" s="464"/>
      <c r="M64" s="464" t="s">
        <v>154</v>
      </c>
      <c r="N64" s="464"/>
    </row>
    <row r="65" spans="2:18" ht="18.75" customHeight="1">
      <c r="B65" s="919" t="s">
        <v>67</v>
      </c>
      <c r="C65" s="919"/>
      <c r="D65" s="919"/>
      <c r="E65" s="919"/>
      <c r="F65" s="919"/>
      <c r="G65" s="557"/>
      <c r="H65" s="557"/>
      <c r="I65" s="468"/>
      <c r="J65" s="468"/>
      <c r="K65" s="468"/>
      <c r="L65" s="469"/>
      <c r="M65" s="469"/>
      <c r="N65" s="470"/>
      <c r="O65" s="919" t="s">
        <v>68</v>
      </c>
      <c r="P65" s="919"/>
      <c r="Q65" s="919"/>
      <c r="R65" s="919"/>
    </row>
    <row r="66" spans="2:18" ht="18.75" customHeight="1">
      <c r="B66" s="919" t="s">
        <v>69</v>
      </c>
      <c r="C66" s="919"/>
      <c r="D66" s="919"/>
      <c r="E66" s="919"/>
      <c r="F66" s="919"/>
      <c r="G66" s="557"/>
      <c r="H66" s="557"/>
      <c r="I66" s="468"/>
      <c r="J66" s="468"/>
      <c r="K66" s="468"/>
      <c r="L66" s="469"/>
      <c r="M66" s="469"/>
      <c r="N66" s="470"/>
      <c r="O66" s="919" t="s">
        <v>87</v>
      </c>
      <c r="P66" s="919"/>
      <c r="Q66" s="919"/>
      <c r="R66" s="919"/>
    </row>
    <row r="67" spans="2:18" ht="18.75">
      <c r="B67" s="475"/>
      <c r="C67" s="471"/>
      <c r="D67" s="471"/>
      <c r="E67" s="557"/>
      <c r="F67" s="472"/>
      <c r="G67" s="470"/>
      <c r="H67" s="916" t="s">
        <v>70</v>
      </c>
      <c r="I67" s="916"/>
      <c r="J67" s="916"/>
      <c r="K67" s="916"/>
      <c r="L67" s="469"/>
      <c r="M67" s="469"/>
      <c r="N67" s="468"/>
      <c r="O67" s="469"/>
      <c r="P67" s="469"/>
      <c r="Q67" s="469"/>
      <c r="R67" s="473"/>
    </row>
    <row r="68" spans="2:18" ht="18.75">
      <c r="B68" s="475"/>
      <c r="C68" s="471"/>
      <c r="D68" s="471"/>
      <c r="E68" s="557"/>
      <c r="F68" s="472"/>
      <c r="G68" s="470"/>
      <c r="H68" s="916" t="s">
        <v>71</v>
      </c>
      <c r="I68" s="916"/>
      <c r="J68" s="916"/>
      <c r="K68" s="916"/>
      <c r="L68" s="469"/>
      <c r="M68" s="469"/>
      <c r="N68" s="468"/>
      <c r="O68" s="473"/>
      <c r="P68" s="473"/>
      <c r="Q68" s="473"/>
      <c r="R68" s="473"/>
    </row>
    <row r="73" spans="2:18" ht="18">
      <c r="G73" s="476"/>
      <c r="H73" s="476"/>
    </row>
    <row r="75" spans="2:18">
      <c r="J75" s="474"/>
    </row>
    <row r="80" spans="2:18">
      <c r="J80" s="561">
        <v>113.52</v>
      </c>
    </row>
  </sheetData>
  <mergeCells count="25"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  <mergeCell ref="B66:F66"/>
    <mergeCell ref="O66:R66"/>
    <mergeCell ref="H67:K67"/>
    <mergeCell ref="H68:K68"/>
    <mergeCell ref="A28:Q28"/>
    <mergeCell ref="A29:Q29"/>
    <mergeCell ref="A30:Q30"/>
    <mergeCell ref="B65:F65"/>
    <mergeCell ref="O65:R65"/>
  </mergeCells>
  <printOptions horizontalCentered="1"/>
  <pageMargins left="0" right="0" top="0.25" bottom="0" header="0.19" footer="0.5"/>
  <pageSetup paperSize="9" scale="64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view="pageBreakPreview" topLeftCell="A19" zoomScale="80" zoomScaleSheetLayoutView="80" workbookViewId="0">
      <selection activeCell="I34" activeCellId="1" sqref="I34 L36"/>
    </sheetView>
  </sheetViews>
  <sheetFormatPr defaultRowHeight="12.75"/>
  <cols>
    <col min="1" max="1" width="5.140625" style="477" customWidth="1"/>
    <col min="2" max="2" width="18.5703125" style="478" customWidth="1"/>
    <col min="3" max="3" width="9.28515625" style="479" customWidth="1"/>
    <col min="4" max="4" width="10.28515625" style="479" customWidth="1"/>
    <col min="5" max="5" width="17.42578125" style="479" customWidth="1"/>
    <col min="6" max="6" width="11.42578125" style="479" customWidth="1"/>
    <col min="7" max="7" width="12.7109375" style="479" customWidth="1"/>
    <col min="8" max="8" width="16.42578125" style="479" customWidth="1"/>
    <col min="9" max="9" width="16.140625" style="480" customWidth="1"/>
    <col min="10" max="10" width="13.28515625" style="480" customWidth="1"/>
    <col min="11" max="11" width="14" style="480" customWidth="1"/>
    <col min="12" max="12" width="12.5703125" style="480" customWidth="1"/>
    <col min="13" max="13" width="12.140625" style="480" customWidth="1"/>
    <col min="14" max="14" width="15.140625" style="480" customWidth="1"/>
    <col min="15" max="16" width="14.42578125" style="480" customWidth="1"/>
    <col min="17" max="17" width="14.140625" style="480" customWidth="1"/>
    <col min="18" max="18" width="21" style="480" hidden="1" customWidth="1"/>
    <col min="19" max="16384" width="9.140625" style="480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921" t="s">
        <v>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</row>
    <row r="7" spans="1:20" ht="16.5" customHeight="1">
      <c r="A7" s="922" t="s">
        <v>117</v>
      </c>
      <c r="B7" s="922"/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</row>
    <row r="8" spans="1:20" s="561" customFormat="1" ht="18.75" customHeight="1">
      <c r="A8" s="903" t="s">
        <v>150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</row>
    <row r="9" spans="1:20" s="561" customFormat="1" ht="12" hidden="1" customHeight="1">
      <c r="A9" s="559"/>
      <c r="B9" s="482"/>
      <c r="C9" s="483"/>
      <c r="D9" s="483"/>
      <c r="E9" s="483"/>
      <c r="F9" s="483"/>
      <c r="G9" s="483"/>
      <c r="H9" s="483"/>
      <c r="I9" s="559"/>
      <c r="J9" s="559"/>
      <c r="K9" s="559"/>
      <c r="L9" s="559"/>
      <c r="M9" s="559"/>
      <c r="N9" s="559"/>
      <c r="O9" s="559"/>
      <c r="P9" s="559"/>
      <c r="Q9" s="559"/>
    </row>
    <row r="10" spans="1:20" ht="12" customHeight="1">
      <c r="A10" s="923"/>
      <c r="B10" s="923"/>
      <c r="C10" s="923"/>
      <c r="D10" s="923"/>
      <c r="E10" s="484"/>
      <c r="F10" s="484"/>
      <c r="G10" s="484"/>
      <c r="H10" s="484"/>
      <c r="I10" s="558"/>
      <c r="J10" s="558"/>
      <c r="K10" s="558"/>
      <c r="L10" s="558"/>
      <c r="M10" s="558"/>
      <c r="N10" s="558"/>
      <c r="O10" s="558"/>
      <c r="P10" s="558"/>
      <c r="Q10" s="558"/>
    </row>
    <row r="11" spans="1:20" s="450" customFormat="1" ht="14.25" customHeight="1">
      <c r="A11" s="924" t="s">
        <v>2</v>
      </c>
      <c r="B11" s="925" t="s">
        <v>38</v>
      </c>
      <c r="C11" s="924" t="s">
        <v>4</v>
      </c>
      <c r="D11" s="924" t="s">
        <v>5</v>
      </c>
      <c r="E11" s="924" t="s">
        <v>6</v>
      </c>
      <c r="F11" s="924" t="s">
        <v>7</v>
      </c>
      <c r="G11" s="906" t="s">
        <v>39</v>
      </c>
      <c r="H11" s="906"/>
      <c r="I11" s="906"/>
      <c r="J11" s="906" t="s">
        <v>149</v>
      </c>
      <c r="K11" s="906"/>
      <c r="L11" s="906"/>
      <c r="M11" s="906"/>
      <c r="N11" s="906" t="s">
        <v>139</v>
      </c>
      <c r="O11" s="906"/>
      <c r="P11" s="906"/>
      <c r="Q11" s="906"/>
    </row>
    <row r="12" spans="1:20" s="450" customFormat="1" ht="106.5" customHeight="1">
      <c r="A12" s="924"/>
      <c r="B12" s="926"/>
      <c r="C12" s="924"/>
      <c r="D12" s="924"/>
      <c r="E12" s="924"/>
      <c r="F12" s="924"/>
      <c r="G12" s="562" t="s">
        <v>9</v>
      </c>
      <c r="H12" s="562" t="s">
        <v>10</v>
      </c>
      <c r="I12" s="562" t="s">
        <v>11</v>
      </c>
      <c r="J12" s="562" t="s">
        <v>12</v>
      </c>
      <c r="K12" s="562" t="s">
        <v>13</v>
      </c>
      <c r="L12" s="562" t="s">
        <v>78</v>
      </c>
      <c r="M12" s="562" t="s">
        <v>14</v>
      </c>
      <c r="N12" s="562" t="s">
        <v>140</v>
      </c>
      <c r="O12" s="562" t="s">
        <v>16</v>
      </c>
      <c r="P12" s="562" t="s">
        <v>141</v>
      </c>
      <c r="Q12" s="562" t="s">
        <v>142</v>
      </c>
    </row>
    <row r="13" spans="1:20" s="448" customFormat="1" ht="14.25" customHeight="1">
      <c r="A13" s="563">
        <v>1</v>
      </c>
      <c r="B13" s="563" t="s">
        <v>40</v>
      </c>
      <c r="C13" s="548">
        <v>3</v>
      </c>
      <c r="D13" s="548">
        <v>4</v>
      </c>
      <c r="E13" s="548">
        <v>5</v>
      </c>
      <c r="F13" s="563" t="s">
        <v>19</v>
      </c>
      <c r="G13" s="548">
        <v>6</v>
      </c>
      <c r="H13" s="548">
        <v>7</v>
      </c>
      <c r="I13" s="563" t="s">
        <v>20</v>
      </c>
      <c r="J13" s="563" t="s">
        <v>21</v>
      </c>
      <c r="K13" s="549" t="s">
        <v>22</v>
      </c>
      <c r="L13" s="563" t="s">
        <v>23</v>
      </c>
      <c r="M13" s="563" t="s">
        <v>24</v>
      </c>
      <c r="N13" s="563">
        <v>13</v>
      </c>
      <c r="O13" s="563" t="s">
        <v>25</v>
      </c>
      <c r="P13" s="563">
        <v>15</v>
      </c>
      <c r="Q13" s="563">
        <v>16</v>
      </c>
    </row>
    <row r="14" spans="1:20" s="330" customFormat="1" ht="24.95" customHeight="1">
      <c r="A14" s="228">
        <v>1</v>
      </c>
      <c r="B14" s="229" t="s">
        <v>41</v>
      </c>
      <c r="C14" s="529">
        <v>1</v>
      </c>
      <c r="D14" s="529">
        <v>1</v>
      </c>
      <c r="E14" s="530">
        <v>1.2</v>
      </c>
      <c r="F14" s="531" t="e">
        <f>E14+' DEC ANX II '!F14</f>
        <v>#REF!</v>
      </c>
      <c r="G14" s="530">
        <v>10.65</v>
      </c>
      <c r="H14" s="530">
        <v>1.25</v>
      </c>
      <c r="I14" s="531">
        <f>G14+H14</f>
        <v>11.9</v>
      </c>
      <c r="J14" s="531">
        <f>E14+I14</f>
        <v>13.1</v>
      </c>
      <c r="K14" s="531">
        <f>J14/C14</f>
        <v>13.1</v>
      </c>
      <c r="L14" s="530">
        <f>+(((C14*24)*31)-I14)*100/((C14*24)*31)</f>
        <v>98.400537634408607</v>
      </c>
      <c r="M14" s="530">
        <f>+(((C14*24)*31)-J14)*100/((C14*24)*31)</f>
        <v>98.239247311827953</v>
      </c>
      <c r="N14" s="530" t="e">
        <f>J14+' DEC ANX II '!N14</f>
        <v>#REF!</v>
      </c>
      <c r="O14" s="532" t="e">
        <f>N14/C14</f>
        <v>#REF!</v>
      </c>
      <c r="P14" s="530" t="e">
        <f>((C14*24*306)-(N14-E14))*100/(C14*24*306)</f>
        <v>#REF!</v>
      </c>
      <c r="Q14" s="530" t="e">
        <f>((C14*24*306)-(N14))*100/(C14*24*306)</f>
        <v>#REF!</v>
      </c>
      <c r="R14" s="265"/>
      <c r="S14" s="265" t="e">
        <f>L14-P14</f>
        <v>#REF!</v>
      </c>
      <c r="T14" s="265" t="e">
        <f>M14-Q14</f>
        <v>#REF!</v>
      </c>
    </row>
    <row r="15" spans="1:20" s="330" customFormat="1" ht="24.95" customHeight="1">
      <c r="A15" s="228">
        <v>2</v>
      </c>
      <c r="B15" s="229" t="s">
        <v>42</v>
      </c>
      <c r="C15" s="529">
        <v>1</v>
      </c>
      <c r="D15" s="529">
        <v>1</v>
      </c>
      <c r="E15" s="530">
        <v>2.35</v>
      </c>
      <c r="F15" s="531" t="e">
        <f>E15+' DEC ANX II '!F15</f>
        <v>#REF!</v>
      </c>
      <c r="G15" s="530">
        <v>9.3000000000000007</v>
      </c>
      <c r="H15" s="530">
        <v>0.30000000000000004</v>
      </c>
      <c r="I15" s="531">
        <f t="shared" ref="I15:I39" si="0">G15+H15</f>
        <v>9.6000000000000014</v>
      </c>
      <c r="J15" s="531">
        <f t="shared" ref="J15:J39" si="1">E15+I15</f>
        <v>11.950000000000001</v>
      </c>
      <c r="K15" s="531">
        <f t="shared" ref="K15:K39" si="2">J15/C15</f>
        <v>11.950000000000001</v>
      </c>
      <c r="L15" s="530">
        <f t="shared" ref="L15:L39" si="3">+(((C15*24)*31)-I15)*100/((C15*24)*31)</f>
        <v>98.709677419354833</v>
      </c>
      <c r="M15" s="530">
        <f t="shared" ref="M15:M39" si="4">+(((C15*24)*31)-J15)*100/((C15*24)*31)</f>
        <v>98.393817204301072</v>
      </c>
      <c r="N15" s="530" t="e">
        <f>J15+' DEC ANX II '!N15</f>
        <v>#REF!</v>
      </c>
      <c r="O15" s="532" t="e">
        <f t="shared" ref="O15:O39" si="5">N15/C15</f>
        <v>#REF!</v>
      </c>
      <c r="P15" s="530" t="e">
        <f t="shared" ref="P15:P39" si="6">((C15*24*306)-(N15-E15))*100/(C15*24*306)</f>
        <v>#REF!</v>
      </c>
      <c r="Q15" s="530" t="e">
        <f t="shared" ref="Q15:Q39" si="7">((C15*24*306)-(N15))*100/(C15*24*306)</f>
        <v>#REF!</v>
      </c>
      <c r="R15" s="265"/>
      <c r="S15" s="265" t="e">
        <f t="shared" ref="S15:T39" si="8">L15-P15</f>
        <v>#REF!</v>
      </c>
      <c r="T15" s="265" t="e">
        <f t="shared" si="8"/>
        <v>#REF!</v>
      </c>
    </row>
    <row r="16" spans="1:20" s="330" customFormat="1" ht="24.95" customHeight="1">
      <c r="A16" s="228">
        <v>3</v>
      </c>
      <c r="B16" s="229" t="s">
        <v>43</v>
      </c>
      <c r="C16" s="529">
        <v>11</v>
      </c>
      <c r="D16" s="529">
        <v>11</v>
      </c>
      <c r="E16" s="530">
        <v>1.8599999999999999</v>
      </c>
      <c r="F16" s="531" t="e">
        <f>E16+' DEC ANX II '!F16</f>
        <v>#REF!</v>
      </c>
      <c r="G16" s="530">
        <v>274</v>
      </c>
      <c r="H16" s="530">
        <v>317</v>
      </c>
      <c r="I16" s="531">
        <f t="shared" si="0"/>
        <v>591</v>
      </c>
      <c r="J16" s="531">
        <f t="shared" si="1"/>
        <v>592.86</v>
      </c>
      <c r="K16" s="531">
        <f t="shared" si="2"/>
        <v>53.896363636363638</v>
      </c>
      <c r="L16" s="530">
        <f t="shared" si="3"/>
        <v>92.778592375366571</v>
      </c>
      <c r="M16" s="530">
        <f t="shared" si="4"/>
        <v>92.755865102639291</v>
      </c>
      <c r="N16" s="530" t="e">
        <f>J16+' DEC ANX II '!N16</f>
        <v>#REF!</v>
      </c>
      <c r="O16" s="532" t="e">
        <f t="shared" si="5"/>
        <v>#REF!</v>
      </c>
      <c r="P16" s="530" t="e">
        <f t="shared" si="6"/>
        <v>#REF!</v>
      </c>
      <c r="Q16" s="530" t="e">
        <f t="shared" si="7"/>
        <v>#REF!</v>
      </c>
      <c r="R16" s="265"/>
      <c r="S16" s="265" t="e">
        <f t="shared" si="8"/>
        <v>#REF!</v>
      </c>
      <c r="T16" s="265" t="e">
        <f t="shared" si="8"/>
        <v>#REF!</v>
      </c>
    </row>
    <row r="17" spans="1:20" s="330" customFormat="1" ht="24.95" customHeight="1">
      <c r="A17" s="228">
        <v>4</v>
      </c>
      <c r="B17" s="229" t="s">
        <v>73</v>
      </c>
      <c r="C17" s="529">
        <v>2</v>
      </c>
      <c r="D17" s="529">
        <v>2</v>
      </c>
      <c r="E17" s="530">
        <v>7.35</v>
      </c>
      <c r="F17" s="531" t="e">
        <f>E17+' DEC ANX II '!F17</f>
        <v>#REF!</v>
      </c>
      <c r="G17" s="530">
        <v>49.55</v>
      </c>
      <c r="H17" s="530">
        <v>2.8</v>
      </c>
      <c r="I17" s="531">
        <f t="shared" si="0"/>
        <v>52.349999999999994</v>
      </c>
      <c r="J17" s="531">
        <f t="shared" si="1"/>
        <v>59.699999999999996</v>
      </c>
      <c r="K17" s="531">
        <f t="shared" si="2"/>
        <v>29.849999999999998</v>
      </c>
      <c r="L17" s="530">
        <f t="shared" si="3"/>
        <v>96.48185483870968</v>
      </c>
      <c r="M17" s="530">
        <f t="shared" si="4"/>
        <v>95.987903225806448</v>
      </c>
      <c r="N17" s="530" t="e">
        <f>J17+' DEC ANX II '!N17</f>
        <v>#REF!</v>
      </c>
      <c r="O17" s="532" t="e">
        <f t="shared" si="5"/>
        <v>#REF!</v>
      </c>
      <c r="P17" s="530" t="e">
        <f t="shared" si="6"/>
        <v>#REF!</v>
      </c>
      <c r="Q17" s="530" t="e">
        <f t="shared" si="7"/>
        <v>#REF!</v>
      </c>
      <c r="R17" s="265"/>
      <c r="S17" s="265" t="e">
        <f>L17-P17</f>
        <v>#REF!</v>
      </c>
      <c r="T17" s="265" t="e">
        <f>M17-Q17</f>
        <v>#REF!</v>
      </c>
    </row>
    <row r="18" spans="1:20" s="330" customFormat="1" ht="24.95" customHeight="1">
      <c r="A18" s="228">
        <v>5</v>
      </c>
      <c r="B18" s="229" t="s">
        <v>79</v>
      </c>
      <c r="C18" s="529">
        <v>4</v>
      </c>
      <c r="D18" s="529">
        <v>4</v>
      </c>
      <c r="E18" s="530">
        <v>0.25</v>
      </c>
      <c r="F18" s="531" t="e">
        <f>E18+' DEC ANX II '!F18</f>
        <v>#REF!</v>
      </c>
      <c r="G18" s="530">
        <v>1.5</v>
      </c>
      <c r="H18" s="530">
        <v>0.75</v>
      </c>
      <c r="I18" s="531">
        <f t="shared" si="0"/>
        <v>2.25</v>
      </c>
      <c r="J18" s="531">
        <f t="shared" si="1"/>
        <v>2.5</v>
      </c>
      <c r="K18" s="531">
        <f t="shared" si="2"/>
        <v>0.625</v>
      </c>
      <c r="L18" s="530">
        <f t="shared" si="3"/>
        <v>99.92439516129032</v>
      </c>
      <c r="M18" s="530">
        <f t="shared" si="4"/>
        <v>99.915994623655919</v>
      </c>
      <c r="N18" s="530" t="e">
        <f>J18+' DEC ANX II '!N18</f>
        <v>#REF!</v>
      </c>
      <c r="O18" s="532" t="e">
        <f t="shared" si="5"/>
        <v>#REF!</v>
      </c>
      <c r="P18" s="530" t="e">
        <f t="shared" si="6"/>
        <v>#REF!</v>
      </c>
      <c r="Q18" s="530" t="e">
        <f t="shared" si="7"/>
        <v>#REF!</v>
      </c>
      <c r="R18" s="265"/>
      <c r="S18" s="265" t="e">
        <f>L18-P18</f>
        <v>#REF!</v>
      </c>
      <c r="T18" s="265" t="e">
        <f>M18-Q18</f>
        <v>#REF!</v>
      </c>
    </row>
    <row r="19" spans="1:20" s="330" customFormat="1" ht="24.95" customHeight="1">
      <c r="A19" s="228">
        <v>6</v>
      </c>
      <c r="B19" s="229" t="s">
        <v>80</v>
      </c>
      <c r="C19" s="529">
        <v>1</v>
      </c>
      <c r="D19" s="529">
        <v>1</v>
      </c>
      <c r="E19" s="530">
        <v>4.8</v>
      </c>
      <c r="F19" s="531" t="e">
        <f>E19+' DEC ANX II '!F19</f>
        <v>#REF!</v>
      </c>
      <c r="G19" s="530">
        <v>20.91</v>
      </c>
      <c r="H19" s="530">
        <v>12.7</v>
      </c>
      <c r="I19" s="531">
        <f t="shared" si="0"/>
        <v>33.61</v>
      </c>
      <c r="J19" s="531">
        <f t="shared" si="1"/>
        <v>38.409999999999997</v>
      </c>
      <c r="K19" s="531">
        <f t="shared" si="2"/>
        <v>38.409999999999997</v>
      </c>
      <c r="L19" s="530">
        <f t="shared" si="3"/>
        <v>95.482526881720432</v>
      </c>
      <c r="M19" s="530">
        <f t="shared" si="4"/>
        <v>94.837365591397855</v>
      </c>
      <c r="N19" s="530" t="e">
        <f>J19+' DEC ANX II '!N19</f>
        <v>#REF!</v>
      </c>
      <c r="O19" s="532" t="e">
        <f t="shared" si="5"/>
        <v>#REF!</v>
      </c>
      <c r="P19" s="530" t="e">
        <f t="shared" si="6"/>
        <v>#REF!</v>
      </c>
      <c r="Q19" s="530" t="e">
        <f t="shared" si="7"/>
        <v>#REF!</v>
      </c>
      <c r="R19" s="265"/>
      <c r="S19" s="265" t="e">
        <f t="shared" si="8"/>
        <v>#REF!</v>
      </c>
      <c r="T19" s="265" t="e">
        <f t="shared" si="8"/>
        <v>#REF!</v>
      </c>
    </row>
    <row r="20" spans="1:20" s="330" customFormat="1" ht="24.95" customHeight="1">
      <c r="A20" s="228">
        <v>7</v>
      </c>
      <c r="B20" s="229" t="s">
        <v>74</v>
      </c>
      <c r="C20" s="529">
        <v>2</v>
      </c>
      <c r="D20" s="529">
        <v>2</v>
      </c>
      <c r="E20" s="530">
        <v>10.6</v>
      </c>
      <c r="F20" s="531" t="e">
        <f>E20+' DEC ANX II '!F20</f>
        <v>#REF!</v>
      </c>
      <c r="G20" s="530">
        <v>45.62</v>
      </c>
      <c r="H20" s="530">
        <v>37.83</v>
      </c>
      <c r="I20" s="531">
        <f t="shared" si="0"/>
        <v>83.449999999999989</v>
      </c>
      <c r="J20" s="531">
        <f t="shared" si="1"/>
        <v>94.049999999999983</v>
      </c>
      <c r="K20" s="531">
        <f t="shared" si="2"/>
        <v>47.024999999999991</v>
      </c>
      <c r="L20" s="530">
        <f t="shared" si="3"/>
        <v>94.391801075268816</v>
      </c>
      <c r="M20" s="530">
        <f t="shared" si="4"/>
        <v>93.679435483870961</v>
      </c>
      <c r="N20" s="530" t="e">
        <f>J20+' DEC ANX II '!N20</f>
        <v>#REF!</v>
      </c>
      <c r="O20" s="532" t="e">
        <f t="shared" si="5"/>
        <v>#REF!</v>
      </c>
      <c r="P20" s="530" t="e">
        <f t="shared" si="6"/>
        <v>#REF!</v>
      </c>
      <c r="Q20" s="530" t="e">
        <f t="shared" si="7"/>
        <v>#REF!</v>
      </c>
      <c r="R20" s="265"/>
      <c r="S20" s="265" t="e">
        <f t="shared" si="8"/>
        <v>#REF!</v>
      </c>
      <c r="T20" s="265" t="e">
        <f t="shared" si="8"/>
        <v>#REF!</v>
      </c>
    </row>
    <row r="21" spans="1:20" s="330" customFormat="1" ht="24.95" customHeight="1">
      <c r="A21" s="228">
        <v>8</v>
      </c>
      <c r="B21" s="229" t="s">
        <v>44</v>
      </c>
      <c r="C21" s="529">
        <v>3</v>
      </c>
      <c r="D21" s="529">
        <v>3</v>
      </c>
      <c r="E21" s="530">
        <v>13.040861294000404</v>
      </c>
      <c r="F21" s="531" t="e">
        <f>E21+' DEC ANX II '!F21</f>
        <v>#REF!</v>
      </c>
      <c r="G21" s="530">
        <v>18.43</v>
      </c>
      <c r="H21" s="530">
        <v>3.28</v>
      </c>
      <c r="I21" s="531">
        <f t="shared" si="0"/>
        <v>21.71</v>
      </c>
      <c r="J21" s="531">
        <f t="shared" si="1"/>
        <v>34.750861294000401</v>
      </c>
      <c r="K21" s="531">
        <f t="shared" si="2"/>
        <v>11.583620431333467</v>
      </c>
      <c r="L21" s="530">
        <f t="shared" si="3"/>
        <v>99.027329749103941</v>
      </c>
      <c r="M21" s="530">
        <f t="shared" si="4"/>
        <v>98.443061769982052</v>
      </c>
      <c r="N21" s="530" t="e">
        <f>J21+' DEC ANX II '!N21</f>
        <v>#REF!</v>
      </c>
      <c r="O21" s="532" t="e">
        <f t="shared" si="5"/>
        <v>#REF!</v>
      </c>
      <c r="P21" s="530" t="e">
        <f t="shared" si="6"/>
        <v>#REF!</v>
      </c>
      <c r="Q21" s="530" t="e">
        <f t="shared" si="7"/>
        <v>#REF!</v>
      </c>
      <c r="R21" s="265"/>
      <c r="S21" s="265" t="e">
        <f t="shared" si="8"/>
        <v>#REF!</v>
      </c>
      <c r="T21" s="265" t="e">
        <f t="shared" si="8"/>
        <v>#REF!</v>
      </c>
    </row>
    <row r="22" spans="1:20" s="330" customFormat="1" ht="24.95" customHeight="1">
      <c r="A22" s="228">
        <v>9</v>
      </c>
      <c r="B22" s="229" t="s">
        <v>75</v>
      </c>
      <c r="C22" s="529">
        <v>5</v>
      </c>
      <c r="D22" s="529">
        <v>5</v>
      </c>
      <c r="E22" s="530">
        <v>15.120998678319475</v>
      </c>
      <c r="F22" s="531" t="e">
        <f>E22+' DEC ANX II '!F22</f>
        <v>#REF!</v>
      </c>
      <c r="G22" s="530">
        <v>84.34</v>
      </c>
      <c r="H22" s="530">
        <v>15.2</v>
      </c>
      <c r="I22" s="531">
        <f t="shared" si="0"/>
        <v>99.54</v>
      </c>
      <c r="J22" s="531">
        <f t="shared" si="1"/>
        <v>114.66099867831949</v>
      </c>
      <c r="K22" s="531">
        <f t="shared" si="2"/>
        <v>22.932199735663897</v>
      </c>
      <c r="L22" s="530">
        <f t="shared" si="3"/>
        <v>97.3241935483871</v>
      </c>
      <c r="M22" s="530">
        <f t="shared" si="4"/>
        <v>96.917715089292486</v>
      </c>
      <c r="N22" s="530" t="e">
        <f>J22+' DEC ANX II '!N22</f>
        <v>#REF!</v>
      </c>
      <c r="O22" s="532" t="e">
        <f t="shared" si="5"/>
        <v>#REF!</v>
      </c>
      <c r="P22" s="530" t="e">
        <f t="shared" si="6"/>
        <v>#REF!</v>
      </c>
      <c r="Q22" s="530" t="e">
        <f t="shared" si="7"/>
        <v>#REF!</v>
      </c>
      <c r="R22" s="265"/>
      <c r="S22" s="265" t="e">
        <f t="shared" si="8"/>
        <v>#REF!</v>
      </c>
      <c r="T22" s="265" t="e">
        <f t="shared" si="8"/>
        <v>#REF!</v>
      </c>
    </row>
    <row r="23" spans="1:20" s="330" customFormat="1" ht="24.95" customHeight="1">
      <c r="A23" s="228">
        <v>10</v>
      </c>
      <c r="B23" s="229" t="s">
        <v>76</v>
      </c>
      <c r="C23" s="529">
        <v>1</v>
      </c>
      <c r="D23" s="529">
        <v>1</v>
      </c>
      <c r="E23" s="530">
        <v>2.0687438778032119</v>
      </c>
      <c r="F23" s="531" t="e">
        <f>E23+' DEC ANX II '!F23</f>
        <v>#REF!</v>
      </c>
      <c r="G23" s="530">
        <v>4.43</v>
      </c>
      <c r="H23" s="530">
        <v>0.4</v>
      </c>
      <c r="I23" s="531">
        <f t="shared" si="0"/>
        <v>4.83</v>
      </c>
      <c r="J23" s="531">
        <f t="shared" si="1"/>
        <v>6.898743877803212</v>
      </c>
      <c r="K23" s="531">
        <f t="shared" si="2"/>
        <v>6.898743877803212</v>
      </c>
      <c r="L23" s="530">
        <f t="shared" si="3"/>
        <v>99.350806451612897</v>
      </c>
      <c r="M23" s="530">
        <f t="shared" si="4"/>
        <v>99.072749478789888</v>
      </c>
      <c r="N23" s="530" t="e">
        <f>J23+' DEC ANX II '!N23</f>
        <v>#REF!</v>
      </c>
      <c r="O23" s="532" t="e">
        <f t="shared" si="5"/>
        <v>#REF!</v>
      </c>
      <c r="P23" s="530" t="e">
        <f t="shared" si="6"/>
        <v>#REF!</v>
      </c>
      <c r="Q23" s="530" t="e">
        <f t="shared" si="7"/>
        <v>#REF!</v>
      </c>
      <c r="R23" s="265"/>
      <c r="S23" s="265" t="e">
        <f t="shared" si="8"/>
        <v>#REF!</v>
      </c>
      <c r="T23" s="265" t="e">
        <f t="shared" si="8"/>
        <v>#REF!</v>
      </c>
    </row>
    <row r="24" spans="1:20" s="266" customFormat="1" ht="24.95" customHeight="1">
      <c r="A24" s="228">
        <v>11</v>
      </c>
      <c r="B24" s="229" t="s">
        <v>28</v>
      </c>
      <c r="C24" s="533">
        <v>7</v>
      </c>
      <c r="D24" s="533">
        <v>7</v>
      </c>
      <c r="E24" s="533">
        <v>17.5</v>
      </c>
      <c r="F24" s="531" t="e">
        <f>E24+' DEC ANX II '!F24</f>
        <v>#REF!</v>
      </c>
      <c r="G24" s="533">
        <v>170.35</v>
      </c>
      <c r="H24" s="533">
        <v>35.799999999999997</v>
      </c>
      <c r="I24" s="531">
        <f t="shared" si="0"/>
        <v>206.14999999999998</v>
      </c>
      <c r="J24" s="531">
        <f t="shared" si="1"/>
        <v>223.64999999999998</v>
      </c>
      <c r="K24" s="531">
        <f t="shared" si="2"/>
        <v>31.949999999999996</v>
      </c>
      <c r="L24" s="530">
        <f t="shared" si="3"/>
        <v>96.041666666666671</v>
      </c>
      <c r="M24" s="530">
        <f t="shared" si="4"/>
        <v>95.705645161290334</v>
      </c>
      <c r="N24" s="530" t="e">
        <f>J24+' DEC ANX II '!N24</f>
        <v>#REF!</v>
      </c>
      <c r="O24" s="532" t="e">
        <f t="shared" si="5"/>
        <v>#REF!</v>
      </c>
      <c r="P24" s="530" t="e">
        <f t="shared" si="6"/>
        <v>#REF!</v>
      </c>
      <c r="Q24" s="530" t="e">
        <f t="shared" si="7"/>
        <v>#REF!</v>
      </c>
      <c r="R24" s="265"/>
      <c r="S24" s="265" t="e">
        <f t="shared" si="8"/>
        <v>#REF!</v>
      </c>
      <c r="T24" s="265" t="e">
        <f t="shared" si="8"/>
        <v>#REF!</v>
      </c>
    </row>
    <row r="25" spans="1:20" s="266" customFormat="1" ht="24.95" customHeight="1">
      <c r="A25" s="228">
        <v>12</v>
      </c>
      <c r="B25" s="229" t="s">
        <v>45</v>
      </c>
      <c r="C25" s="533">
        <v>11</v>
      </c>
      <c r="D25" s="533">
        <v>11</v>
      </c>
      <c r="E25" s="533">
        <v>21.45</v>
      </c>
      <c r="F25" s="531" t="e">
        <f>E25+' DEC ANX II '!F25</f>
        <v>#REF!</v>
      </c>
      <c r="G25" s="533">
        <v>129.25</v>
      </c>
      <c r="H25" s="533">
        <v>52.2</v>
      </c>
      <c r="I25" s="531">
        <f>G25+H25</f>
        <v>181.45</v>
      </c>
      <c r="J25" s="531">
        <f t="shared" si="1"/>
        <v>202.89999999999998</v>
      </c>
      <c r="K25" s="531">
        <f t="shared" si="2"/>
        <v>18.445454545454542</v>
      </c>
      <c r="L25" s="530">
        <f t="shared" si="3"/>
        <v>97.782869012707721</v>
      </c>
      <c r="M25" s="530">
        <f t="shared" si="4"/>
        <v>97.520772238514169</v>
      </c>
      <c r="N25" s="530" t="e">
        <f>J25+' DEC ANX II '!N25</f>
        <v>#REF!</v>
      </c>
      <c r="O25" s="532" t="e">
        <f t="shared" si="5"/>
        <v>#REF!</v>
      </c>
      <c r="P25" s="530" t="e">
        <f t="shared" si="6"/>
        <v>#REF!</v>
      </c>
      <c r="Q25" s="530" t="e">
        <f t="shared" si="7"/>
        <v>#REF!</v>
      </c>
      <c r="R25" s="265"/>
      <c r="S25" s="265" t="e">
        <f t="shared" si="8"/>
        <v>#REF!</v>
      </c>
      <c r="T25" s="265" t="e">
        <f t="shared" si="8"/>
        <v>#REF!</v>
      </c>
    </row>
    <row r="26" spans="1:20" s="266" customFormat="1" ht="24.95" customHeight="1">
      <c r="A26" s="228">
        <v>13</v>
      </c>
      <c r="B26" s="229" t="s">
        <v>46</v>
      </c>
      <c r="C26" s="533">
        <v>8</v>
      </c>
      <c r="D26" s="533">
        <v>8</v>
      </c>
      <c r="E26" s="533">
        <v>23.42</v>
      </c>
      <c r="F26" s="531" t="e">
        <f>E26+' DEC ANX II '!F26</f>
        <v>#REF!</v>
      </c>
      <c r="G26" s="533">
        <v>144.25</v>
      </c>
      <c r="H26" s="533">
        <v>24.83</v>
      </c>
      <c r="I26" s="531">
        <f>G26+H26</f>
        <v>169.07999999999998</v>
      </c>
      <c r="J26" s="531">
        <f t="shared" si="1"/>
        <v>192.5</v>
      </c>
      <c r="K26" s="531">
        <f t="shared" si="2"/>
        <v>24.0625</v>
      </c>
      <c r="L26" s="530">
        <f t="shared" si="3"/>
        <v>97.159274193548384</v>
      </c>
      <c r="M26" s="530">
        <f t="shared" si="4"/>
        <v>96.765793010752688</v>
      </c>
      <c r="N26" s="530" t="e">
        <f>J26+' DEC ANX II '!N26</f>
        <v>#REF!</v>
      </c>
      <c r="O26" s="532" t="e">
        <f t="shared" si="5"/>
        <v>#REF!</v>
      </c>
      <c r="P26" s="530" t="e">
        <f t="shared" si="6"/>
        <v>#REF!</v>
      </c>
      <c r="Q26" s="530" t="e">
        <f t="shared" si="7"/>
        <v>#REF!</v>
      </c>
      <c r="R26" s="265"/>
      <c r="S26" s="265" t="e">
        <f t="shared" si="8"/>
        <v>#REF!</v>
      </c>
      <c r="T26" s="265" t="e">
        <f t="shared" si="8"/>
        <v>#REF!</v>
      </c>
    </row>
    <row r="27" spans="1:20" s="266" customFormat="1" ht="24.95" customHeight="1">
      <c r="A27" s="228">
        <v>14</v>
      </c>
      <c r="B27" s="229" t="s">
        <v>77</v>
      </c>
      <c r="C27" s="534">
        <v>4</v>
      </c>
      <c r="D27" s="534">
        <v>4</v>
      </c>
      <c r="E27" s="535">
        <v>1.5</v>
      </c>
      <c r="F27" s="531" t="e">
        <f>E27+' DEC ANX II '!F27</f>
        <v>#REF!</v>
      </c>
      <c r="G27" s="536">
        <v>35.5</v>
      </c>
      <c r="H27" s="535">
        <v>23.5</v>
      </c>
      <c r="I27" s="531">
        <f t="shared" si="0"/>
        <v>59</v>
      </c>
      <c r="J27" s="531">
        <f t="shared" si="1"/>
        <v>60.5</v>
      </c>
      <c r="K27" s="531">
        <f t="shared" si="2"/>
        <v>15.125</v>
      </c>
      <c r="L27" s="530">
        <f t="shared" si="3"/>
        <v>98.017473118279568</v>
      </c>
      <c r="M27" s="530">
        <f t="shared" si="4"/>
        <v>97.96706989247312</v>
      </c>
      <c r="N27" s="530" t="e">
        <f>J27+' DEC ANX II '!N27</f>
        <v>#REF!</v>
      </c>
      <c r="O27" s="532" t="e">
        <f t="shared" si="5"/>
        <v>#REF!</v>
      </c>
      <c r="P27" s="530" t="e">
        <f t="shared" si="6"/>
        <v>#REF!</v>
      </c>
      <c r="Q27" s="530" t="e">
        <f t="shared" si="7"/>
        <v>#REF!</v>
      </c>
      <c r="R27" s="265"/>
      <c r="S27" s="265" t="e">
        <f>L27-P27</f>
        <v>#REF!</v>
      </c>
      <c r="T27" s="265" t="e">
        <f>M27-Q27</f>
        <v>#REF!</v>
      </c>
    </row>
    <row r="28" spans="1:20" s="266" customFormat="1" ht="24.95" customHeight="1">
      <c r="A28" s="228">
        <v>15</v>
      </c>
      <c r="B28" s="229" t="s">
        <v>47</v>
      </c>
      <c r="C28" s="537">
        <v>30</v>
      </c>
      <c r="D28" s="537">
        <v>30</v>
      </c>
      <c r="E28" s="538">
        <v>157</v>
      </c>
      <c r="F28" s="531" t="e">
        <f>E28+' DEC ANX II '!F28</f>
        <v>#REF!</v>
      </c>
      <c r="G28" s="539">
        <v>119</v>
      </c>
      <c r="H28" s="538">
        <v>81</v>
      </c>
      <c r="I28" s="531">
        <f t="shared" si="0"/>
        <v>200</v>
      </c>
      <c r="J28" s="531">
        <f t="shared" si="1"/>
        <v>357</v>
      </c>
      <c r="K28" s="531">
        <f t="shared" si="2"/>
        <v>11.9</v>
      </c>
      <c r="L28" s="530">
        <f t="shared" si="3"/>
        <v>99.103942652329749</v>
      </c>
      <c r="M28" s="530">
        <f t="shared" si="4"/>
        <v>98.400537634408607</v>
      </c>
      <c r="N28" s="530" t="e">
        <f>J28+' DEC ANX II '!N28</f>
        <v>#REF!</v>
      </c>
      <c r="O28" s="532" t="e">
        <f t="shared" si="5"/>
        <v>#REF!</v>
      </c>
      <c r="P28" s="530" t="e">
        <f t="shared" si="6"/>
        <v>#REF!</v>
      </c>
      <c r="Q28" s="530" t="e">
        <f t="shared" si="7"/>
        <v>#REF!</v>
      </c>
      <c r="R28" s="265"/>
      <c r="S28" s="265" t="e">
        <f t="shared" si="8"/>
        <v>#REF!</v>
      </c>
      <c r="T28" s="265" t="e">
        <f t="shared" si="8"/>
        <v>#REF!</v>
      </c>
    </row>
    <row r="29" spans="1:20" s="266" customFormat="1" ht="24.95" customHeight="1">
      <c r="A29" s="228">
        <v>16</v>
      </c>
      <c r="B29" s="229" t="s">
        <v>48</v>
      </c>
      <c r="C29" s="540">
        <v>15</v>
      </c>
      <c r="D29" s="540">
        <v>15</v>
      </c>
      <c r="E29" s="535">
        <v>57.05</v>
      </c>
      <c r="F29" s="531" t="e">
        <f>E29+' DEC ANX II '!F29</f>
        <v>#REF!</v>
      </c>
      <c r="G29" s="536">
        <v>62.25</v>
      </c>
      <c r="H29" s="535">
        <v>50</v>
      </c>
      <c r="I29" s="531">
        <f t="shared" si="0"/>
        <v>112.25</v>
      </c>
      <c r="J29" s="531">
        <f t="shared" si="1"/>
        <v>169.3</v>
      </c>
      <c r="K29" s="531">
        <f t="shared" si="2"/>
        <v>11.286666666666667</v>
      </c>
      <c r="L29" s="530">
        <f t="shared" si="3"/>
        <v>98.994175627240139</v>
      </c>
      <c r="M29" s="530">
        <f t="shared" si="4"/>
        <v>98.482974910394262</v>
      </c>
      <c r="N29" s="530" t="e">
        <f>J29+' DEC ANX II '!N29</f>
        <v>#REF!</v>
      </c>
      <c r="O29" s="532" t="e">
        <f t="shared" si="5"/>
        <v>#REF!</v>
      </c>
      <c r="P29" s="530" t="e">
        <f t="shared" si="6"/>
        <v>#REF!</v>
      </c>
      <c r="Q29" s="530" t="e">
        <f t="shared" si="7"/>
        <v>#REF!</v>
      </c>
      <c r="R29" s="265"/>
      <c r="S29" s="265" t="e">
        <f t="shared" si="8"/>
        <v>#REF!</v>
      </c>
      <c r="T29" s="265" t="e">
        <f t="shared" si="8"/>
        <v>#REF!</v>
      </c>
    </row>
    <row r="30" spans="1:20" s="266" customFormat="1" ht="24.95" customHeight="1">
      <c r="A30" s="228">
        <v>17</v>
      </c>
      <c r="B30" s="229" t="s">
        <v>63</v>
      </c>
      <c r="C30" s="534">
        <v>12</v>
      </c>
      <c r="D30" s="534">
        <v>12</v>
      </c>
      <c r="E30" s="541">
        <v>44.15</v>
      </c>
      <c r="F30" s="531" t="e">
        <f>E30+' DEC ANX II '!F30</f>
        <v>#REF!</v>
      </c>
      <c r="G30" s="542">
        <v>74.650000000000006</v>
      </c>
      <c r="H30" s="541">
        <v>59.35</v>
      </c>
      <c r="I30" s="531">
        <f t="shared" si="0"/>
        <v>134</v>
      </c>
      <c r="J30" s="531">
        <f t="shared" si="1"/>
        <v>178.15</v>
      </c>
      <c r="K30" s="531">
        <f t="shared" si="2"/>
        <v>14.845833333333333</v>
      </c>
      <c r="L30" s="530">
        <f t="shared" si="3"/>
        <v>98.499103942652326</v>
      </c>
      <c r="M30" s="530">
        <f t="shared" si="4"/>
        <v>98.004592293906811</v>
      </c>
      <c r="N30" s="530" t="e">
        <f>J30+' DEC ANX II '!N30</f>
        <v>#REF!</v>
      </c>
      <c r="O30" s="532" t="e">
        <f t="shared" si="5"/>
        <v>#REF!</v>
      </c>
      <c r="P30" s="530" t="e">
        <f t="shared" si="6"/>
        <v>#REF!</v>
      </c>
      <c r="Q30" s="530" t="e">
        <f t="shared" si="7"/>
        <v>#REF!</v>
      </c>
      <c r="R30" s="265"/>
      <c r="S30" s="265" t="e">
        <f t="shared" si="8"/>
        <v>#REF!</v>
      </c>
      <c r="T30" s="265" t="e">
        <f t="shared" si="8"/>
        <v>#REF!</v>
      </c>
    </row>
    <row r="31" spans="1:20" s="266" customFormat="1" ht="24.95" customHeight="1">
      <c r="A31" s="228">
        <v>18</v>
      </c>
      <c r="B31" s="229" t="s">
        <v>50</v>
      </c>
      <c r="C31" s="543">
        <v>49</v>
      </c>
      <c r="D31" s="543">
        <v>49</v>
      </c>
      <c r="E31" s="533">
        <v>191.89999999999998</v>
      </c>
      <c r="F31" s="531" t="e">
        <f>E31+' DEC ANX II '!F31</f>
        <v>#REF!</v>
      </c>
      <c r="G31" s="530">
        <v>1372.7166666666667</v>
      </c>
      <c r="H31" s="530">
        <v>1579.6500000000005</v>
      </c>
      <c r="I31" s="531">
        <f>G31+H31</f>
        <v>2952.3666666666672</v>
      </c>
      <c r="J31" s="531">
        <f>E31+I31</f>
        <v>3144.2666666666673</v>
      </c>
      <c r="K31" s="531">
        <f>J31/C31</f>
        <v>64.168707482993213</v>
      </c>
      <c r="L31" s="530">
        <f t="shared" si="3"/>
        <v>91.901561699948786</v>
      </c>
      <c r="M31" s="530">
        <f t="shared" si="4"/>
        <v>91.375173725404139</v>
      </c>
      <c r="N31" s="530" t="e">
        <f>J31+' DEC ANX II '!N31</f>
        <v>#REF!</v>
      </c>
      <c r="O31" s="532" t="e">
        <f t="shared" si="5"/>
        <v>#REF!</v>
      </c>
      <c r="P31" s="530" t="e">
        <f t="shared" si="6"/>
        <v>#REF!</v>
      </c>
      <c r="Q31" s="530" t="e">
        <f t="shared" si="7"/>
        <v>#REF!</v>
      </c>
      <c r="R31" s="265" t="str">
        <f>'[2]Annexure II'!B8</f>
        <v>Devanahalli</v>
      </c>
      <c r="S31" s="265" t="e">
        <f t="shared" si="8"/>
        <v>#REF!</v>
      </c>
      <c r="T31" s="265" t="e">
        <f t="shared" si="8"/>
        <v>#REF!</v>
      </c>
    </row>
    <row r="32" spans="1:20" s="266" customFormat="1" ht="24.95" customHeight="1">
      <c r="A32" s="228">
        <v>19</v>
      </c>
      <c r="B32" s="229" t="s">
        <v>51</v>
      </c>
      <c r="C32" s="544">
        <v>59</v>
      </c>
      <c r="D32" s="544">
        <v>59</v>
      </c>
      <c r="E32" s="533">
        <v>361.08</v>
      </c>
      <c r="F32" s="531" t="e">
        <f>E32+' DEC ANX II '!F32</f>
        <v>#REF!</v>
      </c>
      <c r="G32" s="530">
        <v>2045.2066666666667</v>
      </c>
      <c r="H32" s="530">
        <v>1913.4200000000005</v>
      </c>
      <c r="I32" s="531">
        <f t="shared" si="0"/>
        <v>3958.626666666667</v>
      </c>
      <c r="J32" s="531">
        <f t="shared" si="1"/>
        <v>4319.7066666666669</v>
      </c>
      <c r="K32" s="531">
        <f t="shared" si="2"/>
        <v>73.215367231638425</v>
      </c>
      <c r="L32" s="530">
        <f t="shared" si="3"/>
        <v>90.981805479618501</v>
      </c>
      <c r="M32" s="530">
        <f t="shared" si="4"/>
        <v>90.159224834457206</v>
      </c>
      <c r="N32" s="530" t="e">
        <f>J32+' DEC ANX II '!N32</f>
        <v>#REF!</v>
      </c>
      <c r="O32" s="532" t="e">
        <f t="shared" si="5"/>
        <v>#REF!</v>
      </c>
      <c r="P32" s="530" t="e">
        <f t="shared" si="6"/>
        <v>#REF!</v>
      </c>
      <c r="Q32" s="530" t="e">
        <f t="shared" si="7"/>
        <v>#REF!</v>
      </c>
      <c r="R32" s="265" t="str">
        <f>'[2]Annexure II'!B9</f>
        <v>Hosakote</v>
      </c>
      <c r="S32" s="265" t="e">
        <f t="shared" si="8"/>
        <v>#REF!</v>
      </c>
      <c r="T32" s="265" t="e">
        <f t="shared" si="8"/>
        <v>#REF!</v>
      </c>
    </row>
    <row r="33" spans="1:20" s="266" customFormat="1" ht="24.95" customHeight="1">
      <c r="A33" s="228">
        <v>20</v>
      </c>
      <c r="B33" s="229" t="s">
        <v>52</v>
      </c>
      <c r="C33" s="543">
        <v>48</v>
      </c>
      <c r="D33" s="543">
        <v>48</v>
      </c>
      <c r="E33" s="533">
        <v>210.5</v>
      </c>
      <c r="F33" s="531" t="e">
        <f>E33+' DEC ANX II '!F33</f>
        <v>#REF!</v>
      </c>
      <c r="G33" s="530">
        <v>480.87000000000012</v>
      </c>
      <c r="H33" s="530">
        <v>302.97000000000008</v>
      </c>
      <c r="I33" s="531">
        <f t="shared" si="0"/>
        <v>783.84000000000015</v>
      </c>
      <c r="J33" s="531">
        <f t="shared" si="1"/>
        <v>994.34000000000015</v>
      </c>
      <c r="K33" s="531">
        <f t="shared" si="2"/>
        <v>20.71541666666667</v>
      </c>
      <c r="L33" s="530">
        <f t="shared" si="3"/>
        <v>97.805107526881727</v>
      </c>
      <c r="M33" s="530">
        <f t="shared" si="4"/>
        <v>97.215669802867396</v>
      </c>
      <c r="N33" s="530" t="e">
        <f>J33+' DEC ANX II '!N33</f>
        <v>#REF!</v>
      </c>
      <c r="O33" s="532" t="e">
        <f t="shared" si="5"/>
        <v>#REF!</v>
      </c>
      <c r="P33" s="530" t="e">
        <f t="shared" si="6"/>
        <v>#REF!</v>
      </c>
      <c r="Q33" s="530" t="e">
        <f t="shared" si="7"/>
        <v>#REF!</v>
      </c>
      <c r="R33" s="265" t="str">
        <f>'[2]Annexure II'!B10</f>
        <v>Nelamangala</v>
      </c>
      <c r="S33" s="265" t="e">
        <f t="shared" si="8"/>
        <v>#REF!</v>
      </c>
      <c r="T33" s="265" t="e">
        <f t="shared" si="8"/>
        <v>#REF!</v>
      </c>
    </row>
    <row r="34" spans="1:20" s="266" customFormat="1" ht="28.5" customHeight="1">
      <c r="A34" s="228">
        <v>21</v>
      </c>
      <c r="B34" s="229" t="s">
        <v>53</v>
      </c>
      <c r="C34" s="543">
        <v>36</v>
      </c>
      <c r="D34" s="543">
        <v>36</v>
      </c>
      <c r="E34" s="533">
        <v>52.3</v>
      </c>
      <c r="F34" s="531" t="e">
        <f>E34+' DEC ANX II '!F34</f>
        <v>#REF!</v>
      </c>
      <c r="G34" s="530">
        <v>241.29999999999998</v>
      </c>
      <c r="H34" s="530">
        <v>61.83</v>
      </c>
      <c r="I34" s="531">
        <f t="shared" ref="I34" si="9">G34+H34</f>
        <v>303.13</v>
      </c>
      <c r="J34" s="531">
        <f t="shared" ref="J34" si="10">E34+I34</f>
        <v>355.43</v>
      </c>
      <c r="K34" s="531">
        <f t="shared" ref="K34" si="11">J34/C34</f>
        <v>9.8730555555555561</v>
      </c>
      <c r="L34" s="530">
        <f t="shared" ref="L34" si="12">+(((C34*24)*31)-I34)*100/((C34*24)*31)</f>
        <v>98.868242234169657</v>
      </c>
      <c r="M34" s="530">
        <f t="shared" ref="M34" si="13">+(((C34*24)*31)-J34)*100/((C34*24)*31)</f>
        <v>98.672976403823185</v>
      </c>
      <c r="N34" s="530" t="e">
        <f>J34+' DEC ANX II '!N34</f>
        <v>#REF!</v>
      </c>
      <c r="O34" s="532" t="e">
        <f t="shared" ref="O34" si="14">N34/C34</f>
        <v>#REF!</v>
      </c>
      <c r="P34" s="530" t="e">
        <f t="shared" ref="P34" si="15">((C34*24*306)-(N34-E34))*100/(C34*24*306)</f>
        <v>#REF!</v>
      </c>
      <c r="Q34" s="530" t="e">
        <f t="shared" ref="Q34" si="16">((C34*24*306)-(N34))*100/(C34*24*306)</f>
        <v>#REF!</v>
      </c>
      <c r="R34" s="265" t="str">
        <f>'[2]Annexure II'!B11</f>
        <v>Doddaballapura</v>
      </c>
      <c r="S34" s="265" t="e">
        <f t="shared" si="8"/>
        <v>#REF!</v>
      </c>
      <c r="T34" s="265" t="e">
        <f t="shared" si="8"/>
        <v>#REF!</v>
      </c>
    </row>
    <row r="35" spans="1:20" s="266" customFormat="1" ht="24.95" customHeight="1">
      <c r="A35" s="228">
        <v>22</v>
      </c>
      <c r="B35" s="229" t="s">
        <v>54</v>
      </c>
      <c r="C35" s="533">
        <f>14+12</f>
        <v>26</v>
      </c>
      <c r="D35" s="533">
        <v>26</v>
      </c>
      <c r="E35" s="533">
        <f>10.6+54.15</f>
        <v>64.75</v>
      </c>
      <c r="F35" s="531" t="e">
        <f>E35+' DEC ANX II '!F35</f>
        <v>#REF!</v>
      </c>
      <c r="G35" s="530">
        <f>114.07+14.1572222222222</f>
        <v>128.2272222222222</v>
      </c>
      <c r="H35" s="530">
        <f>34.45+2.73888888888889</f>
        <v>37.18888888888889</v>
      </c>
      <c r="I35" s="531">
        <f t="shared" si="0"/>
        <v>165.41611111111109</v>
      </c>
      <c r="J35" s="531">
        <f t="shared" si="1"/>
        <v>230.16611111111109</v>
      </c>
      <c r="K35" s="531">
        <f t="shared" si="2"/>
        <v>8.8525427350427339</v>
      </c>
      <c r="L35" s="530">
        <f t="shared" si="3"/>
        <v>99.144871220476062</v>
      </c>
      <c r="M35" s="530">
        <f t="shared" si="4"/>
        <v>98.810142105505008</v>
      </c>
      <c r="N35" s="530" t="e">
        <f>J35+' DEC ANX II '!N35</f>
        <v>#REF!</v>
      </c>
      <c r="O35" s="532" t="e">
        <f t="shared" si="5"/>
        <v>#REF!</v>
      </c>
      <c r="P35" s="530" t="e">
        <f t="shared" si="6"/>
        <v>#REF!</v>
      </c>
      <c r="Q35" s="530" t="e">
        <f t="shared" si="7"/>
        <v>#REF!</v>
      </c>
      <c r="R35" s="265" t="str">
        <f>'[2]Annexure II'!B12</f>
        <v>Magadi</v>
      </c>
      <c r="S35" s="265" t="e">
        <f t="shared" si="8"/>
        <v>#REF!</v>
      </c>
      <c r="T35" s="265" t="e">
        <f t="shared" si="8"/>
        <v>#REF!</v>
      </c>
    </row>
    <row r="36" spans="1:20" s="266" customFormat="1" ht="24.95" customHeight="1">
      <c r="A36" s="228">
        <v>23</v>
      </c>
      <c r="B36" s="229" t="s">
        <v>49</v>
      </c>
      <c r="C36" s="545">
        <v>127</v>
      </c>
      <c r="D36" s="545">
        <v>127</v>
      </c>
      <c r="E36" s="530">
        <v>60.323611111111134</v>
      </c>
      <c r="F36" s="531" t="e">
        <f>E36+' DEC ANX II '!F36</f>
        <v>#REF!</v>
      </c>
      <c r="G36" s="530">
        <v>60.323611111111134</v>
      </c>
      <c r="H36" s="530">
        <v>17.961805555555557</v>
      </c>
      <c r="I36" s="531">
        <f>G36+H36</f>
        <v>78.285416666666691</v>
      </c>
      <c r="J36" s="531">
        <f t="shared" si="1"/>
        <v>138.60902777777784</v>
      </c>
      <c r="K36" s="531">
        <f t="shared" si="2"/>
        <v>1.0914096675415579</v>
      </c>
      <c r="L36" s="530">
        <f t="shared" si="3"/>
        <v>99.917147768323318</v>
      </c>
      <c r="M36" s="530">
        <f t="shared" si="4"/>
        <v>99.853305152212158</v>
      </c>
      <c r="N36" s="530" t="e">
        <f>J36+' DEC ANX II '!N36</f>
        <v>#REF!</v>
      </c>
      <c r="O36" s="532" t="e">
        <f t="shared" si="5"/>
        <v>#REF!</v>
      </c>
      <c r="P36" s="530" t="e">
        <f t="shared" si="6"/>
        <v>#REF!</v>
      </c>
      <c r="Q36" s="530" t="e">
        <f t="shared" si="7"/>
        <v>#REF!</v>
      </c>
      <c r="R36" s="265" t="str">
        <f>'[2]Annexure II'!B7</f>
        <v>Anekal</v>
      </c>
      <c r="S36" s="265" t="e">
        <f>L36-P36</f>
        <v>#REF!</v>
      </c>
      <c r="T36" s="265" t="e">
        <f>M36-Q36</f>
        <v>#REF!</v>
      </c>
    </row>
    <row r="37" spans="1:20" s="266" customFormat="1" ht="24.95" customHeight="1">
      <c r="A37" s="228">
        <v>24</v>
      </c>
      <c r="B37" s="229" t="s">
        <v>32</v>
      </c>
      <c r="C37" s="546">
        <v>24</v>
      </c>
      <c r="D37" s="546">
        <v>24</v>
      </c>
      <c r="E37" s="530">
        <v>1.32</v>
      </c>
      <c r="F37" s="531" t="e">
        <f>E37+' DEC ANX II '!F37</f>
        <v>#REF!</v>
      </c>
      <c r="G37" s="530">
        <v>1.4576388888888887</v>
      </c>
      <c r="H37" s="530">
        <v>0.25763888888888886</v>
      </c>
      <c r="I37" s="531">
        <f t="shared" si="0"/>
        <v>1.7152777777777777</v>
      </c>
      <c r="J37" s="531">
        <f t="shared" si="1"/>
        <v>3.035277777777778</v>
      </c>
      <c r="K37" s="531">
        <f t="shared" si="2"/>
        <v>0.12646990740740741</v>
      </c>
      <c r="L37" s="530">
        <f t="shared" si="3"/>
        <v>99.990393829649548</v>
      </c>
      <c r="M37" s="530">
        <f t="shared" si="4"/>
        <v>99.983001356531261</v>
      </c>
      <c r="N37" s="530" t="e">
        <f>J37+' DEC ANX II '!N37</f>
        <v>#REF!</v>
      </c>
      <c r="O37" s="532" t="e">
        <f t="shared" si="5"/>
        <v>#REF!</v>
      </c>
      <c r="P37" s="530" t="e">
        <f t="shared" si="6"/>
        <v>#REF!</v>
      </c>
      <c r="Q37" s="530" t="e">
        <f t="shared" si="7"/>
        <v>#REF!</v>
      </c>
      <c r="R37" s="265" t="str">
        <f>'[2]Annexure II'!B13</f>
        <v>Ramanagara</v>
      </c>
      <c r="S37" s="265" t="e">
        <f t="shared" si="8"/>
        <v>#REF!</v>
      </c>
      <c r="T37" s="265" t="e">
        <f t="shared" si="8"/>
        <v>#REF!</v>
      </c>
    </row>
    <row r="38" spans="1:20" s="266" customFormat="1" ht="24.95" customHeight="1">
      <c r="A38" s="228">
        <v>25</v>
      </c>
      <c r="B38" s="229" t="s">
        <v>55</v>
      </c>
      <c r="C38" s="543">
        <v>7</v>
      </c>
      <c r="D38" s="546">
        <v>7</v>
      </c>
      <c r="E38" s="530">
        <v>16.149999999999999</v>
      </c>
      <c r="F38" s="531" t="e">
        <f>E38+' DEC ANX II '!F38</f>
        <v>#REF!</v>
      </c>
      <c r="G38" s="530">
        <v>13.697222222222223</v>
      </c>
      <c r="H38" s="530">
        <v>6.8777777777777782</v>
      </c>
      <c r="I38" s="531">
        <f t="shared" si="0"/>
        <v>20.575000000000003</v>
      </c>
      <c r="J38" s="531">
        <f t="shared" si="1"/>
        <v>36.725000000000001</v>
      </c>
      <c r="K38" s="531">
        <f t="shared" si="2"/>
        <v>5.2464285714285719</v>
      </c>
      <c r="L38" s="530">
        <f t="shared" si="3"/>
        <v>99.604934715821813</v>
      </c>
      <c r="M38" s="530">
        <f t="shared" si="4"/>
        <v>99.294834869431639</v>
      </c>
      <c r="N38" s="530" t="e">
        <f>J38+' DEC ANX II '!N38</f>
        <v>#REF!</v>
      </c>
      <c r="O38" s="532" t="e">
        <f t="shared" si="5"/>
        <v>#REF!</v>
      </c>
      <c r="P38" s="530" t="e">
        <f t="shared" si="6"/>
        <v>#REF!</v>
      </c>
      <c r="Q38" s="530" t="e">
        <f t="shared" si="7"/>
        <v>#REF!</v>
      </c>
      <c r="R38" s="265" t="str">
        <f>'[2]Annexure II'!B14</f>
        <v>Channapatna</v>
      </c>
      <c r="S38" s="265" t="e">
        <f t="shared" si="8"/>
        <v>#REF!</v>
      </c>
      <c r="T38" s="265" t="e">
        <f t="shared" si="8"/>
        <v>#REF!</v>
      </c>
    </row>
    <row r="39" spans="1:20" s="266" customFormat="1" ht="24.95" customHeight="1">
      <c r="A39" s="228">
        <v>26</v>
      </c>
      <c r="B39" s="229" t="s">
        <v>56</v>
      </c>
      <c r="C39" s="543">
        <v>22</v>
      </c>
      <c r="D39" s="546">
        <v>22</v>
      </c>
      <c r="E39" s="530">
        <v>5.0508333333333333</v>
      </c>
      <c r="F39" s="531" t="e">
        <f>E39+' DEC ANX II '!F39</f>
        <v>#REF!</v>
      </c>
      <c r="G39" s="530">
        <v>7.1159722222222213</v>
      </c>
      <c r="H39" s="530">
        <v>2.7388888888888889</v>
      </c>
      <c r="I39" s="531">
        <f t="shared" si="0"/>
        <v>9.8548611111111093</v>
      </c>
      <c r="J39" s="531">
        <f t="shared" si="1"/>
        <v>14.905694444444443</v>
      </c>
      <c r="K39" s="531">
        <f t="shared" si="2"/>
        <v>0.67753156565656558</v>
      </c>
      <c r="L39" s="530">
        <f t="shared" si="3"/>
        <v>99.939791904257632</v>
      </c>
      <c r="M39" s="530">
        <f t="shared" si="4"/>
        <v>99.908933929347242</v>
      </c>
      <c r="N39" s="530" t="e">
        <f>J39+' DEC ANX II '!N39</f>
        <v>#REF!</v>
      </c>
      <c r="O39" s="532" t="e">
        <f t="shared" si="5"/>
        <v>#REF!</v>
      </c>
      <c r="P39" s="530" t="e">
        <f t="shared" si="6"/>
        <v>#REF!</v>
      </c>
      <c r="Q39" s="530" t="e">
        <f t="shared" si="7"/>
        <v>#REF!</v>
      </c>
      <c r="R39" s="265" t="str">
        <f>'[2]Annexure II'!B15</f>
        <v>Kanakapura</v>
      </c>
      <c r="S39" s="265" t="e">
        <f t="shared" si="8"/>
        <v>#REF!</v>
      </c>
      <c r="T39" s="265" t="e">
        <f t="shared" si="8"/>
        <v>#REF!</v>
      </c>
    </row>
    <row r="40" spans="1:20" s="494" customFormat="1" ht="24.95" customHeight="1">
      <c r="A40" s="490"/>
      <c r="B40" s="491"/>
      <c r="C40" s="492"/>
      <c r="D40" s="492"/>
      <c r="E40" s="492"/>
      <c r="F40" s="492"/>
      <c r="G40" s="492"/>
      <c r="H40" s="492"/>
      <c r="I40" s="561"/>
      <c r="J40" s="561"/>
      <c r="K40" s="561"/>
      <c r="L40" s="561"/>
      <c r="M40" s="561"/>
      <c r="N40" s="561"/>
      <c r="O40" s="561"/>
      <c r="P40" s="561"/>
      <c r="Q40" s="561"/>
      <c r="R40" s="493"/>
      <c r="S40" s="493"/>
      <c r="T40" s="493"/>
    </row>
    <row r="41" spans="1:20" s="494" customFormat="1" ht="24.95" customHeight="1">
      <c r="A41" s="927" t="s">
        <v>116</v>
      </c>
      <c r="B41" s="927"/>
      <c r="C41" s="927"/>
      <c r="D41" s="927"/>
      <c r="E41" s="927"/>
      <c r="F41" s="927"/>
      <c r="G41" s="927"/>
      <c r="H41" s="927"/>
      <c r="I41" s="927"/>
      <c r="J41" s="927"/>
      <c r="K41" s="927"/>
      <c r="L41" s="927"/>
      <c r="M41" s="927"/>
      <c r="N41" s="927"/>
      <c r="O41" s="927"/>
      <c r="P41" s="927"/>
      <c r="Q41" s="927"/>
      <c r="R41" s="493"/>
      <c r="S41" s="493"/>
      <c r="T41" s="493"/>
    </row>
    <row r="42" spans="1:20" ht="18.75" customHeight="1" thickBot="1">
      <c r="B42" s="495"/>
      <c r="C42" s="496">
        <f>SUM(C14:C39)</f>
        <v>516</v>
      </c>
      <c r="D42" s="496">
        <f t="shared" ref="D42:O42" si="17">SUM(D14:D39)</f>
        <v>516</v>
      </c>
      <c r="E42" s="496">
        <f t="shared" si="17"/>
        <v>1344.0850482945673</v>
      </c>
      <c r="F42" s="496" t="e">
        <f t="shared" si="17"/>
        <v>#REF!</v>
      </c>
      <c r="G42" s="496">
        <f t="shared" si="17"/>
        <v>5604.8949999999995</v>
      </c>
      <c r="H42" s="496">
        <f t="shared" si="17"/>
        <v>4641.0850000000019</v>
      </c>
      <c r="I42" s="497">
        <f t="shared" si="17"/>
        <v>10245.980000000001</v>
      </c>
      <c r="J42" s="497">
        <f t="shared" si="17"/>
        <v>11590.065048294569</v>
      </c>
      <c r="K42" s="497">
        <f t="shared" si="17"/>
        <v>547.85331161054955</v>
      </c>
      <c r="L42" s="498">
        <f>+(((C42*24)*30)-I42)*100/((C42*24)*30)</f>
        <v>97.242145779500433</v>
      </c>
      <c r="M42" s="498">
        <f>+(((C42*24)*30)-J42)*100/((C42*24)*30)</f>
        <v>96.880365781574469</v>
      </c>
      <c r="N42" s="497" t="e">
        <f t="shared" si="17"/>
        <v>#REF!</v>
      </c>
      <c r="O42" s="497" t="e">
        <f t="shared" si="17"/>
        <v>#REF!</v>
      </c>
      <c r="P42" s="498" t="e">
        <f>((C42*24*30)-(N42-E42))*100/(C42*24*30)</f>
        <v>#REF!</v>
      </c>
      <c r="Q42" s="498" t="e">
        <f>((C42*24*30)-(N42))*100/(C42*24*30)</f>
        <v>#REF!</v>
      </c>
    </row>
    <row r="43" spans="1:20" s="499" customFormat="1" ht="63" customHeight="1" thickBot="1">
      <c r="A43" s="928" t="s">
        <v>100</v>
      </c>
      <c r="B43" s="929"/>
      <c r="C43" s="929"/>
      <c r="D43" s="929"/>
      <c r="E43" s="929"/>
      <c r="F43" s="929"/>
      <c r="G43" s="929"/>
      <c r="H43" s="929"/>
      <c r="I43" s="929"/>
      <c r="J43" s="929"/>
      <c r="K43" s="929"/>
      <c r="L43" s="929"/>
      <c r="M43" s="929"/>
      <c r="N43" s="929"/>
      <c r="O43" s="929"/>
      <c r="P43" s="929"/>
      <c r="Q43" s="930"/>
    </row>
    <row r="44" spans="1:20" s="499" customFormat="1" ht="80.25" customHeight="1">
      <c r="A44" s="928" t="s">
        <v>101</v>
      </c>
      <c r="B44" s="929"/>
      <c r="C44" s="929"/>
      <c r="D44" s="929"/>
      <c r="E44" s="929"/>
      <c r="F44" s="929"/>
      <c r="G44" s="929"/>
      <c r="H44" s="929"/>
      <c r="I44" s="929"/>
      <c r="J44" s="929"/>
      <c r="K44" s="929"/>
      <c r="L44" s="929"/>
      <c r="M44" s="929"/>
      <c r="N44" s="929"/>
      <c r="O44" s="929"/>
      <c r="P44" s="929"/>
      <c r="Q44" s="930"/>
    </row>
    <row r="45" spans="1:20" ht="20.25" hidden="1" customHeight="1">
      <c r="A45" s="895" t="s">
        <v>36</v>
      </c>
      <c r="B45" s="896"/>
      <c r="C45" s="896"/>
      <c r="D45" s="896"/>
      <c r="E45" s="896"/>
      <c r="F45" s="896"/>
      <c r="G45" s="896"/>
      <c r="H45" s="896"/>
      <c r="I45" s="896"/>
      <c r="J45" s="896"/>
      <c r="K45" s="896"/>
      <c r="L45" s="896"/>
      <c r="M45" s="896"/>
      <c r="N45" s="896"/>
      <c r="O45" s="896"/>
      <c r="P45" s="896"/>
      <c r="Q45" s="897"/>
    </row>
    <row r="46" spans="1:20" ht="27" hidden="1" customHeight="1" thickBot="1">
      <c r="A46" s="898"/>
      <c r="B46" s="899"/>
      <c r="C46" s="899"/>
      <c r="D46" s="899"/>
      <c r="E46" s="899"/>
      <c r="F46" s="899"/>
      <c r="G46" s="899"/>
      <c r="H46" s="899"/>
      <c r="I46" s="899"/>
      <c r="J46" s="899"/>
      <c r="K46" s="899"/>
      <c r="L46" s="899"/>
      <c r="M46" s="899"/>
      <c r="N46" s="899"/>
      <c r="O46" s="899"/>
      <c r="P46" s="899"/>
      <c r="Q46" s="900"/>
    </row>
    <row r="47" spans="1:20" hidden="1"/>
    <row r="49" spans="2:17">
      <c r="B49" s="478" t="s">
        <v>50</v>
      </c>
    </row>
    <row r="50" spans="2:17">
      <c r="B50" s="478" t="s">
        <v>51</v>
      </c>
      <c r="G50" s="479">
        <v>114.07000000000002</v>
      </c>
      <c r="H50" s="479">
        <v>34.450000000000003</v>
      </c>
    </row>
    <row r="51" spans="2:17">
      <c r="B51" s="478" t="s">
        <v>52</v>
      </c>
    </row>
    <row r="52" spans="2:17">
      <c r="B52" s="478" t="s">
        <v>53</v>
      </c>
    </row>
    <row r="53" spans="2:17">
      <c r="B53" s="478" t="s">
        <v>152</v>
      </c>
    </row>
    <row r="54" spans="2:17">
      <c r="C54" s="479" t="e">
        <f>su</f>
        <v>#NAME?</v>
      </c>
      <c r="P54" s="500"/>
      <c r="Q54" s="500"/>
    </row>
    <row r="55" spans="2:17">
      <c r="C55" s="496"/>
      <c r="N55" s="500"/>
    </row>
    <row r="56" spans="2:17">
      <c r="N56" s="500"/>
    </row>
    <row r="58" spans="2:17">
      <c r="H58" s="479">
        <f>4667/89</f>
        <v>52.438202247191015</v>
      </c>
    </row>
    <row r="59" spans="2:17">
      <c r="E59" s="479">
        <f>2362/24</f>
        <v>98.416666666666671</v>
      </c>
    </row>
    <row r="65" spans="3:18">
      <c r="C65" s="479">
        <v>2</v>
      </c>
      <c r="D65" s="479">
        <v>2</v>
      </c>
      <c r="E65" s="479">
        <v>8</v>
      </c>
    </row>
    <row r="66" spans="3:18">
      <c r="C66" s="479">
        <v>5</v>
      </c>
      <c r="D66" s="479">
        <v>5</v>
      </c>
      <c r="E66" s="479">
        <v>12</v>
      </c>
    </row>
    <row r="67" spans="3:18">
      <c r="C67" s="479">
        <v>7</v>
      </c>
      <c r="D67" s="479">
        <v>7</v>
      </c>
      <c r="E67" s="479">
        <v>18</v>
      </c>
    </row>
    <row r="68" spans="3:18">
      <c r="C68" s="479">
        <v>2</v>
      </c>
      <c r="D68" s="479">
        <v>2</v>
      </c>
      <c r="E68" s="479">
        <v>22</v>
      </c>
    </row>
    <row r="69" spans="3:18">
      <c r="C69" s="479">
        <v>2</v>
      </c>
      <c r="D69" s="479">
        <v>2</v>
      </c>
      <c r="E69" s="479">
        <v>25</v>
      </c>
    </row>
    <row r="70" spans="3:18">
      <c r="C70" s="479">
        <v>2</v>
      </c>
      <c r="D70" s="479">
        <v>2</v>
      </c>
      <c r="E70" s="479">
        <v>42</v>
      </c>
    </row>
    <row r="71" spans="3:18" ht="20.25">
      <c r="C71" s="479">
        <v>4</v>
      </c>
      <c r="D71" s="479">
        <v>4</v>
      </c>
      <c r="E71" s="479">
        <v>105</v>
      </c>
      <c r="I71" s="499">
        <f>20000</f>
        <v>20000</v>
      </c>
    </row>
    <row r="72" spans="3:18" ht="20.25">
      <c r="C72" s="479">
        <v>1</v>
      </c>
      <c r="D72" s="479">
        <v>1</v>
      </c>
      <c r="E72" s="479">
        <v>54</v>
      </c>
      <c r="I72" s="499">
        <v>5000</v>
      </c>
    </row>
    <row r="73" spans="3:18" ht="20.25">
      <c r="C73" s="479">
        <v>1</v>
      </c>
      <c r="D73" s="479">
        <v>1</v>
      </c>
      <c r="E73" s="479">
        <v>91</v>
      </c>
      <c r="I73" s="499">
        <v>5000</v>
      </c>
    </row>
    <row r="74" spans="3:18" ht="20.25">
      <c r="I74" s="499">
        <v>8000</v>
      </c>
    </row>
    <row r="75" spans="3:18" ht="20.25">
      <c r="I75" s="499">
        <f>SUM(I72:I74)</f>
        <v>18000</v>
      </c>
    </row>
    <row r="76" spans="3:18" ht="20.25">
      <c r="I76" s="499">
        <f>I71-I75</f>
        <v>2000</v>
      </c>
    </row>
    <row r="77" spans="3:18" ht="20.25">
      <c r="I77" s="499"/>
    </row>
    <row r="78" spans="3:18" ht="20.25">
      <c r="I78" s="499"/>
      <c r="L78" s="500">
        <f>L14+L15+L16+L18+L17+L19+L20+L21+L22+L23+L24+L25+L26+L27+L28+L29+L30+L36+L31+L32+L33+L34+L35+L37+L38+L39</f>
        <v>2535.6240767277955</v>
      </c>
      <c r="M78" s="500">
        <f>M14+M15+M16+M18+M17+M19+M20+M21+M22+M23+M24+M25+M26+M27+M28+M29+M30+M36+M31+M32+M33+M34+M35+M37+M38+M39</f>
        <v>2526.3638022028831</v>
      </c>
      <c r="P78" s="500" t="e">
        <f>P14+P15+P16+P18+P17+P19+P20+P21+P22+P23+P24+P25+P26+P27+P28+P29+P30+P36+P31+P32+P33+P34+P35+P37+P38+P39</f>
        <v>#REF!</v>
      </c>
      <c r="Q78" s="500" t="e">
        <f>Q14+Q15+Q16+Q18+Q17+Q19+Q20+Q21+Q22+Q23+Q24+Q25+Q26+Q27+Q28+Q29+Q30+Q36+Q31+Q32+Q33+Q34+Q35+Q37+Q38+Q39</f>
        <v>#REF!</v>
      </c>
      <c r="R78" s="500" t="e">
        <f>R14+R15+R16+R18+R17+R19+R20+R23+R24+R25+R26+R27+R28+R29+R30+R36+R31+R32+R33+R34+R35+R37+R38+R39</f>
        <v>#VALUE!</v>
      </c>
    </row>
    <row r="79" spans="3:18">
      <c r="L79" s="480">
        <f>L78/26</f>
        <v>97.52400295106905</v>
      </c>
      <c r="M79" s="480">
        <f>M78/26</f>
        <v>97.167838546264733</v>
      </c>
      <c r="P79" s="480" t="e">
        <f>P78/26</f>
        <v>#REF!</v>
      </c>
      <c r="Q79" s="480" t="e">
        <f>Q78/26</f>
        <v>#REF!</v>
      </c>
    </row>
  </sheetData>
  <mergeCells count="17"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A45:Q46"/>
    <mergeCell ref="G11:I11"/>
    <mergeCell ref="J11:M11"/>
    <mergeCell ref="N11:Q11"/>
    <mergeCell ref="A41:Q41"/>
    <mergeCell ref="A43:Q43"/>
    <mergeCell ref="A44:Q44"/>
  </mergeCells>
  <printOptions horizontalCentered="1"/>
  <pageMargins left="0" right="0" top="0.5" bottom="0" header="0.19" footer="0.5"/>
  <pageSetup paperSize="9" scale="64" orientation="landscape" r:id="rId1"/>
  <headerFooter alignWithMargins="0"/>
  <rowBreaks count="1" manualBreakCount="1">
    <brk id="39" max="16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view="pageBreakPreview" topLeftCell="A7" zoomScale="85" zoomScaleSheetLayoutView="85" workbookViewId="0">
      <selection activeCell="I34" activeCellId="1" sqref="I34 L36"/>
    </sheetView>
  </sheetViews>
  <sheetFormatPr defaultRowHeight="15"/>
  <cols>
    <col min="1" max="1" width="5.85546875" style="501" customWidth="1"/>
    <col min="2" max="2" width="17.140625" style="501" customWidth="1"/>
    <col min="3" max="3" width="10.140625" style="501" customWidth="1"/>
    <col min="4" max="4" width="8.85546875" style="501" customWidth="1"/>
    <col min="5" max="5" width="11.28515625" style="501" customWidth="1"/>
    <col min="6" max="6" width="15.5703125" style="501" customWidth="1"/>
    <col min="7" max="7" width="14.5703125" style="507" customWidth="1"/>
    <col min="8" max="8" width="13.7109375" style="507" customWidth="1"/>
    <col min="9" max="9" width="15.42578125" style="501" customWidth="1"/>
    <col min="10" max="10" width="16.42578125" style="501" customWidth="1"/>
    <col min="11" max="11" width="12.28515625" style="501" customWidth="1"/>
    <col min="12" max="12" width="13.42578125" style="501" customWidth="1"/>
    <col min="13" max="13" width="14" style="501" customWidth="1"/>
    <col min="14" max="14" width="17.28515625" style="501" customWidth="1"/>
    <col min="15" max="15" width="13.140625" style="501" customWidth="1"/>
    <col min="16" max="16" width="11.42578125" style="501" customWidth="1"/>
    <col min="17" max="17" width="13.28515625" style="501" customWidth="1"/>
    <col min="18" max="18" width="18.28515625" style="501" bestFit="1" customWidth="1"/>
    <col min="19" max="19" width="19" style="501" bestFit="1" customWidth="1"/>
    <col min="20" max="20" width="9.28515625" style="501" bestFit="1" customWidth="1"/>
    <col min="21" max="16384" width="9.140625" style="501"/>
  </cols>
  <sheetData>
    <row r="1" spans="1:20" ht="24.75" customHeight="1">
      <c r="A1" s="921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</row>
    <row r="2" spans="1:20" ht="17.25" customHeight="1">
      <c r="A2" s="922" t="s">
        <v>57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</row>
    <row r="3" spans="1:20" s="473" customFormat="1" ht="18.75" customHeight="1">
      <c r="A3" s="903" t="s">
        <v>151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</row>
    <row r="4" spans="1:20" ht="14.25" customHeight="1">
      <c r="A4" s="931"/>
      <c r="B4" s="931"/>
      <c r="C4" s="931"/>
      <c r="D4" s="931"/>
      <c r="E4" s="558"/>
      <c r="F4" s="558"/>
      <c r="G4" s="484"/>
      <c r="H4" s="484"/>
      <c r="I4" s="558"/>
      <c r="J4" s="558"/>
      <c r="K4" s="558"/>
      <c r="L4" s="558"/>
      <c r="M4" s="558"/>
      <c r="N4" s="558"/>
      <c r="O4" s="558"/>
      <c r="P4" s="558"/>
      <c r="Q4" s="558"/>
    </row>
    <row r="5" spans="1:20" s="451" customFormat="1" ht="23.25" customHeight="1">
      <c r="A5" s="932" t="s">
        <v>2</v>
      </c>
      <c r="B5" s="932" t="s">
        <v>58</v>
      </c>
      <c r="C5" s="932" t="s">
        <v>4</v>
      </c>
      <c r="D5" s="932" t="s">
        <v>5</v>
      </c>
      <c r="E5" s="932" t="s">
        <v>6</v>
      </c>
      <c r="F5" s="932" t="s">
        <v>7</v>
      </c>
      <c r="G5" s="939" t="s">
        <v>39</v>
      </c>
      <c r="H5" s="939"/>
      <c r="I5" s="939"/>
      <c r="J5" s="939" t="s">
        <v>149</v>
      </c>
      <c r="K5" s="939"/>
      <c r="L5" s="939"/>
      <c r="M5" s="939"/>
      <c r="N5" s="939" t="s">
        <v>139</v>
      </c>
      <c r="O5" s="939"/>
      <c r="P5" s="939"/>
      <c r="Q5" s="939"/>
    </row>
    <row r="6" spans="1:20" s="451" customFormat="1" ht="117.75" customHeight="1">
      <c r="A6" s="932"/>
      <c r="B6" s="932"/>
      <c r="C6" s="932"/>
      <c r="D6" s="932"/>
      <c r="E6" s="932"/>
      <c r="F6" s="932"/>
      <c r="G6" s="564" t="s">
        <v>9</v>
      </c>
      <c r="H6" s="564" t="s">
        <v>10</v>
      </c>
      <c r="I6" s="564" t="s">
        <v>11</v>
      </c>
      <c r="J6" s="564" t="s">
        <v>12</v>
      </c>
      <c r="K6" s="564" t="s">
        <v>13</v>
      </c>
      <c r="L6" s="564" t="s">
        <v>78</v>
      </c>
      <c r="M6" s="564" t="s">
        <v>14</v>
      </c>
      <c r="N6" s="564" t="s">
        <v>145</v>
      </c>
      <c r="O6" s="564" t="s">
        <v>143</v>
      </c>
      <c r="P6" s="564" t="s">
        <v>141</v>
      </c>
      <c r="Q6" s="564" t="s">
        <v>142</v>
      </c>
    </row>
    <row r="7" spans="1:20" ht="18" customHeight="1">
      <c r="A7" s="487">
        <v>1</v>
      </c>
      <c r="B7" s="487" t="s">
        <v>40</v>
      </c>
      <c r="C7" s="487">
        <v>3</v>
      </c>
      <c r="D7" s="487">
        <v>4</v>
      </c>
      <c r="E7" s="487">
        <v>5</v>
      </c>
      <c r="F7" s="487" t="s">
        <v>19</v>
      </c>
      <c r="G7" s="488">
        <v>6</v>
      </c>
      <c r="H7" s="488">
        <v>7</v>
      </c>
      <c r="I7" s="487" t="s">
        <v>20</v>
      </c>
      <c r="J7" s="487" t="s">
        <v>21</v>
      </c>
      <c r="K7" s="489" t="s">
        <v>22</v>
      </c>
      <c r="L7" s="487" t="s">
        <v>23</v>
      </c>
      <c r="M7" s="487" t="s">
        <v>24</v>
      </c>
      <c r="N7" s="487">
        <v>13</v>
      </c>
      <c r="O7" s="487" t="s">
        <v>25</v>
      </c>
      <c r="P7" s="487">
        <v>15</v>
      </c>
      <c r="Q7" s="487">
        <v>16</v>
      </c>
    </row>
    <row r="8" spans="1:20" s="504" customFormat="1" ht="24.95" customHeight="1">
      <c r="A8" s="228">
        <v>1</v>
      </c>
      <c r="B8" s="229" t="s">
        <v>60</v>
      </c>
      <c r="C8" s="550">
        <v>230</v>
      </c>
      <c r="D8" s="550">
        <v>227</v>
      </c>
      <c r="E8" s="551">
        <v>88.33</v>
      </c>
      <c r="F8" s="531">
        <f>E8+'DEC ANX III '!F8</f>
        <v>1496.8899999999999</v>
      </c>
      <c r="G8" s="551">
        <v>4156.6600000000008</v>
      </c>
      <c r="H8" s="551">
        <v>1092.8299999999997</v>
      </c>
      <c r="I8" s="531">
        <f>G8+H8</f>
        <v>5249.4900000000007</v>
      </c>
      <c r="J8" s="531">
        <f>E8+I8</f>
        <v>5337.8200000000006</v>
      </c>
      <c r="K8" s="531">
        <f>J8/C8</f>
        <v>23.207913043478264</v>
      </c>
      <c r="L8" s="530">
        <f>+(((C8*18)*31)-I8)*100/((C8*18)*31)</f>
        <v>95.909700794763907</v>
      </c>
      <c r="M8" s="530">
        <f>+(((C8*18)*31)-J8)*100/((C8*18)*31)</f>
        <v>95.840875798659809</v>
      </c>
      <c r="N8" s="530" t="e">
        <f>J8+'DEC ANX III '!N8</f>
        <v>#REF!</v>
      </c>
      <c r="O8" s="532" t="e">
        <f>N8/C8</f>
        <v>#REF!</v>
      </c>
      <c r="P8" s="530" t="e">
        <f>((C8*18*306)-(N8-E8))*100/(C8*18*306)</f>
        <v>#REF!</v>
      </c>
      <c r="Q8" s="530" t="e">
        <f>((C8*18*306)-(N8))*100/(C8*18*306)</f>
        <v>#REF!</v>
      </c>
      <c r="R8" s="428" t="e">
        <f>L8-P8</f>
        <v>#REF!</v>
      </c>
      <c r="S8" s="428" t="e">
        <f>M8-Q8</f>
        <v>#REF!</v>
      </c>
    </row>
    <row r="9" spans="1:20" s="504" customFormat="1" ht="24.95" customHeight="1">
      <c r="A9" s="228">
        <v>2</v>
      </c>
      <c r="B9" s="229" t="s">
        <v>43</v>
      </c>
      <c r="C9" s="550">
        <v>172</v>
      </c>
      <c r="D9" s="550">
        <v>172</v>
      </c>
      <c r="E9" s="551">
        <v>26.459999999999997</v>
      </c>
      <c r="F9" s="531">
        <f>E9+'DEC ANX III '!F9</f>
        <v>776.37999999999988</v>
      </c>
      <c r="G9" s="551">
        <v>3454.6499999999996</v>
      </c>
      <c r="H9" s="551">
        <v>799.94</v>
      </c>
      <c r="I9" s="531">
        <f t="shared" ref="I9:I30" si="0">G9+H9</f>
        <v>4254.59</v>
      </c>
      <c r="J9" s="531">
        <f t="shared" ref="J9:J30" si="1">E9+I9</f>
        <v>4281.05</v>
      </c>
      <c r="K9" s="531">
        <f t="shared" ref="K9:K30" si="2">J9/C9</f>
        <v>24.88982558139535</v>
      </c>
      <c r="L9" s="530">
        <f t="shared" ref="L9:L30" si="3">+(((C9*18)*31)-I9)*100/((C9*18)*31)</f>
        <v>95.567027173460033</v>
      </c>
      <c r="M9" s="530">
        <f t="shared" ref="M9:M30" si="4">+(((C9*18)*31)-J9)*100/((C9*18)*31)</f>
        <v>95.539457781111949</v>
      </c>
      <c r="N9" s="530" t="e">
        <f>J9+'DEC ANX III '!N9</f>
        <v>#REF!</v>
      </c>
      <c r="O9" s="532" t="e">
        <f t="shared" ref="O9:O30" si="5">N9/C9</f>
        <v>#REF!</v>
      </c>
      <c r="P9" s="530" t="e">
        <f t="shared" ref="P9:P30" si="6">((C9*18*306)-(N9-E9))*100/(C9*18*306)</f>
        <v>#REF!</v>
      </c>
      <c r="Q9" s="530" t="e">
        <f t="shared" ref="Q9:Q30" si="7">((C9*18*306)-(N9))*100/(C9*18*306)</f>
        <v>#REF!</v>
      </c>
      <c r="R9" s="428" t="e">
        <f t="shared" ref="R9:S56" si="8">L9-P9</f>
        <v>#REF!</v>
      </c>
      <c r="S9" s="428" t="e">
        <f t="shared" si="8"/>
        <v>#REF!</v>
      </c>
    </row>
    <row r="10" spans="1:20" s="504" customFormat="1" ht="24.95" customHeight="1">
      <c r="A10" s="228">
        <v>3</v>
      </c>
      <c r="B10" s="229" t="s">
        <v>27</v>
      </c>
      <c r="C10" s="550">
        <v>178</v>
      </c>
      <c r="D10" s="550">
        <v>178</v>
      </c>
      <c r="E10" s="551">
        <v>135.25</v>
      </c>
      <c r="F10" s="531">
        <f>E10+'DEC ANX III '!F10</f>
        <v>1442.56</v>
      </c>
      <c r="G10" s="551">
        <v>3364.52</v>
      </c>
      <c r="H10" s="551">
        <v>3697.68</v>
      </c>
      <c r="I10" s="531">
        <f t="shared" si="0"/>
        <v>7062.2</v>
      </c>
      <c r="J10" s="531">
        <f t="shared" si="1"/>
        <v>7197.45</v>
      </c>
      <c r="K10" s="531">
        <f t="shared" si="2"/>
        <v>40.435112359550558</v>
      </c>
      <c r="L10" s="530">
        <f t="shared" si="3"/>
        <v>92.889734605936127</v>
      </c>
      <c r="M10" s="530">
        <f t="shared" si="4"/>
        <v>92.753564093270512</v>
      </c>
      <c r="N10" s="530" t="e">
        <f>J10+'DEC ANX III '!N10</f>
        <v>#REF!</v>
      </c>
      <c r="O10" s="532" t="e">
        <f t="shared" si="5"/>
        <v>#REF!</v>
      </c>
      <c r="P10" s="530" t="e">
        <f t="shared" si="6"/>
        <v>#REF!</v>
      </c>
      <c r="Q10" s="530" t="e">
        <f t="shared" si="7"/>
        <v>#REF!</v>
      </c>
      <c r="R10" s="428" t="e">
        <f t="shared" si="8"/>
        <v>#REF!</v>
      </c>
      <c r="S10" s="428" t="e">
        <f t="shared" si="8"/>
        <v>#REF!</v>
      </c>
    </row>
    <row r="11" spans="1:20" s="504" customFormat="1" ht="24.95" customHeight="1">
      <c r="A11" s="228">
        <v>4</v>
      </c>
      <c r="B11" s="229" t="s">
        <v>44</v>
      </c>
      <c r="C11" s="550">
        <v>192</v>
      </c>
      <c r="D11" s="550">
        <v>192</v>
      </c>
      <c r="E11" s="551">
        <v>53.2</v>
      </c>
      <c r="F11" s="531">
        <f>E11+'DEC ANX III '!F11</f>
        <v>461.25461228609379</v>
      </c>
      <c r="G11" s="551">
        <v>1919.05</v>
      </c>
      <c r="H11" s="551">
        <v>637.23</v>
      </c>
      <c r="I11" s="531">
        <f t="shared" si="0"/>
        <v>2556.2799999999997</v>
      </c>
      <c r="J11" s="531">
        <f t="shared" si="1"/>
        <v>2609.4799999999996</v>
      </c>
      <c r="K11" s="531">
        <f t="shared" si="2"/>
        <v>13.591041666666664</v>
      </c>
      <c r="L11" s="530">
        <f t="shared" si="3"/>
        <v>97.613985961768222</v>
      </c>
      <c r="M11" s="530">
        <f t="shared" si="4"/>
        <v>97.564329450418157</v>
      </c>
      <c r="N11" s="530" t="e">
        <f>J11+'DEC ANX III '!N11</f>
        <v>#REF!</v>
      </c>
      <c r="O11" s="532" t="e">
        <f t="shared" si="5"/>
        <v>#REF!</v>
      </c>
      <c r="P11" s="530" t="e">
        <f t="shared" si="6"/>
        <v>#REF!</v>
      </c>
      <c r="Q11" s="530" t="e">
        <f t="shared" si="7"/>
        <v>#REF!</v>
      </c>
      <c r="R11" s="428" t="e">
        <f t="shared" si="8"/>
        <v>#REF!</v>
      </c>
      <c r="S11" s="428" t="e">
        <f t="shared" si="8"/>
        <v>#REF!</v>
      </c>
    </row>
    <row r="12" spans="1:20" s="429" customFormat="1" ht="25.5" customHeight="1">
      <c r="A12" s="228">
        <v>5</v>
      </c>
      <c r="B12" s="229" t="s">
        <v>28</v>
      </c>
      <c r="C12" s="550">
        <v>385</v>
      </c>
      <c r="D12" s="550">
        <v>365</v>
      </c>
      <c r="E12" s="551">
        <v>58</v>
      </c>
      <c r="F12" s="531">
        <f>E12+'DEC ANX III '!F12</f>
        <v>864.6</v>
      </c>
      <c r="G12" s="532">
        <v>4034.6499999999996</v>
      </c>
      <c r="H12" s="532">
        <v>4919.2</v>
      </c>
      <c r="I12" s="531">
        <f t="shared" si="0"/>
        <v>8953.8499999999985</v>
      </c>
      <c r="J12" s="531">
        <f t="shared" si="1"/>
        <v>9011.8499999999985</v>
      </c>
      <c r="K12" s="531">
        <f t="shared" si="2"/>
        <v>23.407402597402594</v>
      </c>
      <c r="L12" s="530">
        <f t="shared" si="3"/>
        <v>95.832123074058558</v>
      </c>
      <c r="M12" s="530">
        <f t="shared" si="4"/>
        <v>95.805124982544342</v>
      </c>
      <c r="N12" s="530" t="e">
        <f>J12+'DEC ANX III '!N12</f>
        <v>#REF!</v>
      </c>
      <c r="O12" s="532" t="e">
        <f t="shared" si="5"/>
        <v>#REF!</v>
      </c>
      <c r="P12" s="530" t="e">
        <f t="shared" si="6"/>
        <v>#REF!</v>
      </c>
      <c r="Q12" s="530" t="e">
        <f t="shared" si="7"/>
        <v>#REF!</v>
      </c>
      <c r="R12" s="428" t="e">
        <f t="shared" si="8"/>
        <v>#REF!</v>
      </c>
      <c r="S12" s="428" t="e">
        <f t="shared" si="8"/>
        <v>#REF!</v>
      </c>
      <c r="T12" s="429">
        <f>E12/60</f>
        <v>0.96666666666666667</v>
      </c>
    </row>
    <row r="13" spans="1:20" s="429" customFormat="1" ht="25.5" customHeight="1">
      <c r="A13" s="228">
        <v>6</v>
      </c>
      <c r="B13" s="505" t="s">
        <v>45</v>
      </c>
      <c r="C13" s="550">
        <v>187</v>
      </c>
      <c r="D13" s="550">
        <v>187</v>
      </c>
      <c r="E13" s="551">
        <v>62</v>
      </c>
      <c r="F13" s="531">
        <f>E13+'DEC ANX III '!F13</f>
        <v>869.44999999999993</v>
      </c>
      <c r="G13" s="532">
        <v>2597.75</v>
      </c>
      <c r="H13" s="532">
        <v>3252.8</v>
      </c>
      <c r="I13" s="531">
        <f t="shared" si="0"/>
        <v>5850.55</v>
      </c>
      <c r="J13" s="531">
        <f t="shared" si="1"/>
        <v>5912.55</v>
      </c>
      <c r="K13" s="531">
        <f t="shared" si="2"/>
        <v>31.617914438502673</v>
      </c>
      <c r="L13" s="530">
        <f t="shared" si="3"/>
        <v>94.393124796350605</v>
      </c>
      <c r="M13" s="530">
        <f t="shared" si="4"/>
        <v>94.333707089874068</v>
      </c>
      <c r="N13" s="530" t="e">
        <f>J13+'DEC ANX III '!N13</f>
        <v>#REF!</v>
      </c>
      <c r="O13" s="532" t="e">
        <f t="shared" si="5"/>
        <v>#REF!</v>
      </c>
      <c r="P13" s="530" t="e">
        <f t="shared" si="6"/>
        <v>#REF!</v>
      </c>
      <c r="Q13" s="530" t="e">
        <f t="shared" si="7"/>
        <v>#REF!</v>
      </c>
      <c r="R13" s="428" t="e">
        <f t="shared" si="8"/>
        <v>#REF!</v>
      </c>
      <c r="S13" s="428" t="e">
        <f t="shared" si="8"/>
        <v>#REF!</v>
      </c>
      <c r="T13" s="429">
        <f>E13/60</f>
        <v>1.0333333333333334</v>
      </c>
    </row>
    <row r="14" spans="1:20" s="429" customFormat="1" ht="25.5" customHeight="1">
      <c r="A14" s="228">
        <v>7</v>
      </c>
      <c r="B14" s="505" t="s">
        <v>88</v>
      </c>
      <c r="C14" s="550">
        <v>289</v>
      </c>
      <c r="D14" s="550">
        <v>289</v>
      </c>
      <c r="E14" s="551">
        <v>64</v>
      </c>
      <c r="F14" s="531">
        <f>E14+'DEC ANX III '!F14</f>
        <v>740.41</v>
      </c>
      <c r="G14" s="532">
        <v>3804.75</v>
      </c>
      <c r="H14" s="532">
        <v>1929.17</v>
      </c>
      <c r="I14" s="531">
        <f t="shared" si="0"/>
        <v>5733.92</v>
      </c>
      <c r="J14" s="531">
        <f t="shared" si="1"/>
        <v>5797.92</v>
      </c>
      <c r="K14" s="531">
        <f t="shared" si="2"/>
        <v>20.062006920415225</v>
      </c>
      <c r="L14" s="530">
        <f t="shared" si="3"/>
        <v>96.444345227021856</v>
      </c>
      <c r="M14" s="530">
        <f t="shared" si="4"/>
        <v>96.404658257990093</v>
      </c>
      <c r="N14" s="530" t="e">
        <f>J14+'DEC ANX III '!N14</f>
        <v>#REF!</v>
      </c>
      <c r="O14" s="532" t="e">
        <f t="shared" si="5"/>
        <v>#REF!</v>
      </c>
      <c r="P14" s="530" t="e">
        <f t="shared" si="6"/>
        <v>#REF!</v>
      </c>
      <c r="Q14" s="530" t="e">
        <f t="shared" si="7"/>
        <v>#REF!</v>
      </c>
      <c r="R14" s="428" t="e">
        <f t="shared" si="8"/>
        <v>#REF!</v>
      </c>
      <c r="S14" s="428" t="e">
        <f t="shared" si="8"/>
        <v>#REF!</v>
      </c>
      <c r="T14" s="429">
        <f>E14/60</f>
        <v>1.0666666666666667</v>
      </c>
    </row>
    <row r="15" spans="1:20" s="429" customFormat="1" ht="25.5" customHeight="1">
      <c r="A15" s="228">
        <v>8</v>
      </c>
      <c r="B15" s="505" t="s">
        <v>30</v>
      </c>
      <c r="C15" s="552">
        <v>134</v>
      </c>
      <c r="D15" s="552">
        <v>134</v>
      </c>
      <c r="E15" s="541">
        <v>50.4</v>
      </c>
      <c r="F15" s="531" t="e">
        <f>E15+'DEC ANX III '!F15</f>
        <v>#REF!</v>
      </c>
      <c r="G15" s="541">
        <v>248.77</v>
      </c>
      <c r="H15" s="541">
        <v>231.73</v>
      </c>
      <c r="I15" s="531">
        <f t="shared" si="0"/>
        <v>480.5</v>
      </c>
      <c r="J15" s="531">
        <f t="shared" si="1"/>
        <v>530.9</v>
      </c>
      <c r="K15" s="531">
        <f t="shared" si="2"/>
        <v>3.9619402985074625</v>
      </c>
      <c r="L15" s="530">
        <f t="shared" si="3"/>
        <v>99.357379767827524</v>
      </c>
      <c r="M15" s="530">
        <f t="shared" si="4"/>
        <v>99.289974856898311</v>
      </c>
      <c r="N15" s="530" t="e">
        <f>J15+'DEC ANX III '!N15</f>
        <v>#REF!</v>
      </c>
      <c r="O15" s="532" t="e">
        <f t="shared" si="5"/>
        <v>#REF!</v>
      </c>
      <c r="P15" s="530" t="e">
        <f t="shared" si="6"/>
        <v>#REF!</v>
      </c>
      <c r="Q15" s="530" t="e">
        <f t="shared" si="7"/>
        <v>#REF!</v>
      </c>
      <c r="R15" s="428" t="e">
        <f t="shared" si="8"/>
        <v>#REF!</v>
      </c>
      <c r="S15" s="428" t="e">
        <f t="shared" si="8"/>
        <v>#REF!</v>
      </c>
    </row>
    <row r="16" spans="1:20" s="429" customFormat="1" ht="25.5" customHeight="1">
      <c r="A16" s="228">
        <v>9</v>
      </c>
      <c r="B16" s="505" t="s">
        <v>47</v>
      </c>
      <c r="C16" s="552">
        <v>170</v>
      </c>
      <c r="D16" s="552">
        <v>170</v>
      </c>
      <c r="E16" s="541">
        <v>209</v>
      </c>
      <c r="F16" s="531" t="e">
        <f>E16+'DEC ANX III '!F16</f>
        <v>#REF!</v>
      </c>
      <c r="G16" s="541">
        <v>455</v>
      </c>
      <c r="H16" s="541">
        <v>132</v>
      </c>
      <c r="I16" s="531">
        <f t="shared" si="0"/>
        <v>587</v>
      </c>
      <c r="J16" s="531">
        <f t="shared" si="1"/>
        <v>796</v>
      </c>
      <c r="K16" s="531">
        <f t="shared" si="2"/>
        <v>4.6823529411764708</v>
      </c>
      <c r="L16" s="530">
        <f t="shared" si="3"/>
        <v>99.381193337550073</v>
      </c>
      <c r="M16" s="530">
        <f t="shared" si="4"/>
        <v>99.160868648534688</v>
      </c>
      <c r="N16" s="530" t="e">
        <f>J16+'DEC ANX III '!N16</f>
        <v>#REF!</v>
      </c>
      <c r="O16" s="532" t="e">
        <f t="shared" si="5"/>
        <v>#REF!</v>
      </c>
      <c r="P16" s="530" t="e">
        <f t="shared" si="6"/>
        <v>#REF!</v>
      </c>
      <c r="Q16" s="530" t="e">
        <f t="shared" si="7"/>
        <v>#REF!</v>
      </c>
      <c r="R16" s="428" t="e">
        <f t="shared" si="8"/>
        <v>#REF!</v>
      </c>
      <c r="S16" s="428" t="e">
        <f t="shared" si="8"/>
        <v>#REF!</v>
      </c>
      <c r="T16" s="429">
        <f>E16/60</f>
        <v>3.4833333333333334</v>
      </c>
    </row>
    <row r="17" spans="1:20" s="429" customFormat="1" ht="25.5" customHeight="1">
      <c r="A17" s="228">
        <v>10</v>
      </c>
      <c r="B17" s="505" t="s">
        <v>48</v>
      </c>
      <c r="C17" s="552">
        <v>173</v>
      </c>
      <c r="D17" s="552">
        <v>173</v>
      </c>
      <c r="E17" s="541">
        <v>1267.2</v>
      </c>
      <c r="F17" s="531" t="e">
        <f>E17+'DEC ANX III '!F17</f>
        <v>#REF!</v>
      </c>
      <c r="G17" s="541">
        <v>785.54</v>
      </c>
      <c r="H17" s="541">
        <v>652.25</v>
      </c>
      <c r="I17" s="531">
        <f t="shared" si="0"/>
        <v>1437.79</v>
      </c>
      <c r="J17" s="531">
        <f t="shared" si="1"/>
        <v>2704.99</v>
      </c>
      <c r="K17" s="531">
        <f t="shared" si="2"/>
        <v>15.635780346820807</v>
      </c>
      <c r="L17" s="530">
        <f t="shared" si="3"/>
        <v>98.510586943460339</v>
      </c>
      <c r="M17" s="530">
        <f t="shared" si="4"/>
        <v>97.197888826734626</v>
      </c>
      <c r="N17" s="530" t="e">
        <f>J17+'DEC ANX III '!N17</f>
        <v>#REF!</v>
      </c>
      <c r="O17" s="532" t="e">
        <f t="shared" si="5"/>
        <v>#REF!</v>
      </c>
      <c r="P17" s="530" t="e">
        <f t="shared" si="6"/>
        <v>#REF!</v>
      </c>
      <c r="Q17" s="530" t="e">
        <f t="shared" si="7"/>
        <v>#REF!</v>
      </c>
      <c r="R17" s="428" t="e">
        <f t="shared" si="8"/>
        <v>#REF!</v>
      </c>
      <c r="S17" s="428" t="e">
        <f t="shared" si="8"/>
        <v>#REF!</v>
      </c>
      <c r="T17" s="429">
        <f>E17/60</f>
        <v>21.12</v>
      </c>
    </row>
    <row r="18" spans="1:20" s="429" customFormat="1" ht="25.5" customHeight="1">
      <c r="A18" s="228">
        <v>11</v>
      </c>
      <c r="B18" s="505" t="s">
        <v>63</v>
      </c>
      <c r="C18" s="552">
        <v>120</v>
      </c>
      <c r="D18" s="552">
        <v>120</v>
      </c>
      <c r="E18" s="541">
        <v>70.3</v>
      </c>
      <c r="F18" s="531" t="e">
        <f>E18+'DEC ANX III '!F18</f>
        <v>#REF!</v>
      </c>
      <c r="G18" s="541">
        <v>873.57</v>
      </c>
      <c r="H18" s="541">
        <v>493.82</v>
      </c>
      <c r="I18" s="531">
        <f t="shared" si="0"/>
        <v>1367.39</v>
      </c>
      <c r="J18" s="531">
        <f t="shared" si="1"/>
        <v>1437.69</v>
      </c>
      <c r="K18" s="531">
        <f t="shared" si="2"/>
        <v>11.98075</v>
      </c>
      <c r="L18" s="530">
        <f t="shared" si="3"/>
        <v>97.957900238948625</v>
      </c>
      <c r="M18" s="530">
        <f t="shared" si="4"/>
        <v>97.852912186379925</v>
      </c>
      <c r="N18" s="530" t="e">
        <f>J18+'DEC ANX III '!N18</f>
        <v>#REF!</v>
      </c>
      <c r="O18" s="532" t="e">
        <f t="shared" si="5"/>
        <v>#REF!</v>
      </c>
      <c r="P18" s="530" t="e">
        <f t="shared" si="6"/>
        <v>#REF!</v>
      </c>
      <c r="Q18" s="530" t="e">
        <f t="shared" si="7"/>
        <v>#REF!</v>
      </c>
      <c r="R18" s="428" t="e">
        <f t="shared" si="8"/>
        <v>#REF!</v>
      </c>
      <c r="S18" s="428" t="e">
        <f t="shared" si="8"/>
        <v>#REF!</v>
      </c>
    </row>
    <row r="19" spans="1:20" s="565" customFormat="1" ht="25.5" customHeight="1">
      <c r="A19" s="565">
        <v>12</v>
      </c>
      <c r="B19" s="565" t="s">
        <v>50</v>
      </c>
      <c r="C19" s="566">
        <v>34</v>
      </c>
      <c r="D19" s="566">
        <v>34</v>
      </c>
      <c r="E19" s="566">
        <v>56.5</v>
      </c>
      <c r="F19" s="567" t="e">
        <f>E19+'DEC ANX III '!F19</f>
        <v>#REF!</v>
      </c>
      <c r="G19" s="568">
        <v>451.32</v>
      </c>
      <c r="H19" s="568">
        <v>129.66999999999999</v>
      </c>
      <c r="I19" s="566">
        <f t="shared" si="0"/>
        <v>580.99</v>
      </c>
      <c r="J19" s="566">
        <f t="shared" si="1"/>
        <v>637.49</v>
      </c>
      <c r="K19" s="566">
        <f t="shared" si="2"/>
        <v>18.749705882352941</v>
      </c>
      <c r="L19" s="569">
        <f t="shared" si="3"/>
        <v>96.93764495045329</v>
      </c>
      <c r="M19" s="569">
        <f t="shared" si="4"/>
        <v>96.639837655492286</v>
      </c>
      <c r="N19" s="569" t="e">
        <f>J19+'DEC ANX III '!N19</f>
        <v>#REF!</v>
      </c>
      <c r="O19" s="568" t="e">
        <f t="shared" si="5"/>
        <v>#REF!</v>
      </c>
      <c r="P19" s="569" t="e">
        <f t="shared" si="6"/>
        <v>#REF!</v>
      </c>
      <c r="Q19" s="569" t="e">
        <f t="shared" si="7"/>
        <v>#REF!</v>
      </c>
      <c r="R19" s="570" t="e">
        <f t="shared" si="8"/>
        <v>#REF!</v>
      </c>
      <c r="S19" s="565" t="e">
        <f t="shared" si="8"/>
        <v>#REF!</v>
      </c>
    </row>
    <row r="20" spans="1:20" s="565" customFormat="1" ht="25.5" customHeight="1">
      <c r="A20" s="565">
        <v>13</v>
      </c>
      <c r="B20" s="565" t="s">
        <v>51</v>
      </c>
      <c r="C20" s="566">
        <v>31</v>
      </c>
      <c r="D20" s="566">
        <v>31</v>
      </c>
      <c r="E20" s="566">
        <v>92.99</v>
      </c>
      <c r="F20" s="567" t="e">
        <f>E20+'DEC ANX III '!F20</f>
        <v>#REF!</v>
      </c>
      <c r="G20" s="568">
        <v>511.27</v>
      </c>
      <c r="H20" s="568">
        <v>336.83</v>
      </c>
      <c r="I20" s="566">
        <f t="shared" si="0"/>
        <v>848.09999999999991</v>
      </c>
      <c r="J20" s="566">
        <f t="shared" si="1"/>
        <v>941.08999999999992</v>
      </c>
      <c r="K20" s="566">
        <f t="shared" si="2"/>
        <v>30.357741935483869</v>
      </c>
      <c r="L20" s="569">
        <f t="shared" si="3"/>
        <v>95.097121054457176</v>
      </c>
      <c r="M20" s="569">
        <f t="shared" si="4"/>
        <v>94.559544456006478</v>
      </c>
      <c r="N20" s="569" t="e">
        <f>J20+'DEC ANX III '!N20</f>
        <v>#REF!</v>
      </c>
      <c r="O20" s="568" t="e">
        <f t="shared" si="5"/>
        <v>#REF!</v>
      </c>
      <c r="P20" s="569" t="e">
        <f t="shared" si="6"/>
        <v>#REF!</v>
      </c>
      <c r="Q20" s="569" t="e">
        <f t="shared" si="7"/>
        <v>#REF!</v>
      </c>
      <c r="R20" s="570" t="e">
        <f t="shared" si="8"/>
        <v>#REF!</v>
      </c>
      <c r="S20" s="565" t="e">
        <f t="shared" si="8"/>
        <v>#REF!</v>
      </c>
    </row>
    <row r="21" spans="1:20" s="429" customFormat="1" ht="25.5" customHeight="1">
      <c r="A21" s="228">
        <v>12</v>
      </c>
      <c r="B21" s="505" t="s">
        <v>99</v>
      </c>
      <c r="C21" s="533">
        <f>C19+C20</f>
        <v>65</v>
      </c>
      <c r="D21" s="533">
        <f>D19+D20</f>
        <v>65</v>
      </c>
      <c r="E21" s="533">
        <f>E19+E20</f>
        <v>149.49</v>
      </c>
      <c r="F21" s="531" t="e">
        <f>E21+'DEC ANX III '!F21</f>
        <v>#REF!</v>
      </c>
      <c r="G21" s="530">
        <f>SUM(G19:G20)</f>
        <v>962.58999999999992</v>
      </c>
      <c r="H21" s="530">
        <f>SUM(H19:H20)</f>
        <v>466.5</v>
      </c>
      <c r="I21" s="531">
        <f t="shared" si="0"/>
        <v>1429.09</v>
      </c>
      <c r="J21" s="531">
        <f t="shared" si="1"/>
        <v>1578.58</v>
      </c>
      <c r="K21" s="531">
        <f t="shared" si="2"/>
        <v>24.285846153846151</v>
      </c>
      <c r="L21" s="530">
        <f t="shared" si="3"/>
        <v>96.059856630824385</v>
      </c>
      <c r="M21" s="530">
        <f t="shared" si="4"/>
        <v>95.64769782189137</v>
      </c>
      <c r="N21" s="530" t="e">
        <f>J21+'DEC ANX III '!N21</f>
        <v>#REF!</v>
      </c>
      <c r="O21" s="531" t="e">
        <f t="shared" si="5"/>
        <v>#REF!</v>
      </c>
      <c r="P21" s="530" t="e">
        <f t="shared" si="6"/>
        <v>#REF!</v>
      </c>
      <c r="Q21" s="530" t="e">
        <f t="shared" si="7"/>
        <v>#REF!</v>
      </c>
      <c r="R21" s="428"/>
      <c r="S21" s="428"/>
    </row>
    <row r="22" spans="1:20" s="573" customFormat="1" ht="25.5" customHeight="1">
      <c r="A22" s="571">
        <v>14</v>
      </c>
      <c r="B22" s="565" t="s">
        <v>52</v>
      </c>
      <c r="C22" s="566">
        <v>14</v>
      </c>
      <c r="D22" s="566">
        <v>14</v>
      </c>
      <c r="E22" s="566">
        <v>12</v>
      </c>
      <c r="F22" s="567" t="e">
        <f>E22+'DEC ANX III '!F22</f>
        <v>#REF!</v>
      </c>
      <c r="G22" s="566">
        <v>95.850000000000009</v>
      </c>
      <c r="H22" s="566">
        <v>141.07999999999998</v>
      </c>
      <c r="I22" s="566">
        <f t="shared" si="0"/>
        <v>236.93</v>
      </c>
      <c r="J22" s="566">
        <f t="shared" si="1"/>
        <v>248.93</v>
      </c>
      <c r="K22" s="566">
        <f t="shared" si="2"/>
        <v>17.780714285714286</v>
      </c>
      <c r="L22" s="569">
        <f t="shared" si="3"/>
        <v>96.96710189452125</v>
      </c>
      <c r="M22" s="569">
        <f t="shared" si="4"/>
        <v>96.813492063492063</v>
      </c>
      <c r="N22" s="569" t="e">
        <f>J22+'DEC ANX III '!N22</f>
        <v>#REF!</v>
      </c>
      <c r="O22" s="568" t="e">
        <f t="shared" si="5"/>
        <v>#REF!</v>
      </c>
      <c r="P22" s="569" t="e">
        <f t="shared" si="6"/>
        <v>#REF!</v>
      </c>
      <c r="Q22" s="569" t="e">
        <f t="shared" si="7"/>
        <v>#REF!</v>
      </c>
      <c r="R22" s="572" t="e">
        <f t="shared" si="8"/>
        <v>#REF!</v>
      </c>
      <c r="S22" s="572" t="e">
        <f t="shared" si="8"/>
        <v>#REF!</v>
      </c>
    </row>
    <row r="23" spans="1:20" s="573" customFormat="1" ht="30" customHeight="1">
      <c r="A23" s="571">
        <v>15</v>
      </c>
      <c r="B23" s="565" t="s">
        <v>53</v>
      </c>
      <c r="C23" s="566">
        <v>35</v>
      </c>
      <c r="D23" s="566">
        <v>35</v>
      </c>
      <c r="E23" s="566">
        <v>24.25</v>
      </c>
      <c r="F23" s="567" t="e">
        <f>E23+'DEC ANX III '!F23</f>
        <v>#REF!</v>
      </c>
      <c r="G23" s="566">
        <v>114.35000000000001</v>
      </c>
      <c r="H23" s="566">
        <v>410.2299999999999</v>
      </c>
      <c r="I23" s="566">
        <f t="shared" si="0"/>
        <v>524.57999999999993</v>
      </c>
      <c r="J23" s="566">
        <f t="shared" si="1"/>
        <v>548.82999999999993</v>
      </c>
      <c r="K23" s="566">
        <f t="shared" si="2"/>
        <v>15.680857142857141</v>
      </c>
      <c r="L23" s="569">
        <f t="shared" si="3"/>
        <v>97.31397849462364</v>
      </c>
      <c r="M23" s="569">
        <f t="shared" si="4"/>
        <v>97.189810547875055</v>
      </c>
      <c r="N23" s="569" t="e">
        <f>J23+'DEC ANX III '!N23</f>
        <v>#REF!</v>
      </c>
      <c r="O23" s="568" t="e">
        <f t="shared" si="5"/>
        <v>#REF!</v>
      </c>
      <c r="P23" s="569" t="e">
        <f t="shared" si="6"/>
        <v>#REF!</v>
      </c>
      <c r="Q23" s="569" t="e">
        <f t="shared" si="7"/>
        <v>#REF!</v>
      </c>
      <c r="R23" s="572" t="e">
        <f t="shared" si="8"/>
        <v>#REF!</v>
      </c>
      <c r="S23" s="572" t="e">
        <f t="shared" si="8"/>
        <v>#REF!</v>
      </c>
    </row>
    <row r="24" spans="1:20" s="573" customFormat="1" ht="25.5" customHeight="1">
      <c r="A24" s="571">
        <v>16</v>
      </c>
      <c r="B24" s="565" t="s">
        <v>54</v>
      </c>
      <c r="C24" s="566">
        <f>7+33</f>
        <v>40</v>
      </c>
      <c r="D24" s="566">
        <v>40</v>
      </c>
      <c r="E24" s="566">
        <v>132.65</v>
      </c>
      <c r="F24" s="567" t="e">
        <f>E24+'DEC ANX III '!F24</f>
        <v>#REF!</v>
      </c>
      <c r="G24" s="566">
        <v>117.4</v>
      </c>
      <c r="H24" s="566">
        <v>109.3</v>
      </c>
      <c r="I24" s="566">
        <f t="shared" si="0"/>
        <v>226.7</v>
      </c>
      <c r="J24" s="566">
        <f t="shared" si="1"/>
        <v>359.35</v>
      </c>
      <c r="K24" s="566">
        <f t="shared" si="2"/>
        <v>8.9837500000000006</v>
      </c>
      <c r="L24" s="569">
        <f t="shared" si="3"/>
        <v>98.984318996415766</v>
      </c>
      <c r="M24" s="569">
        <f t="shared" si="4"/>
        <v>98.390008960573482</v>
      </c>
      <c r="N24" s="569" t="e">
        <f>J24+'DEC ANX III '!N24</f>
        <v>#REF!</v>
      </c>
      <c r="O24" s="568" t="e">
        <f t="shared" si="5"/>
        <v>#REF!</v>
      </c>
      <c r="P24" s="569" t="e">
        <f t="shared" si="6"/>
        <v>#REF!</v>
      </c>
      <c r="Q24" s="569" t="e">
        <f t="shared" si="7"/>
        <v>#REF!</v>
      </c>
      <c r="R24" s="572" t="e">
        <f t="shared" si="8"/>
        <v>#REF!</v>
      </c>
      <c r="S24" s="572" t="e">
        <f t="shared" si="8"/>
        <v>#REF!</v>
      </c>
    </row>
    <row r="25" spans="1:20" s="429" customFormat="1" ht="25.5" customHeight="1">
      <c r="A25" s="228">
        <v>13</v>
      </c>
      <c r="B25" s="505" t="s">
        <v>52</v>
      </c>
      <c r="C25" s="533">
        <f>C22+C23+C24</f>
        <v>89</v>
      </c>
      <c r="D25" s="533">
        <f>D22+D23+D24</f>
        <v>89</v>
      </c>
      <c r="E25" s="533">
        <f>E22+E23+E24</f>
        <v>168.9</v>
      </c>
      <c r="F25" s="531" t="e">
        <f>E25+'DEC ANX III '!F25</f>
        <v>#REF!</v>
      </c>
      <c r="G25" s="533">
        <f>SUM(G22:G24)</f>
        <v>327.60000000000002</v>
      </c>
      <c r="H25" s="533">
        <f>SUM(H22:H24)</f>
        <v>660.6099999999999</v>
      </c>
      <c r="I25" s="531">
        <f>G25+H25</f>
        <v>988.20999999999992</v>
      </c>
      <c r="J25" s="531">
        <f t="shared" si="1"/>
        <v>1157.1099999999999</v>
      </c>
      <c r="K25" s="531">
        <f>J25/C25</f>
        <v>13.001235955056179</v>
      </c>
      <c r="L25" s="530">
        <f t="shared" si="3"/>
        <v>98.010128468446695</v>
      </c>
      <c r="M25" s="530">
        <f t="shared" si="4"/>
        <v>97.670029398735451</v>
      </c>
      <c r="N25" s="530" t="e">
        <f>J25+'DEC ANX III '!N25</f>
        <v>#REF!</v>
      </c>
      <c r="O25" s="531" t="e">
        <f t="shared" si="5"/>
        <v>#REF!</v>
      </c>
      <c r="P25" s="530" t="e">
        <f t="shared" si="6"/>
        <v>#REF!</v>
      </c>
      <c r="Q25" s="530" t="e">
        <f t="shared" si="7"/>
        <v>#REF!</v>
      </c>
      <c r="R25" s="428"/>
      <c r="S25" s="428"/>
    </row>
    <row r="26" spans="1:20" s="429" customFormat="1" ht="25.5" customHeight="1">
      <c r="A26" s="228">
        <v>14</v>
      </c>
      <c r="B26" s="505" t="s">
        <v>94</v>
      </c>
      <c r="C26" s="533">
        <v>19</v>
      </c>
      <c r="D26" s="533">
        <v>19</v>
      </c>
      <c r="E26" s="530">
        <v>0.41</v>
      </c>
      <c r="F26" s="531" t="e">
        <f>E26+'DEC ANX III '!F26</f>
        <v>#REF!</v>
      </c>
      <c r="G26" s="530">
        <v>5.709027777777778</v>
      </c>
      <c r="H26" s="530">
        <v>2.4972222222222227</v>
      </c>
      <c r="I26" s="531">
        <f t="shared" si="0"/>
        <v>8.2062500000000007</v>
      </c>
      <c r="J26" s="531">
        <f t="shared" si="1"/>
        <v>8.6162500000000009</v>
      </c>
      <c r="K26" s="531">
        <f t="shared" si="2"/>
        <v>0.45348684210526319</v>
      </c>
      <c r="L26" s="530">
        <f t="shared" si="3"/>
        <v>99.922597151480858</v>
      </c>
      <c r="M26" s="530">
        <f t="shared" si="4"/>
        <v>99.918729956611955</v>
      </c>
      <c r="N26" s="530" t="e">
        <f>J26+'DEC ANX III '!N26</f>
        <v>#REF!</v>
      </c>
      <c r="O26" s="532" t="e">
        <f t="shared" si="5"/>
        <v>#REF!</v>
      </c>
      <c r="P26" s="530" t="e">
        <f t="shared" si="6"/>
        <v>#REF!</v>
      </c>
      <c r="Q26" s="530" t="e">
        <f t="shared" si="7"/>
        <v>#REF!</v>
      </c>
      <c r="R26" s="428" t="e">
        <f>L26-P26</f>
        <v>#REF!</v>
      </c>
      <c r="S26" s="428" t="e">
        <f>M26-Q26</f>
        <v>#REF!</v>
      </c>
    </row>
    <row r="27" spans="1:20" s="573" customFormat="1" ht="25.5" customHeight="1">
      <c r="A27" s="571">
        <v>18</v>
      </c>
      <c r="B27" s="565" t="s">
        <v>32</v>
      </c>
      <c r="C27" s="566">
        <v>34</v>
      </c>
      <c r="D27" s="566">
        <v>34</v>
      </c>
      <c r="E27" s="566">
        <v>16.169999999999998</v>
      </c>
      <c r="F27" s="567" t="e">
        <f>E27+'DEC ANX III '!F27</f>
        <v>#REF!</v>
      </c>
      <c r="G27" s="568">
        <v>61.345805555555557</v>
      </c>
      <c r="H27" s="568">
        <v>74.621111111111105</v>
      </c>
      <c r="I27" s="566">
        <f t="shared" si="0"/>
        <v>135.96691666666666</v>
      </c>
      <c r="J27" s="566">
        <f t="shared" si="1"/>
        <v>152.13691666666665</v>
      </c>
      <c r="K27" s="566">
        <f t="shared" si="2"/>
        <v>4.4746151960784308</v>
      </c>
      <c r="L27" s="569">
        <f t="shared" si="3"/>
        <v>99.283328501651539</v>
      </c>
      <c r="M27" s="569">
        <f t="shared" si="4"/>
        <v>99.198097635111395</v>
      </c>
      <c r="N27" s="569" t="e">
        <f>J27+'DEC ANX III '!N27</f>
        <v>#REF!</v>
      </c>
      <c r="O27" s="568" t="e">
        <f t="shared" si="5"/>
        <v>#REF!</v>
      </c>
      <c r="P27" s="569" t="e">
        <f t="shared" si="6"/>
        <v>#REF!</v>
      </c>
      <c r="Q27" s="569" t="e">
        <f t="shared" si="7"/>
        <v>#REF!</v>
      </c>
      <c r="R27" s="572" t="e">
        <f t="shared" si="8"/>
        <v>#REF!</v>
      </c>
      <c r="S27" s="572" t="e">
        <f t="shared" si="8"/>
        <v>#REF!</v>
      </c>
    </row>
    <row r="28" spans="1:20" s="573" customFormat="1" ht="25.5" customHeight="1">
      <c r="A28" s="571">
        <v>19</v>
      </c>
      <c r="B28" s="565" t="s">
        <v>55</v>
      </c>
      <c r="C28" s="566">
        <v>47</v>
      </c>
      <c r="D28" s="566">
        <v>47</v>
      </c>
      <c r="E28" s="566">
        <v>94.71</v>
      </c>
      <c r="F28" s="567" t="e">
        <f>E28+'DEC ANX III '!F28</f>
        <v>#REF!</v>
      </c>
      <c r="G28" s="568">
        <v>55.020416666666655</v>
      </c>
      <c r="H28" s="568">
        <v>97.703333333333347</v>
      </c>
      <c r="I28" s="566">
        <v>142.23638888888888</v>
      </c>
      <c r="J28" s="566">
        <f t="shared" si="1"/>
        <v>236.94638888888886</v>
      </c>
      <c r="K28" s="566">
        <f t="shared" si="2"/>
        <v>5.0414125295508265</v>
      </c>
      <c r="L28" s="569">
        <f t="shared" si="3"/>
        <v>99.457651228212882</v>
      </c>
      <c r="M28" s="569">
        <f t="shared" si="4"/>
        <v>99.096521052051813</v>
      </c>
      <c r="N28" s="569" t="e">
        <f>J28+'DEC ANX III '!N28</f>
        <v>#REF!</v>
      </c>
      <c r="O28" s="568" t="e">
        <f t="shared" si="5"/>
        <v>#REF!</v>
      </c>
      <c r="P28" s="569" t="e">
        <f t="shared" si="6"/>
        <v>#REF!</v>
      </c>
      <c r="Q28" s="569" t="e">
        <f t="shared" si="7"/>
        <v>#REF!</v>
      </c>
      <c r="R28" s="572" t="e">
        <f t="shared" si="8"/>
        <v>#REF!</v>
      </c>
      <c r="S28" s="572" t="e">
        <f t="shared" si="8"/>
        <v>#REF!</v>
      </c>
    </row>
    <row r="29" spans="1:20" s="429" customFormat="1" ht="25.5" customHeight="1">
      <c r="A29" s="228">
        <v>15</v>
      </c>
      <c r="B29" s="505" t="s">
        <v>32</v>
      </c>
      <c r="C29" s="533">
        <f>C27+C28</f>
        <v>81</v>
      </c>
      <c r="D29" s="533">
        <f>D27+D28</f>
        <v>81</v>
      </c>
      <c r="E29" s="533">
        <f>E27+E28</f>
        <v>110.88</v>
      </c>
      <c r="F29" s="531" t="e">
        <f>E29+'DEC ANX III '!F29</f>
        <v>#REF!</v>
      </c>
      <c r="G29" s="530">
        <f>SUM(G27:G28)</f>
        <v>116.36622222222221</v>
      </c>
      <c r="H29" s="530">
        <f>SUM(H27:H28)</f>
        <v>172.32444444444445</v>
      </c>
      <c r="I29" s="531">
        <f t="shared" si="0"/>
        <v>288.69066666666663</v>
      </c>
      <c r="J29" s="531">
        <f t="shared" si="1"/>
        <v>399.57066666666663</v>
      </c>
      <c r="K29" s="531">
        <f t="shared" si="2"/>
        <v>4.9329711934156375</v>
      </c>
      <c r="L29" s="530">
        <f t="shared" si="3"/>
        <v>99.361275572665448</v>
      </c>
      <c r="M29" s="530">
        <f t="shared" si="4"/>
        <v>99.115954983258845</v>
      </c>
      <c r="N29" s="530" t="e">
        <f>J29+'DEC ANX III '!N29</f>
        <v>#REF!</v>
      </c>
      <c r="O29" s="531" t="e">
        <f t="shared" si="5"/>
        <v>#REF!</v>
      </c>
      <c r="P29" s="530" t="e">
        <f t="shared" si="6"/>
        <v>#REF!</v>
      </c>
      <c r="Q29" s="530" t="e">
        <f t="shared" si="7"/>
        <v>#REF!</v>
      </c>
      <c r="R29" s="428"/>
      <c r="S29" s="428"/>
    </row>
    <row r="30" spans="1:20" s="429" customFormat="1" ht="25.5" customHeight="1">
      <c r="A30" s="228">
        <v>16</v>
      </c>
      <c r="B30" s="505" t="s">
        <v>56</v>
      </c>
      <c r="C30" s="533">
        <v>64</v>
      </c>
      <c r="D30" s="533">
        <v>64</v>
      </c>
      <c r="E30" s="530">
        <v>6.6809722222222225</v>
      </c>
      <c r="F30" s="531" t="e">
        <f>E30+'DEC ANX III '!F30</f>
        <v>#REF!</v>
      </c>
      <c r="G30" s="530">
        <v>35.088194444444447</v>
      </c>
      <c r="H30" s="530">
        <v>12.065972222222229</v>
      </c>
      <c r="I30" s="531">
        <f t="shared" si="0"/>
        <v>47.154166666666676</v>
      </c>
      <c r="J30" s="531">
        <f t="shared" si="1"/>
        <v>53.835138888888899</v>
      </c>
      <c r="K30" s="531">
        <f t="shared" si="2"/>
        <v>0.84117404513888905</v>
      </c>
      <c r="L30" s="530">
        <f t="shared" si="3"/>
        <v>99.867959882765831</v>
      </c>
      <c r="M30" s="530">
        <f t="shared" si="4"/>
        <v>99.849251963236753</v>
      </c>
      <c r="N30" s="530" t="e">
        <f>J30+'DEC ANX III '!N30</f>
        <v>#REF!</v>
      </c>
      <c r="O30" s="531" t="e">
        <f t="shared" si="5"/>
        <v>#REF!</v>
      </c>
      <c r="P30" s="530" t="e">
        <f t="shared" si="6"/>
        <v>#REF!</v>
      </c>
      <c r="Q30" s="530" t="e">
        <f t="shared" si="7"/>
        <v>#REF!</v>
      </c>
      <c r="R30" s="428" t="e">
        <f t="shared" si="8"/>
        <v>#REF!</v>
      </c>
      <c r="S30" s="428" t="e">
        <f t="shared" si="8"/>
        <v>#REF!</v>
      </c>
    </row>
    <row r="31" spans="1:20" s="429" customFormat="1" ht="74.25" customHeight="1">
      <c r="A31" s="426"/>
      <c r="B31" s="949" t="s">
        <v>147</v>
      </c>
      <c r="C31" s="949"/>
      <c r="D31" s="949"/>
      <c r="E31" s="949"/>
      <c r="F31" s="949"/>
      <c r="G31" s="949"/>
      <c r="H31" s="949"/>
      <c r="I31" s="949"/>
      <c r="J31" s="949"/>
      <c r="K31" s="949"/>
      <c r="L31" s="949"/>
      <c r="M31" s="949"/>
      <c r="N31" s="949"/>
      <c r="O31" s="949"/>
      <c r="P31" s="949"/>
      <c r="Q31" s="950"/>
      <c r="R31" s="428"/>
      <c r="S31" s="428"/>
    </row>
    <row r="32" spans="1:20" s="429" customFormat="1" ht="21.75" customHeight="1" thickBot="1">
      <c r="A32" s="426"/>
      <c r="B32" s="430" t="s">
        <v>66</v>
      </c>
      <c r="C32" s="430"/>
      <c r="D32" s="430"/>
      <c r="E32" s="430"/>
      <c r="F32" s="430"/>
      <c r="G32" s="433"/>
      <c r="H32" s="433"/>
      <c r="I32" s="430"/>
      <c r="J32" s="430"/>
      <c r="K32" s="430"/>
      <c r="L32" s="431"/>
      <c r="M32" s="431"/>
      <c r="N32" s="431"/>
      <c r="O32" s="427"/>
      <c r="P32" s="431"/>
      <c r="Q32" s="432"/>
      <c r="R32" s="428"/>
      <c r="S32" s="428"/>
    </row>
    <row r="33" spans="1:18" ht="45.75" customHeight="1">
      <c r="A33" s="933" t="s">
        <v>33</v>
      </c>
      <c r="B33" s="934"/>
      <c r="C33" s="934"/>
      <c r="D33" s="934"/>
      <c r="E33" s="934"/>
      <c r="F33" s="934"/>
      <c r="G33" s="934"/>
      <c r="H33" s="934"/>
      <c r="I33" s="934"/>
      <c r="J33" s="934"/>
      <c r="K33" s="934"/>
      <c r="L33" s="934"/>
      <c r="M33" s="934"/>
      <c r="N33" s="934"/>
      <c r="O33" s="934"/>
      <c r="P33" s="934"/>
      <c r="Q33" s="935"/>
      <c r="R33" s="506">
        <f t="shared" si="8"/>
        <v>0</v>
      </c>
    </row>
    <row r="34" spans="1:18" ht="33" customHeight="1" thickBot="1">
      <c r="A34" s="936"/>
      <c r="B34" s="937"/>
      <c r="C34" s="937"/>
      <c r="D34" s="937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8"/>
      <c r="R34" s="506">
        <f t="shared" si="8"/>
        <v>0</v>
      </c>
    </row>
    <row r="35" spans="1:18" ht="28.5" customHeight="1">
      <c r="A35" s="940" t="s">
        <v>34</v>
      </c>
      <c r="B35" s="941"/>
      <c r="C35" s="941"/>
      <c r="D35" s="941"/>
      <c r="E35" s="941"/>
      <c r="F35" s="941"/>
      <c r="G35" s="941"/>
      <c r="H35" s="941"/>
      <c r="I35" s="941"/>
      <c r="J35" s="941"/>
      <c r="K35" s="941"/>
      <c r="L35" s="941"/>
      <c r="M35" s="941"/>
      <c r="N35" s="941"/>
      <c r="O35" s="941"/>
      <c r="P35" s="941"/>
      <c r="Q35" s="942"/>
      <c r="R35" s="506">
        <f t="shared" si="8"/>
        <v>0</v>
      </c>
    </row>
    <row r="36" spans="1:18" ht="17.25" customHeight="1">
      <c r="A36" s="943"/>
      <c r="B36" s="944"/>
      <c r="C36" s="944"/>
      <c r="D36" s="944"/>
      <c r="E36" s="944"/>
      <c r="F36" s="944"/>
      <c r="G36" s="944"/>
      <c r="H36" s="944"/>
      <c r="I36" s="944"/>
      <c r="J36" s="944"/>
      <c r="K36" s="944"/>
      <c r="L36" s="944"/>
      <c r="M36" s="944"/>
      <c r="N36" s="944"/>
      <c r="O36" s="944"/>
      <c r="P36" s="944"/>
      <c r="Q36" s="945"/>
      <c r="R36" s="506">
        <f t="shared" si="8"/>
        <v>0</v>
      </c>
    </row>
    <row r="37" spans="1:18" ht="13.5" customHeight="1" thickBot="1">
      <c r="A37" s="946"/>
      <c r="B37" s="947"/>
      <c r="C37" s="947"/>
      <c r="D37" s="947"/>
      <c r="E37" s="947"/>
      <c r="F37" s="947"/>
      <c r="G37" s="947"/>
      <c r="H37" s="947"/>
      <c r="I37" s="947"/>
      <c r="J37" s="947"/>
      <c r="K37" s="947"/>
      <c r="L37" s="947"/>
      <c r="M37" s="947"/>
      <c r="N37" s="947"/>
      <c r="O37" s="947"/>
      <c r="P37" s="947"/>
      <c r="Q37" s="948"/>
      <c r="R37" s="506">
        <f t="shared" si="8"/>
        <v>0</v>
      </c>
    </row>
    <row r="38" spans="1:18" ht="30.75" customHeight="1">
      <c r="A38" s="933" t="s">
        <v>35</v>
      </c>
      <c r="B38" s="934"/>
      <c r="C38" s="934"/>
      <c r="D38" s="934"/>
      <c r="E38" s="934"/>
      <c r="F38" s="934"/>
      <c r="G38" s="934"/>
      <c r="H38" s="934"/>
      <c r="I38" s="934"/>
      <c r="J38" s="934"/>
      <c r="K38" s="934"/>
      <c r="L38" s="934"/>
      <c r="M38" s="934"/>
      <c r="N38" s="934"/>
      <c r="O38" s="934"/>
      <c r="P38" s="934"/>
      <c r="Q38" s="935"/>
      <c r="R38" s="506">
        <f t="shared" si="8"/>
        <v>0</v>
      </c>
    </row>
    <row r="39" spans="1:18" ht="20.25" customHeight="1" thickBot="1">
      <c r="A39" s="936"/>
      <c r="B39" s="937"/>
      <c r="C39" s="937"/>
      <c r="D39" s="937"/>
      <c r="E39" s="937"/>
      <c r="F39" s="937"/>
      <c r="G39" s="937"/>
      <c r="H39" s="937"/>
      <c r="I39" s="937"/>
      <c r="J39" s="937"/>
      <c r="K39" s="937"/>
      <c r="L39" s="937"/>
      <c r="M39" s="937"/>
      <c r="N39" s="937"/>
      <c r="O39" s="937"/>
      <c r="P39" s="937"/>
      <c r="Q39" s="938"/>
      <c r="R39" s="506">
        <f t="shared" si="8"/>
        <v>0</v>
      </c>
    </row>
    <row r="40" spans="1:18" ht="18.75" customHeight="1">
      <c r="A40" s="933" t="s">
        <v>36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4"/>
      <c r="N40" s="934"/>
      <c r="O40" s="934"/>
      <c r="P40" s="934"/>
      <c r="Q40" s="935"/>
      <c r="R40" s="506">
        <f t="shared" si="8"/>
        <v>0</v>
      </c>
    </row>
    <row r="41" spans="1:18" ht="29.25" customHeight="1" thickBot="1">
      <c r="A41" s="936"/>
      <c r="B41" s="937"/>
      <c r="C41" s="937"/>
      <c r="D41" s="937"/>
      <c r="E41" s="937"/>
      <c r="F41" s="937"/>
      <c r="G41" s="937"/>
      <c r="H41" s="937"/>
      <c r="I41" s="937"/>
      <c r="J41" s="937"/>
      <c r="K41" s="937"/>
      <c r="L41" s="937"/>
      <c r="M41" s="937"/>
      <c r="N41" s="937"/>
      <c r="O41" s="937"/>
      <c r="P41" s="937"/>
      <c r="Q41" s="938"/>
      <c r="R41" s="506">
        <f t="shared" si="8"/>
        <v>0</v>
      </c>
    </row>
    <row r="42" spans="1:18">
      <c r="R42" s="506">
        <f t="shared" si="8"/>
        <v>0</v>
      </c>
    </row>
    <row r="43" spans="1:18">
      <c r="R43" s="506">
        <f t="shared" si="8"/>
        <v>0</v>
      </c>
    </row>
    <row r="44" spans="1:18">
      <c r="D44" s="501">
        <v>123.89999999999999</v>
      </c>
      <c r="F44" s="501">
        <v>41.65902777777778</v>
      </c>
      <c r="G44" s="507">
        <v>85.796527777777783</v>
      </c>
      <c r="R44" s="506">
        <f t="shared" si="8"/>
        <v>0</v>
      </c>
    </row>
    <row r="45" spans="1:18" ht="15" customHeight="1">
      <c r="D45" s="501">
        <v>8.75</v>
      </c>
      <c r="F45" s="501">
        <v>75.739999999999995</v>
      </c>
      <c r="G45" s="507">
        <v>23.58</v>
      </c>
      <c r="I45" s="501">
        <v>114.35000000000001</v>
      </c>
      <c r="J45" s="501">
        <v>410.2299999999999</v>
      </c>
      <c r="P45" s="506"/>
      <c r="Q45" s="506"/>
      <c r="R45" s="506">
        <f t="shared" si="8"/>
        <v>0</v>
      </c>
    </row>
    <row r="46" spans="1:18" ht="15" customHeight="1">
      <c r="P46" s="506">
        <f>98.57</f>
        <v>98.57</v>
      </c>
      <c r="Q46" s="506">
        <f>97.92</f>
        <v>97.92</v>
      </c>
      <c r="R46" s="506">
        <f t="shared" si="8"/>
        <v>-98.57</v>
      </c>
    </row>
    <row r="47" spans="1:18" ht="15" customHeight="1">
      <c r="H47" s="507">
        <v>3.42</v>
      </c>
      <c r="R47" s="506">
        <f t="shared" si="8"/>
        <v>0</v>
      </c>
    </row>
    <row r="48" spans="1:18" ht="15" customHeight="1">
      <c r="C48" s="508"/>
      <c r="H48" s="507">
        <v>0.47</v>
      </c>
      <c r="R48" s="506">
        <f t="shared" si="8"/>
        <v>0</v>
      </c>
    </row>
    <row r="49" spans="3:18" ht="15" customHeight="1">
      <c r="C49" s="508"/>
      <c r="R49" s="506">
        <f t="shared" si="8"/>
        <v>0</v>
      </c>
    </row>
    <row r="50" spans="3:18" ht="15" customHeight="1">
      <c r="K50" s="501">
        <f>85+86+94</f>
        <v>265</v>
      </c>
      <c r="R50" s="506">
        <f t="shared" si="8"/>
        <v>0</v>
      </c>
    </row>
    <row r="51" spans="3:18" ht="15" customHeight="1">
      <c r="K51" s="501">
        <f>K50/3</f>
        <v>88.333333333333329</v>
      </c>
      <c r="R51" s="506">
        <f t="shared" si="8"/>
        <v>0</v>
      </c>
    </row>
    <row r="52" spans="3:18" ht="15" customHeight="1">
      <c r="R52" s="506">
        <f t="shared" si="8"/>
        <v>0</v>
      </c>
    </row>
    <row r="53" spans="3:18" ht="11.25" customHeight="1">
      <c r="R53" s="506">
        <f t="shared" si="8"/>
        <v>0</v>
      </c>
    </row>
    <row r="54" spans="3:18" ht="11.25" customHeight="1">
      <c r="R54" s="506">
        <f t="shared" si="8"/>
        <v>0</v>
      </c>
    </row>
    <row r="55" spans="3:18" ht="11.25" customHeight="1">
      <c r="R55" s="506">
        <f t="shared" si="8"/>
        <v>0</v>
      </c>
    </row>
    <row r="56" spans="3:18" ht="11.25" customHeight="1">
      <c r="R56" s="506">
        <f t="shared" si="8"/>
        <v>0</v>
      </c>
    </row>
    <row r="57" spans="3:18" ht="11.25" customHeight="1"/>
    <row r="58" spans="3:18" ht="11.25" customHeight="1">
      <c r="C58" s="508" t="e">
        <f>C8:C30</f>
        <v>#VALUE!</v>
      </c>
      <c r="L58" s="506">
        <f>L8+L9+L10+L11+L12+L13+L14+L15+L16+L17+L18+L26+L19+L20+L22+L23+L24+L27+L28+L30</f>
        <v>1947.6888040757281</v>
      </c>
      <c r="M58" s="506">
        <f>M8+M9+M10+M11+M12+M13+M14+M15+M16+M17+M18+M26+M19+M20+M22+M23+M24+M27+M28+M30</f>
        <v>1943.3986562628681</v>
      </c>
    </row>
    <row r="59" spans="3:18" ht="11.25" customHeight="1">
      <c r="C59" s="508">
        <f>C8+C9+C10+C11+C12+C13+C14+C15+C16+C17+C18+C19+C20+C22+C23+C24+C26+C27+C28+C30</f>
        <v>2548</v>
      </c>
      <c r="L59" s="501">
        <f>L58/20</f>
        <v>97.384440203786397</v>
      </c>
      <c r="M59" s="501">
        <f>M58/20</f>
        <v>97.169932813143404</v>
      </c>
    </row>
    <row r="60" spans="3:18">
      <c r="F60" s="501">
        <f>1013.5+118.24</f>
        <v>1131.74</v>
      </c>
      <c r="P60" s="506" t="e">
        <f>P8+P9+P10+P11+P12+P13+P14+P15+P16+P17+P18+P26+P19+P20+P22+P23+P24+P27+P28+P30</f>
        <v>#REF!</v>
      </c>
      <c r="Q60" s="506" t="e">
        <f>Q8+Q9+Q10+Q11+Q12+Q13+Q14+Q15+Q16+Q17+Q18+Q26+Q19+Q20+Q22+Q23+Q24+Q27+Q28+Q30</f>
        <v>#REF!</v>
      </c>
    </row>
    <row r="61" spans="3:18">
      <c r="C61" s="508">
        <f>C30+C29+C26+C25+C21+C18+C17+C16+C15+C14+C13+C12+C11+C10+C9+C8</f>
        <v>2548</v>
      </c>
    </row>
    <row r="62" spans="3:18">
      <c r="C62" s="501">
        <v>1420</v>
      </c>
      <c r="K62" s="506">
        <f>3258+J21</f>
        <v>4836.58</v>
      </c>
      <c r="P62" s="501" t="e">
        <f>P60/20</f>
        <v>#REF!</v>
      </c>
      <c r="Q62" s="501" t="e">
        <f>Q60/20</f>
        <v>#REF!</v>
      </c>
    </row>
    <row r="63" spans="3:18">
      <c r="C63" s="501">
        <v>529</v>
      </c>
    </row>
    <row r="64" spans="3:18">
      <c r="C64" s="508">
        <f>SUM(C61:C63)</f>
        <v>4497</v>
      </c>
    </row>
    <row r="65" spans="7:7">
      <c r="G65" s="507">
        <f>71.34+67.53</f>
        <v>138.87</v>
      </c>
    </row>
  </sheetData>
  <mergeCells count="18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A38:Q39"/>
    <mergeCell ref="A40:Q41"/>
    <mergeCell ref="G5:I5"/>
    <mergeCell ref="J5:M5"/>
    <mergeCell ref="N5:Q5"/>
    <mergeCell ref="B31:Q31"/>
    <mergeCell ref="A33:Q34"/>
    <mergeCell ref="A35:Q37"/>
  </mergeCells>
  <printOptions horizontalCentered="1"/>
  <pageMargins left="0" right="0" top="0.5" bottom="0" header="0.19" footer="0.5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view="pageBreakPreview" zoomScale="60" workbookViewId="0">
      <selection activeCell="I34" activeCellId="1" sqref="I34 L36"/>
    </sheetView>
  </sheetViews>
  <sheetFormatPr defaultRowHeight="15"/>
  <cols>
    <col min="1" max="1" width="3.85546875" style="84" customWidth="1"/>
    <col min="2" max="2" width="19.140625" style="84" customWidth="1"/>
    <col min="3" max="3" width="9.5703125" style="84" customWidth="1"/>
    <col min="4" max="4" width="9.42578125" style="84" customWidth="1"/>
    <col min="5" max="5" width="12.42578125" style="84" customWidth="1"/>
    <col min="6" max="6" width="13.85546875" style="84" customWidth="1"/>
    <col min="7" max="7" width="17.42578125" style="84" customWidth="1"/>
    <col min="8" max="8" width="13" style="84" customWidth="1"/>
    <col min="9" max="9" width="14.28515625" style="138" customWidth="1"/>
    <col min="10" max="10" width="14.42578125" style="138" customWidth="1"/>
    <col min="11" max="11" width="12.140625" style="138" customWidth="1"/>
    <col min="12" max="12" width="9.5703125" style="138" customWidth="1"/>
    <col min="13" max="13" width="13.42578125" style="138" customWidth="1"/>
    <col min="14" max="14" width="14.5703125" style="138" customWidth="1"/>
    <col min="15" max="15" width="16.42578125" style="138" customWidth="1"/>
    <col min="16" max="16" width="15.7109375" style="138" customWidth="1"/>
    <col min="17" max="17" width="15.140625" style="138" customWidth="1"/>
    <col min="18" max="18" width="13.140625" style="84" hidden="1" customWidth="1"/>
    <col min="19" max="21" width="9.140625" style="84"/>
    <col min="22" max="22" width="12.28515625" style="84" customWidth="1"/>
    <col min="23" max="16384" width="9.140625" style="84"/>
  </cols>
  <sheetData>
    <row r="1" spans="1:25" s="80" customFormat="1" ht="36" customHeight="1">
      <c r="A1" s="824" t="s">
        <v>0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  <c r="L1" s="824"/>
      <c r="M1" s="824"/>
      <c r="N1" s="824"/>
      <c r="O1" s="824"/>
      <c r="P1" s="824"/>
      <c r="Q1" s="824"/>
      <c r="V1" s="81">
        <v>41730</v>
      </c>
      <c r="W1" s="82">
        <v>30</v>
      </c>
      <c r="X1" s="82">
        <f t="shared" ref="X1:X11" si="0">SUM(W1)</f>
        <v>30</v>
      </c>
      <c r="Y1" s="83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85">
        <v>41760</v>
      </c>
      <c r="W2" s="86">
        <v>31</v>
      </c>
      <c r="X2" s="86">
        <f t="shared" si="0"/>
        <v>31</v>
      </c>
      <c r="Y2" s="87"/>
    </row>
    <row r="3" spans="1:25" ht="18" customHeight="1">
      <c r="A3" s="826" t="s">
        <v>89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85">
        <v>41791</v>
      </c>
      <c r="W3" s="86">
        <v>30</v>
      </c>
      <c r="X3" s="86">
        <f t="shared" si="0"/>
        <v>30</v>
      </c>
      <c r="Y3" s="87"/>
    </row>
    <row r="4" spans="1:25" ht="15" customHeight="1">
      <c r="A4" s="76"/>
      <c r="B4" s="76"/>
      <c r="C4" s="77"/>
      <c r="D4" s="77"/>
      <c r="E4" s="77"/>
      <c r="F4" s="77"/>
      <c r="G4" s="77"/>
      <c r="H4" s="77"/>
      <c r="I4" s="130"/>
      <c r="J4" s="130"/>
      <c r="K4" s="130"/>
      <c r="L4" s="130"/>
      <c r="M4" s="130"/>
      <c r="N4" s="130"/>
      <c r="O4" s="130"/>
      <c r="P4" s="130"/>
      <c r="Q4" s="130"/>
      <c r="V4" s="85">
        <v>41821</v>
      </c>
      <c r="W4" s="86">
        <v>31</v>
      </c>
      <c r="X4" s="86">
        <f t="shared" si="0"/>
        <v>31</v>
      </c>
      <c r="Y4" s="87"/>
    </row>
    <row r="5" spans="1:25" s="88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33" t="s">
        <v>90</v>
      </c>
      <c r="K5" s="833"/>
      <c r="L5" s="833"/>
      <c r="M5" s="833"/>
      <c r="N5" s="833" t="s">
        <v>84</v>
      </c>
      <c r="O5" s="833"/>
      <c r="P5" s="833"/>
      <c r="Q5" s="833"/>
      <c r="V5" s="81">
        <v>41852</v>
      </c>
      <c r="W5" s="82">
        <v>31</v>
      </c>
      <c r="X5" s="82">
        <f t="shared" si="0"/>
        <v>31</v>
      </c>
      <c r="Y5" s="89"/>
    </row>
    <row r="6" spans="1:25" s="90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128" t="s">
        <v>11</v>
      </c>
      <c r="J6" s="128" t="s">
        <v>12</v>
      </c>
      <c r="K6" s="128" t="s">
        <v>13</v>
      </c>
      <c r="L6" s="128" t="s">
        <v>86</v>
      </c>
      <c r="M6" s="128" t="s">
        <v>14</v>
      </c>
      <c r="N6" s="128" t="s">
        <v>15</v>
      </c>
      <c r="O6" s="128" t="s">
        <v>16</v>
      </c>
      <c r="P6" s="128" t="s">
        <v>17</v>
      </c>
      <c r="Q6" s="128" t="s">
        <v>18</v>
      </c>
      <c r="V6" s="81">
        <v>41883</v>
      </c>
      <c r="W6" s="82">
        <v>30</v>
      </c>
      <c r="X6" s="82">
        <f t="shared" si="0"/>
        <v>30</v>
      </c>
      <c r="Y6" s="83"/>
    </row>
    <row r="7" spans="1:25" s="93" customFormat="1" ht="24" customHeight="1">
      <c r="A7" s="91">
        <v>1</v>
      </c>
      <c r="B7" s="91">
        <v>2</v>
      </c>
      <c r="C7" s="91">
        <v>3</v>
      </c>
      <c r="D7" s="91">
        <v>4</v>
      </c>
      <c r="E7" s="91">
        <v>5</v>
      </c>
      <c r="F7" s="91" t="s">
        <v>19</v>
      </c>
      <c r="G7" s="91">
        <v>6</v>
      </c>
      <c r="H7" s="91">
        <v>7</v>
      </c>
      <c r="I7" s="131" t="s">
        <v>20</v>
      </c>
      <c r="J7" s="131" t="s">
        <v>21</v>
      </c>
      <c r="K7" s="132" t="s">
        <v>22</v>
      </c>
      <c r="L7" s="131" t="s">
        <v>23</v>
      </c>
      <c r="M7" s="131" t="s">
        <v>24</v>
      </c>
      <c r="N7" s="131">
        <v>13</v>
      </c>
      <c r="O7" s="131" t="s">
        <v>64</v>
      </c>
      <c r="P7" s="131">
        <v>15</v>
      </c>
      <c r="Q7" s="131">
        <v>16</v>
      </c>
      <c r="V7" s="85">
        <v>41913</v>
      </c>
      <c r="W7" s="86">
        <v>31</v>
      </c>
      <c r="X7" s="86">
        <f t="shared" si="0"/>
        <v>31</v>
      </c>
      <c r="Y7" s="94"/>
    </row>
    <row r="8" spans="1:25" s="98" customFormat="1" ht="42" customHeight="1">
      <c r="A8" s="78">
        <v>1</v>
      </c>
      <c r="B8" s="73" t="s">
        <v>26</v>
      </c>
      <c r="C8" s="61">
        <v>33</v>
      </c>
      <c r="D8" s="61">
        <v>31</v>
      </c>
      <c r="E8" s="62">
        <v>0</v>
      </c>
      <c r="F8" s="62">
        <v>1.05</v>
      </c>
      <c r="G8" s="62">
        <v>577.01</v>
      </c>
      <c r="H8" s="62">
        <v>406.46</v>
      </c>
      <c r="I8" s="133">
        <v>983.47</v>
      </c>
      <c r="J8" s="133">
        <v>983.47</v>
      </c>
      <c r="K8" s="133">
        <v>29.802121212121214</v>
      </c>
      <c r="L8" s="129">
        <v>95.994338546757902</v>
      </c>
      <c r="M8" s="129">
        <v>95.994338546757902</v>
      </c>
      <c r="N8" s="133">
        <v>1211.7</v>
      </c>
      <c r="O8" s="129">
        <v>36.718181818181819</v>
      </c>
      <c r="P8" s="129">
        <v>97.491927471435673</v>
      </c>
      <c r="Q8" s="129">
        <v>97.491927471435673</v>
      </c>
      <c r="R8" s="95"/>
      <c r="S8" s="97">
        <f>L8-P8</f>
        <v>-1.4975889246777712</v>
      </c>
      <c r="T8" s="97">
        <f>M8-Q8</f>
        <v>-1.4975889246777712</v>
      </c>
      <c r="V8" s="99">
        <v>41944</v>
      </c>
      <c r="W8" s="100">
        <v>30</v>
      </c>
      <c r="X8" s="100">
        <f t="shared" si="0"/>
        <v>30</v>
      </c>
      <c r="Y8" s="101"/>
    </row>
    <row r="9" spans="1:25" s="98" customFormat="1" ht="42" customHeight="1">
      <c r="A9" s="78">
        <v>2</v>
      </c>
      <c r="B9" s="73" t="s">
        <v>27</v>
      </c>
      <c r="C9" s="65">
        <v>11</v>
      </c>
      <c r="D9" s="65">
        <v>11</v>
      </c>
      <c r="E9" s="62">
        <v>6.2</v>
      </c>
      <c r="F9" s="62">
        <v>7.7</v>
      </c>
      <c r="G9" s="62">
        <v>198.93</v>
      </c>
      <c r="H9" s="62">
        <v>154.91999999999999</v>
      </c>
      <c r="I9" s="133">
        <v>353.85</v>
      </c>
      <c r="J9" s="133">
        <v>360.05</v>
      </c>
      <c r="K9" s="133">
        <v>32.731818181818184</v>
      </c>
      <c r="L9" s="129">
        <v>95.676319648093838</v>
      </c>
      <c r="M9" s="129">
        <v>95.60056207233626</v>
      </c>
      <c r="N9" s="133">
        <v>723.15000000000009</v>
      </c>
      <c r="O9" s="129">
        <v>65.740909090909099</v>
      </c>
      <c r="P9" s="129">
        <v>95.548000496770982</v>
      </c>
      <c r="Q9" s="129">
        <v>95.509500745156487</v>
      </c>
      <c r="R9" s="95"/>
      <c r="S9" s="97">
        <f t="shared" ref="S9:T14" si="1">L9-P9</f>
        <v>0.12831915132285587</v>
      </c>
      <c r="T9" s="97">
        <f t="shared" si="1"/>
        <v>9.1061327179772888E-2</v>
      </c>
      <c r="V9" s="99">
        <v>41974</v>
      </c>
      <c r="W9" s="100">
        <v>31</v>
      </c>
      <c r="X9" s="100">
        <f t="shared" si="0"/>
        <v>31</v>
      </c>
      <c r="Y9" s="101"/>
    </row>
    <row r="10" spans="1:25" s="102" customFormat="1" ht="42" customHeight="1">
      <c r="A10" s="78">
        <v>3</v>
      </c>
      <c r="B10" s="73" t="s">
        <v>28</v>
      </c>
      <c r="C10" s="66">
        <v>30</v>
      </c>
      <c r="D10" s="66">
        <v>30</v>
      </c>
      <c r="E10" s="64">
        <v>18</v>
      </c>
      <c r="F10" s="62">
        <v>33</v>
      </c>
      <c r="G10" s="64">
        <v>328</v>
      </c>
      <c r="H10" s="64">
        <v>201</v>
      </c>
      <c r="I10" s="133">
        <v>529</v>
      </c>
      <c r="J10" s="133">
        <v>547</v>
      </c>
      <c r="K10" s="133">
        <v>18.233333333333334</v>
      </c>
      <c r="L10" s="129">
        <v>97.629928315412187</v>
      </c>
      <c r="M10" s="129">
        <v>97.549283154121866</v>
      </c>
      <c r="N10" s="133">
        <v>1119</v>
      </c>
      <c r="O10" s="129">
        <v>37.299999999999997</v>
      </c>
      <c r="P10" s="129">
        <v>97.493169398907099</v>
      </c>
      <c r="Q10" s="129">
        <v>97.452185792349724</v>
      </c>
      <c r="R10" s="96"/>
      <c r="S10" s="97">
        <f t="shared" si="1"/>
        <v>0.13675891650508731</v>
      </c>
      <c r="T10" s="97">
        <f t="shared" si="1"/>
        <v>9.7097361772142676E-2</v>
      </c>
      <c r="V10" s="85">
        <v>41640</v>
      </c>
      <c r="W10" s="86">
        <v>31</v>
      </c>
      <c r="X10" s="86">
        <f t="shared" si="0"/>
        <v>31</v>
      </c>
      <c r="Y10" s="103"/>
    </row>
    <row r="11" spans="1:25" s="105" customFormat="1" ht="42" customHeight="1">
      <c r="A11" s="79">
        <v>4</v>
      </c>
      <c r="B11" s="74" t="s">
        <v>29</v>
      </c>
      <c r="C11" s="67">
        <v>1321</v>
      </c>
      <c r="D11" s="67">
        <v>1142</v>
      </c>
      <c r="E11" s="68">
        <v>703.34</v>
      </c>
      <c r="F11" s="62">
        <v>1103.8800000000001</v>
      </c>
      <c r="G11" s="68">
        <v>7112.12</v>
      </c>
      <c r="H11" s="68">
        <v>6351.5</v>
      </c>
      <c r="I11" s="134">
        <v>13463.619999999999</v>
      </c>
      <c r="J11" s="134">
        <v>14166.96</v>
      </c>
      <c r="K11" s="134">
        <v>10.724420893262678</v>
      </c>
      <c r="L11" s="135">
        <v>98.630108747853129</v>
      </c>
      <c r="M11" s="129">
        <v>98.55854557886255</v>
      </c>
      <c r="N11" s="134">
        <v>33991.14</v>
      </c>
      <c r="O11" s="135">
        <v>25.731370174110523</v>
      </c>
      <c r="P11" s="129">
        <v>98.278760915517722</v>
      </c>
      <c r="Q11" s="129">
        <v>98.242392747670053</v>
      </c>
      <c r="R11" s="104"/>
      <c r="S11" s="97">
        <f t="shared" si="1"/>
        <v>0.35134783233540645</v>
      </c>
      <c r="T11" s="97">
        <f t="shared" si="1"/>
        <v>0.31615283119249682</v>
      </c>
      <c r="V11" s="106">
        <v>41671</v>
      </c>
      <c r="W11" s="107">
        <v>29</v>
      </c>
      <c r="X11" s="107">
        <f t="shared" si="0"/>
        <v>29</v>
      </c>
      <c r="Y11" s="108"/>
    </row>
    <row r="12" spans="1:25" s="109" customFormat="1" ht="42" customHeight="1">
      <c r="A12" s="78">
        <v>5</v>
      </c>
      <c r="B12" s="74" t="s">
        <v>32</v>
      </c>
      <c r="C12" s="70">
        <v>4</v>
      </c>
      <c r="D12" s="70">
        <v>4</v>
      </c>
      <c r="E12" s="70">
        <v>12.08</v>
      </c>
      <c r="F12" s="62">
        <v>25.16</v>
      </c>
      <c r="G12" s="64">
        <v>6.8479166666666655</v>
      </c>
      <c r="H12" s="64">
        <v>7.635416666666667</v>
      </c>
      <c r="I12" s="133">
        <v>14.483333333333333</v>
      </c>
      <c r="J12" s="133">
        <v>26.563333333333333</v>
      </c>
      <c r="K12" s="133">
        <v>6.6408333333333331</v>
      </c>
      <c r="L12" s="129">
        <v>99.513328853046602</v>
      </c>
      <c r="M12" s="129">
        <v>99.107414874551964</v>
      </c>
      <c r="N12" s="133">
        <v>83.343333333333334</v>
      </c>
      <c r="O12" s="129">
        <v>20.835833333333333</v>
      </c>
      <c r="P12" s="129">
        <v>98.78307149362476</v>
      </c>
      <c r="Q12" s="129">
        <v>98.576787340619305</v>
      </c>
      <c r="R12" s="96"/>
      <c r="S12" s="97">
        <f t="shared" si="1"/>
        <v>0.73025735942184156</v>
      </c>
      <c r="T12" s="97">
        <f t="shared" si="1"/>
        <v>0.53062753393265893</v>
      </c>
      <c r="V12" s="85">
        <v>41699</v>
      </c>
      <c r="W12" s="86">
        <v>31</v>
      </c>
      <c r="X12" s="86">
        <v>31</v>
      </c>
      <c r="Y12" s="110"/>
    </row>
    <row r="13" spans="1:25" s="109" customFormat="1" ht="42" customHeight="1">
      <c r="A13" s="78">
        <v>6</v>
      </c>
      <c r="B13" s="74" t="s">
        <v>30</v>
      </c>
      <c r="C13" s="66">
        <v>12</v>
      </c>
      <c r="D13" s="66">
        <v>12</v>
      </c>
      <c r="E13" s="64">
        <v>8.3800000000000008</v>
      </c>
      <c r="F13" s="62">
        <v>21.97</v>
      </c>
      <c r="G13" s="64">
        <v>44.58</v>
      </c>
      <c r="H13" s="64">
        <v>22.24</v>
      </c>
      <c r="I13" s="133">
        <v>66.819999999999993</v>
      </c>
      <c r="J13" s="133">
        <v>75.199999999999989</v>
      </c>
      <c r="K13" s="133">
        <v>6.2666666666666657</v>
      </c>
      <c r="L13" s="129">
        <v>99.251568100358426</v>
      </c>
      <c r="M13" s="129">
        <v>99.157706093189958</v>
      </c>
      <c r="N13" s="133">
        <v>203.07</v>
      </c>
      <c r="O13" s="129">
        <v>16.922499999999999</v>
      </c>
      <c r="P13" s="129">
        <v>98.891791894353389</v>
      </c>
      <c r="Q13" s="129">
        <v>98.844091530054641</v>
      </c>
      <c r="R13" s="96"/>
      <c r="S13" s="97">
        <f>L14-P14</f>
        <v>0.83727255812132739</v>
      </c>
      <c r="T13" s="97">
        <f>M14-Q14</f>
        <v>0.33746352116261846</v>
      </c>
      <c r="V13" s="86"/>
      <c r="W13" s="86">
        <f>SUM(W1:W12)</f>
        <v>366</v>
      </c>
      <c r="X13" s="86">
        <f>SUM(W14)</f>
        <v>0</v>
      </c>
      <c r="Y13" s="110"/>
    </row>
    <row r="14" spans="1:25" s="109" customFormat="1" ht="42" customHeight="1">
      <c r="A14" s="78">
        <v>7</v>
      </c>
      <c r="B14" s="74" t="s">
        <v>31</v>
      </c>
      <c r="C14" s="71">
        <v>9</v>
      </c>
      <c r="D14" s="71">
        <v>9</v>
      </c>
      <c r="E14" s="72">
        <v>68.05</v>
      </c>
      <c r="F14" s="62">
        <v>80.25</v>
      </c>
      <c r="G14" s="72">
        <v>24.28</v>
      </c>
      <c r="H14" s="72">
        <v>15.37</v>
      </c>
      <c r="I14" s="133">
        <v>39.65</v>
      </c>
      <c r="J14" s="133">
        <v>107.69999999999999</v>
      </c>
      <c r="K14" s="133">
        <v>11.966666666666665</v>
      </c>
      <c r="L14" s="129">
        <v>99.407855436081249</v>
      </c>
      <c r="M14" s="129">
        <v>98.391577060931894</v>
      </c>
      <c r="N14" s="133">
        <v>256.39</v>
      </c>
      <c r="O14" s="129">
        <v>28.487777777777776</v>
      </c>
      <c r="P14" s="129">
        <v>98.570582877959922</v>
      </c>
      <c r="Q14" s="129">
        <v>98.054113539769276</v>
      </c>
      <c r="R14" s="111"/>
      <c r="S14" s="97">
        <f t="shared" si="1"/>
        <v>0.83727255812132739</v>
      </c>
      <c r="T14" s="97">
        <f t="shared" si="1"/>
        <v>0.33746352116261846</v>
      </c>
      <c r="V14" s="110"/>
      <c r="W14" s="110"/>
      <c r="X14" s="110"/>
      <c r="Y14" s="110"/>
    </row>
    <row r="18" spans="1:17" ht="18">
      <c r="A18" s="112"/>
      <c r="B18" s="113"/>
      <c r="C18" s="113"/>
      <c r="D18" s="114"/>
      <c r="E18" s="115"/>
      <c r="F18" s="114"/>
      <c r="G18" s="114"/>
      <c r="H18" s="116"/>
      <c r="I18" s="136"/>
      <c r="J18" s="136"/>
      <c r="K18" s="137"/>
      <c r="L18" s="137"/>
      <c r="M18" s="136"/>
      <c r="N18" s="137"/>
      <c r="O18" s="137"/>
      <c r="P18" s="137"/>
    </row>
    <row r="19" spans="1:17" ht="18" customHeight="1">
      <c r="A19" s="819" t="s">
        <v>67</v>
      </c>
      <c r="B19" s="819"/>
      <c r="C19" s="819"/>
      <c r="D19" s="819"/>
      <c r="E19" s="819"/>
      <c r="F19" s="118"/>
      <c r="G19" s="118"/>
      <c r="H19" s="119"/>
      <c r="I19" s="139"/>
      <c r="J19" s="139"/>
      <c r="K19" s="140"/>
      <c r="L19" s="140"/>
      <c r="M19" s="141"/>
      <c r="O19" s="834" t="s">
        <v>68</v>
      </c>
      <c r="P19" s="834"/>
      <c r="Q19" s="834"/>
    </row>
    <row r="20" spans="1:17" ht="18" customHeight="1">
      <c r="A20" s="819" t="s">
        <v>69</v>
      </c>
      <c r="B20" s="819"/>
      <c r="C20" s="819"/>
      <c r="D20" s="819"/>
      <c r="E20" s="819"/>
      <c r="F20" s="118"/>
      <c r="G20" s="118"/>
      <c r="H20" s="119"/>
      <c r="I20" s="139"/>
      <c r="J20" s="139"/>
      <c r="K20" s="140"/>
      <c r="L20" s="140"/>
      <c r="M20" s="141"/>
      <c r="O20" s="834" t="s">
        <v>87</v>
      </c>
      <c r="P20" s="834"/>
      <c r="Q20" s="834"/>
    </row>
    <row r="21" spans="1:17" ht="18" customHeight="1">
      <c r="A21" s="121"/>
      <c r="B21" s="122"/>
      <c r="C21" s="122"/>
      <c r="D21" s="118"/>
      <c r="E21" s="123"/>
      <c r="F21" s="102"/>
      <c r="G21" s="820" t="s">
        <v>70</v>
      </c>
      <c r="H21" s="820"/>
      <c r="I21" s="820"/>
      <c r="J21" s="820"/>
      <c r="K21" s="140"/>
      <c r="L21" s="140"/>
      <c r="M21" s="139"/>
      <c r="N21" s="140"/>
      <c r="O21" s="140"/>
      <c r="P21" s="140"/>
    </row>
    <row r="22" spans="1:17" ht="18.75">
      <c r="A22" s="121"/>
      <c r="B22" s="122"/>
      <c r="C22" s="122"/>
      <c r="D22" s="118"/>
      <c r="E22" s="123"/>
      <c r="F22" s="102"/>
      <c r="G22" s="820" t="s">
        <v>71</v>
      </c>
      <c r="H22" s="820"/>
      <c r="I22" s="820"/>
      <c r="J22" s="820"/>
      <c r="K22" s="140"/>
      <c r="L22" s="140"/>
      <c r="M22" s="139"/>
    </row>
  </sheetData>
  <mergeCells count="18">
    <mergeCell ref="G21:J21"/>
    <mergeCell ref="G22:J22"/>
    <mergeCell ref="J5:M5"/>
    <mergeCell ref="N5:Q5"/>
    <mergeCell ref="A19:E19"/>
    <mergeCell ref="O19:Q19"/>
    <mergeCell ref="A20:E20"/>
    <mergeCell ref="O20:Q20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</mergeCells>
  <printOptions horizontalCentered="1"/>
  <pageMargins left="0" right="0" top="0.25" bottom="0" header="0.19" footer="0.5"/>
  <pageSetup paperSize="9" scale="6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view="pageBreakPreview" zoomScale="80" zoomScaleSheetLayoutView="80" workbookViewId="0">
      <selection activeCell="I34" activeCellId="1" sqref="I34 L36"/>
    </sheetView>
  </sheetViews>
  <sheetFormatPr defaultRowHeight="12.75"/>
  <cols>
    <col min="1" max="1" width="8" style="463" customWidth="1"/>
    <col min="2" max="2" width="19.140625" style="585" customWidth="1"/>
    <col min="3" max="3" width="9.5703125" style="585" customWidth="1"/>
    <col min="4" max="4" width="9.42578125" style="585" customWidth="1"/>
    <col min="5" max="5" width="12.42578125" style="585" customWidth="1"/>
    <col min="6" max="6" width="13.85546875" style="585" customWidth="1"/>
    <col min="7" max="8" width="14.7109375" style="585" customWidth="1"/>
    <col min="9" max="9" width="15.85546875" style="585" customWidth="1"/>
    <col min="10" max="10" width="14.28515625" style="585" customWidth="1"/>
    <col min="11" max="11" width="12.140625" style="585" customWidth="1"/>
    <col min="12" max="12" width="9.5703125" style="585" customWidth="1"/>
    <col min="13" max="13" width="13.42578125" style="585" customWidth="1"/>
    <col min="14" max="14" width="16.85546875" style="585" customWidth="1"/>
    <col min="15" max="15" width="15" style="585" customWidth="1"/>
    <col min="16" max="16" width="15.7109375" style="585" customWidth="1"/>
    <col min="17" max="17" width="15.140625" style="585" customWidth="1"/>
    <col min="18" max="18" width="13.140625" style="585" hidden="1" customWidth="1"/>
    <col min="19" max="21" width="9.140625" style="585"/>
    <col min="22" max="22" width="12.28515625" style="585" customWidth="1"/>
    <col min="23" max="16384" width="9.140625" style="585"/>
  </cols>
  <sheetData>
    <row r="1" spans="1:25" s="434" customFormat="1" ht="17.25" customHeight="1">
      <c r="A1" s="901" t="s">
        <v>0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V1" s="435">
        <v>42461</v>
      </c>
      <c r="W1" s="436">
        <v>30</v>
      </c>
      <c r="X1" s="436">
        <f t="shared" ref="X1:X11" si="0">SUM(W1)</f>
        <v>30</v>
      </c>
      <c r="Y1" s="437"/>
    </row>
    <row r="2" spans="1:25" ht="17.25" customHeight="1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V2" s="439">
        <v>42491</v>
      </c>
      <c r="W2" s="440">
        <v>31</v>
      </c>
      <c r="X2" s="440">
        <f t="shared" si="0"/>
        <v>31</v>
      </c>
      <c r="Y2" s="441"/>
    </row>
    <row r="3" spans="1:25" ht="18" customHeight="1">
      <c r="A3" s="903" t="s">
        <v>160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V3" s="439">
        <v>42522</v>
      </c>
      <c r="W3" s="440">
        <v>30</v>
      </c>
      <c r="X3" s="440">
        <f t="shared" si="0"/>
        <v>30</v>
      </c>
      <c r="Y3" s="441"/>
    </row>
    <row r="4" spans="1:25" ht="15" customHeight="1">
      <c r="A4" s="442"/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V4" s="439">
        <v>42552</v>
      </c>
      <c r="W4" s="440">
        <v>31</v>
      </c>
      <c r="X4" s="440">
        <f t="shared" si="0"/>
        <v>31</v>
      </c>
      <c r="Y4" s="441"/>
    </row>
    <row r="5" spans="1:25" s="445" customFormat="1" ht="28.5" customHeight="1">
      <c r="A5" s="904" t="s">
        <v>2</v>
      </c>
      <c r="B5" s="904" t="s">
        <v>3</v>
      </c>
      <c r="C5" s="904" t="s">
        <v>4</v>
      </c>
      <c r="D5" s="904" t="s">
        <v>5</v>
      </c>
      <c r="E5" s="873" t="s">
        <v>6</v>
      </c>
      <c r="F5" s="953" t="s">
        <v>7</v>
      </c>
      <c r="G5" s="905" t="s">
        <v>8</v>
      </c>
      <c r="H5" s="906"/>
      <c r="I5" s="906"/>
      <c r="J5" s="906" t="s">
        <v>161</v>
      </c>
      <c r="K5" s="906"/>
      <c r="L5" s="906"/>
      <c r="M5" s="906"/>
      <c r="N5" s="906" t="s">
        <v>139</v>
      </c>
      <c r="O5" s="906"/>
      <c r="P5" s="906"/>
      <c r="Q5" s="906"/>
      <c r="V5" s="446">
        <v>42583</v>
      </c>
      <c r="W5" s="447">
        <v>31</v>
      </c>
      <c r="X5" s="447">
        <f t="shared" si="0"/>
        <v>31</v>
      </c>
      <c r="Y5" s="448"/>
    </row>
    <row r="6" spans="1:25" s="450" customFormat="1" ht="94.5" customHeight="1">
      <c r="A6" s="904"/>
      <c r="B6" s="904"/>
      <c r="C6" s="904"/>
      <c r="D6" s="904"/>
      <c r="E6" s="873"/>
      <c r="F6" s="953"/>
      <c r="G6" s="579" t="s">
        <v>9</v>
      </c>
      <c r="H6" s="579" t="s">
        <v>10</v>
      </c>
      <c r="I6" s="582" t="s">
        <v>11</v>
      </c>
      <c r="J6" s="582" t="s">
        <v>12</v>
      </c>
      <c r="K6" s="582" t="s">
        <v>13</v>
      </c>
      <c r="L6" s="591" t="s">
        <v>78</v>
      </c>
      <c r="M6" s="591" t="s">
        <v>14</v>
      </c>
      <c r="N6" s="591" t="s">
        <v>140</v>
      </c>
      <c r="O6" s="582" t="s">
        <v>143</v>
      </c>
      <c r="P6" s="582" t="s">
        <v>141</v>
      </c>
      <c r="Q6" s="582" t="s">
        <v>142</v>
      </c>
      <c r="V6" s="446">
        <v>42614</v>
      </c>
      <c r="W6" s="447">
        <v>30</v>
      </c>
      <c r="X6" s="447">
        <f t="shared" si="0"/>
        <v>30</v>
      </c>
      <c r="Y6" s="451"/>
    </row>
    <row r="7" spans="1:25" s="454" customFormat="1" ht="24" customHeight="1">
      <c r="A7" s="452">
        <v>1</v>
      </c>
      <c r="B7" s="452">
        <v>2</v>
      </c>
      <c r="C7" s="452">
        <v>3</v>
      </c>
      <c r="D7" s="452">
        <v>4</v>
      </c>
      <c r="E7" s="452">
        <v>5</v>
      </c>
      <c r="F7" s="588" t="s">
        <v>19</v>
      </c>
      <c r="G7" s="452">
        <v>6</v>
      </c>
      <c r="H7" s="452">
        <v>7</v>
      </c>
      <c r="I7" s="452" t="s">
        <v>20</v>
      </c>
      <c r="J7" s="452" t="s">
        <v>21</v>
      </c>
      <c r="K7" s="453" t="s">
        <v>22</v>
      </c>
      <c r="L7" s="452" t="s">
        <v>23</v>
      </c>
      <c r="M7" s="452" t="s">
        <v>24</v>
      </c>
      <c r="N7" s="452">
        <v>13</v>
      </c>
      <c r="O7" s="452" t="s">
        <v>25</v>
      </c>
      <c r="P7" s="452">
        <v>15</v>
      </c>
      <c r="Q7" s="452">
        <v>16</v>
      </c>
      <c r="V7" s="439">
        <v>42644</v>
      </c>
      <c r="W7" s="440">
        <v>31</v>
      </c>
      <c r="X7" s="440">
        <f t="shared" si="0"/>
        <v>31</v>
      </c>
      <c r="Y7" s="455"/>
    </row>
    <row r="8" spans="1:25" s="345" customFormat="1" ht="42" customHeight="1">
      <c r="A8" s="338">
        <v>1</v>
      </c>
      <c r="B8" s="339" t="s">
        <v>26</v>
      </c>
      <c r="C8" s="601">
        <v>34</v>
      </c>
      <c r="D8" s="601">
        <v>31</v>
      </c>
      <c r="E8" s="607">
        <v>4.13</v>
      </c>
      <c r="F8" s="590" t="e">
        <f>E8+'Jan ANX I   '!F8</f>
        <v>#REF!</v>
      </c>
      <c r="G8" s="607">
        <v>113.50999999999998</v>
      </c>
      <c r="H8" s="607">
        <v>42.18</v>
      </c>
      <c r="I8" s="519">
        <f>G8+H8</f>
        <v>155.68999999999997</v>
      </c>
      <c r="J8" s="519">
        <f t="shared" ref="J8:J14" si="1">E8+I8</f>
        <v>159.81999999999996</v>
      </c>
      <c r="K8" s="519">
        <f t="shared" ref="K8:K14" si="2">J8/C8</f>
        <v>4.7005882352941164</v>
      </c>
      <c r="L8" s="589">
        <f>+(((C8*24)*28)-I8)*100/((C8*24)*28)</f>
        <v>99.318583683473392</v>
      </c>
      <c r="M8" s="589">
        <f>+(((C8*24)*28)-J8)*100/((C8*24)*28)</f>
        <v>99.300507703081237</v>
      </c>
      <c r="N8" s="589" t="e">
        <f>J8+'Jan ANX I   '!N8</f>
        <v>#REF!</v>
      </c>
      <c r="O8" s="521" t="e">
        <f t="shared" ref="O8:O14" si="3">N8/C8</f>
        <v>#REF!</v>
      </c>
      <c r="P8" s="589" t="e">
        <f>((C8*24*334)-(N8-E8))*100/(C8*24*334)</f>
        <v>#REF!</v>
      </c>
      <c r="Q8" s="589" t="e">
        <f>((C8*24*334)-(N8))*100/(C8*24*334)</f>
        <v>#REF!</v>
      </c>
      <c r="R8" s="341"/>
      <c r="S8" s="344" t="e">
        <f>L8-P8</f>
        <v>#REF!</v>
      </c>
      <c r="T8" s="344" t="e">
        <f>M8-Q8</f>
        <v>#REF!</v>
      </c>
      <c r="V8" s="346">
        <v>42675</v>
      </c>
      <c r="W8" s="347">
        <v>30</v>
      </c>
      <c r="X8" s="347">
        <f t="shared" si="0"/>
        <v>30</v>
      </c>
      <c r="Y8" s="345">
        <f>122+31</f>
        <v>153</v>
      </c>
    </row>
    <row r="9" spans="1:25" s="345" customFormat="1" ht="42" customHeight="1">
      <c r="A9" s="338">
        <v>2</v>
      </c>
      <c r="B9" s="339" t="s">
        <v>27</v>
      </c>
      <c r="C9" s="602">
        <v>11</v>
      </c>
      <c r="D9" s="602">
        <v>11</v>
      </c>
      <c r="E9" s="607">
        <v>11.5</v>
      </c>
      <c r="F9" s="590" t="e">
        <f>E9+'Jan ANX I   '!F9</f>
        <v>#REF!</v>
      </c>
      <c r="G9" s="607">
        <v>207.57</v>
      </c>
      <c r="H9" s="607">
        <v>158.47</v>
      </c>
      <c r="I9" s="519">
        <f t="shared" ref="I9:I14" si="4">G9+H9</f>
        <v>366.03999999999996</v>
      </c>
      <c r="J9" s="519">
        <f t="shared" si="1"/>
        <v>377.53999999999996</v>
      </c>
      <c r="K9" s="519">
        <f t="shared" si="2"/>
        <v>34.32181818181818</v>
      </c>
      <c r="L9" s="589">
        <f t="shared" ref="L9:L14" si="5">+(((C9*24)*28)-I9)*100/((C9*24)*28)</f>
        <v>95.04816017316017</v>
      </c>
      <c r="M9" s="589">
        <f t="shared" ref="M9:M14" si="6">+(((C9*24)*28)-J9)*100/((C9*24)*28)</f>
        <v>94.892586580086586</v>
      </c>
      <c r="N9" s="589" t="e">
        <f>J9+'Jan ANX I   '!N9</f>
        <v>#REF!</v>
      </c>
      <c r="O9" s="521" t="e">
        <f t="shared" si="3"/>
        <v>#REF!</v>
      </c>
      <c r="P9" s="589" t="e">
        <f t="shared" ref="P9:P14" si="7">((C9*24*334)-(N9-E9))*100/(C9*24*334)</f>
        <v>#REF!</v>
      </c>
      <c r="Q9" s="589" t="e">
        <f t="shared" ref="Q9:Q15" si="8">((C9*24*334)-(N9))*100/(C9*24*334)</f>
        <v>#REF!</v>
      </c>
      <c r="R9" s="341"/>
      <c r="S9" s="344" t="e">
        <f t="shared" ref="S9:T24" si="9">L9-P9</f>
        <v>#REF!</v>
      </c>
      <c r="T9" s="344" t="e">
        <f t="shared" si="9"/>
        <v>#REF!</v>
      </c>
      <c r="V9" s="346">
        <v>42705</v>
      </c>
      <c r="W9" s="347">
        <v>31</v>
      </c>
      <c r="X9" s="347">
        <v>31</v>
      </c>
    </row>
    <row r="10" spans="1:25" s="348" customFormat="1" ht="42" customHeight="1">
      <c r="A10" s="338">
        <v>3</v>
      </c>
      <c r="B10" s="339" t="s">
        <v>28</v>
      </c>
      <c r="C10" s="603">
        <v>30</v>
      </c>
      <c r="D10" s="603">
        <v>30</v>
      </c>
      <c r="E10" s="608">
        <v>65</v>
      </c>
      <c r="F10" s="590" t="e">
        <f>E10+'Jan ANX I   '!F10</f>
        <v>#REF!</v>
      </c>
      <c r="G10" s="608">
        <v>251</v>
      </c>
      <c r="H10" s="608">
        <v>58</v>
      </c>
      <c r="I10" s="519">
        <f t="shared" si="4"/>
        <v>309</v>
      </c>
      <c r="J10" s="519">
        <f t="shared" si="1"/>
        <v>374</v>
      </c>
      <c r="K10" s="519">
        <f t="shared" si="2"/>
        <v>12.466666666666667</v>
      </c>
      <c r="L10" s="589">
        <f t="shared" si="5"/>
        <v>98.467261904761898</v>
      </c>
      <c r="M10" s="589">
        <f t="shared" si="6"/>
        <v>98.144841269841265</v>
      </c>
      <c r="N10" s="589" t="e">
        <f>J10+'Jan ANX I   '!N10</f>
        <v>#REF!</v>
      </c>
      <c r="O10" s="521" t="e">
        <f t="shared" si="3"/>
        <v>#REF!</v>
      </c>
      <c r="P10" s="589" t="e">
        <f t="shared" si="7"/>
        <v>#REF!</v>
      </c>
      <c r="Q10" s="589" t="e">
        <f t="shared" si="8"/>
        <v>#REF!</v>
      </c>
      <c r="R10" s="343"/>
      <c r="S10" s="344" t="e">
        <f t="shared" si="9"/>
        <v>#REF!</v>
      </c>
      <c r="T10" s="344" t="e">
        <f t="shared" si="9"/>
        <v>#REF!</v>
      </c>
      <c r="V10" s="349">
        <v>42370</v>
      </c>
      <c r="W10" s="350">
        <v>31</v>
      </c>
      <c r="X10" s="350">
        <f t="shared" si="0"/>
        <v>31</v>
      </c>
    </row>
    <row r="11" spans="1:25" s="358" customFormat="1" ht="42" customHeight="1">
      <c r="A11" s="338">
        <v>4</v>
      </c>
      <c r="B11" s="339" t="s">
        <v>29</v>
      </c>
      <c r="C11" s="601">
        <v>1347</v>
      </c>
      <c r="D11" s="604">
        <v>1089</v>
      </c>
      <c r="E11" s="607">
        <v>689.44</v>
      </c>
      <c r="F11" s="590" t="e">
        <f>E11+'Jan ANX I   '!F11</f>
        <v>#REF!</v>
      </c>
      <c r="G11" s="607">
        <v>3671.37</v>
      </c>
      <c r="H11" s="607">
        <v>4448</v>
      </c>
      <c r="I11" s="519">
        <f>G11+H11</f>
        <v>8119.37</v>
      </c>
      <c r="J11" s="519">
        <f t="shared" si="1"/>
        <v>8808.81</v>
      </c>
      <c r="K11" s="519">
        <f t="shared" si="2"/>
        <v>6.5395768374164804</v>
      </c>
      <c r="L11" s="589">
        <f t="shared" si="5"/>
        <v>99.103014414748827</v>
      </c>
      <c r="M11" s="589">
        <f t="shared" si="6"/>
        <v>99.026848684908259</v>
      </c>
      <c r="N11" s="589" t="e">
        <f>J11+'Jan ANX I   '!N11</f>
        <v>#REF!</v>
      </c>
      <c r="O11" s="521" t="e">
        <f t="shared" si="3"/>
        <v>#REF!</v>
      </c>
      <c r="P11" s="589" t="e">
        <f t="shared" si="7"/>
        <v>#REF!</v>
      </c>
      <c r="Q11" s="589" t="e">
        <f t="shared" si="8"/>
        <v>#REF!</v>
      </c>
      <c r="R11" s="343"/>
      <c r="S11" s="344" t="e">
        <f t="shared" si="9"/>
        <v>#REF!</v>
      </c>
      <c r="T11" s="344" t="e">
        <f t="shared" si="9"/>
        <v>#REF!</v>
      </c>
      <c r="V11" s="349">
        <v>42401</v>
      </c>
      <c r="W11" s="350">
        <v>29</v>
      </c>
      <c r="X11" s="350">
        <f t="shared" si="0"/>
        <v>29</v>
      </c>
    </row>
    <row r="12" spans="1:25" s="358" customFormat="1" ht="42" customHeight="1">
      <c r="A12" s="338">
        <v>5</v>
      </c>
      <c r="B12" s="339" t="s">
        <v>32</v>
      </c>
      <c r="C12" s="605">
        <v>4</v>
      </c>
      <c r="D12" s="605">
        <v>4</v>
      </c>
      <c r="E12" s="609">
        <v>0.25</v>
      </c>
      <c r="F12" s="590" t="e">
        <f>E12+'Jan ANX I   '!F12</f>
        <v>#REF!</v>
      </c>
      <c r="G12" s="609">
        <v>6.75</v>
      </c>
      <c r="H12" s="609">
        <v>7.25</v>
      </c>
      <c r="I12" s="519">
        <f>G12+H12</f>
        <v>14</v>
      </c>
      <c r="J12" s="519">
        <f t="shared" si="1"/>
        <v>14.25</v>
      </c>
      <c r="K12" s="519">
        <f t="shared" si="2"/>
        <v>3.5625</v>
      </c>
      <c r="L12" s="589">
        <f t="shared" si="5"/>
        <v>99.479166666666671</v>
      </c>
      <c r="M12" s="589">
        <f t="shared" si="6"/>
        <v>99.469866071428569</v>
      </c>
      <c r="N12" s="589" t="e">
        <f>J12+'Jan ANX I   '!N12</f>
        <v>#REF!</v>
      </c>
      <c r="O12" s="521" t="e">
        <f t="shared" si="3"/>
        <v>#REF!</v>
      </c>
      <c r="P12" s="589" t="e">
        <f t="shared" si="7"/>
        <v>#REF!</v>
      </c>
      <c r="Q12" s="589" t="e">
        <f t="shared" si="8"/>
        <v>#REF!</v>
      </c>
      <c r="R12" s="343"/>
      <c r="S12" s="344" t="e">
        <f t="shared" si="9"/>
        <v>#REF!</v>
      </c>
      <c r="T12" s="344" t="e">
        <f t="shared" si="9"/>
        <v>#REF!</v>
      </c>
      <c r="V12" s="349">
        <v>42430</v>
      </c>
      <c r="W12" s="350">
        <v>31</v>
      </c>
      <c r="X12" s="350">
        <v>31</v>
      </c>
    </row>
    <row r="13" spans="1:25" s="358" customFormat="1" ht="42" customHeight="1">
      <c r="A13" s="338">
        <v>6</v>
      </c>
      <c r="B13" s="339" t="s">
        <v>30</v>
      </c>
      <c r="C13" s="606">
        <v>13</v>
      </c>
      <c r="D13" s="606">
        <v>13</v>
      </c>
      <c r="E13" s="610">
        <v>2.2999999999999998</v>
      </c>
      <c r="F13" s="590" t="e">
        <f>E13+'Jan ANX I   '!F13</f>
        <v>#REF!</v>
      </c>
      <c r="G13" s="610">
        <v>26.24</v>
      </c>
      <c r="H13" s="610">
        <v>31.45</v>
      </c>
      <c r="I13" s="519">
        <f t="shared" si="4"/>
        <v>57.69</v>
      </c>
      <c r="J13" s="519">
        <f t="shared" si="1"/>
        <v>59.989999999999995</v>
      </c>
      <c r="K13" s="519">
        <f t="shared" si="2"/>
        <v>4.6146153846153846</v>
      </c>
      <c r="L13" s="589">
        <f t="shared" si="5"/>
        <v>99.339629120879124</v>
      </c>
      <c r="M13" s="589">
        <f t="shared" si="6"/>
        <v>99.313301282051285</v>
      </c>
      <c r="N13" s="589" t="e">
        <f>J13+'Jan ANX I   '!N13</f>
        <v>#REF!</v>
      </c>
      <c r="O13" s="521" t="e">
        <f t="shared" si="3"/>
        <v>#REF!</v>
      </c>
      <c r="P13" s="589" t="e">
        <f t="shared" si="7"/>
        <v>#REF!</v>
      </c>
      <c r="Q13" s="589" t="e">
        <f t="shared" si="8"/>
        <v>#REF!</v>
      </c>
      <c r="R13" s="343"/>
      <c r="S13" s="344" t="e">
        <f>L14-P14</f>
        <v>#REF!</v>
      </c>
      <c r="T13" s="344" t="e">
        <f>M14-Q14</f>
        <v>#REF!</v>
      </c>
      <c r="V13" s="350"/>
      <c r="W13" s="350">
        <f>SUM(W1:W12)</f>
        <v>366</v>
      </c>
      <c r="X13" s="350">
        <f>SUM(W14)</f>
        <v>0</v>
      </c>
    </row>
    <row r="14" spans="1:25" s="358" customFormat="1" ht="42" customHeight="1">
      <c r="A14" s="338">
        <v>7</v>
      </c>
      <c r="B14" s="339" t="s">
        <v>31</v>
      </c>
      <c r="C14" s="606">
        <v>9</v>
      </c>
      <c r="D14" s="606">
        <v>9</v>
      </c>
      <c r="E14" s="610">
        <v>4.5</v>
      </c>
      <c r="F14" s="590" t="e">
        <f>E14+'Jan ANX I   '!F14</f>
        <v>#REF!</v>
      </c>
      <c r="G14" s="610">
        <v>120.5</v>
      </c>
      <c r="H14" s="610">
        <v>36</v>
      </c>
      <c r="I14" s="519">
        <f t="shared" si="4"/>
        <v>156.5</v>
      </c>
      <c r="J14" s="519">
        <f t="shared" si="1"/>
        <v>161</v>
      </c>
      <c r="K14" s="519">
        <f t="shared" si="2"/>
        <v>17.888888888888889</v>
      </c>
      <c r="L14" s="589">
        <f t="shared" si="5"/>
        <v>97.412367724867721</v>
      </c>
      <c r="M14" s="589">
        <f t="shared" si="6"/>
        <v>97.337962962962962</v>
      </c>
      <c r="N14" s="589" t="e">
        <f>J14+'Jan ANX I   '!N14</f>
        <v>#REF!</v>
      </c>
      <c r="O14" s="521" t="e">
        <f t="shared" si="3"/>
        <v>#REF!</v>
      </c>
      <c r="P14" s="589" t="e">
        <f t="shared" si="7"/>
        <v>#REF!</v>
      </c>
      <c r="Q14" s="589" t="e">
        <f t="shared" si="8"/>
        <v>#REF!</v>
      </c>
      <c r="R14" s="359"/>
      <c r="S14" s="344" t="e">
        <f t="shared" si="9"/>
        <v>#REF!</v>
      </c>
      <c r="T14" s="344" t="e">
        <f t="shared" si="9"/>
        <v>#REF!</v>
      </c>
    </row>
    <row r="15" spans="1:25" ht="27.75" hidden="1" customHeight="1" thickBot="1">
      <c r="A15" s="456"/>
      <c r="B15" s="457"/>
      <c r="C15" s="458">
        <f t="shared" ref="C15:K15" si="10">C8+C9+C10+C11+C12+C14+C14</f>
        <v>1444</v>
      </c>
      <c r="D15" s="458">
        <f>D8+D9+D10+E11+D12+D14+D14</f>
        <v>783.44</v>
      </c>
      <c r="E15" s="458" t="e">
        <f>E8+E9+E10+#REF!+E12+E14+E14</f>
        <v>#REF!</v>
      </c>
      <c r="F15" s="518" t="e">
        <f>E15+'DEC ANX I  '!F15</f>
        <v>#REF!</v>
      </c>
      <c r="G15" s="458">
        <f>G8+G9+G10+G11+G12+G14+G14</f>
        <v>4491.2</v>
      </c>
      <c r="H15" s="458">
        <f>H8+H9+H10+H11+H12+H14+H14</f>
        <v>4785.8999999999996</v>
      </c>
      <c r="I15" s="458">
        <f t="shared" si="10"/>
        <v>9277.1</v>
      </c>
      <c r="J15" s="458">
        <f t="shared" si="10"/>
        <v>10056.42</v>
      </c>
      <c r="K15" s="458">
        <f t="shared" si="10"/>
        <v>97.368927698973224</v>
      </c>
      <c r="L15" s="459">
        <f>+(((C15*24)*31)-I15)*100/((C15*24)*31)</f>
        <v>99.136480579632433</v>
      </c>
      <c r="M15" s="459">
        <f>+(((C15*24)*31)-J15)*100/((C15*24)*31)</f>
        <v>99.063940890000893</v>
      </c>
      <c r="N15" s="520" t="e">
        <f>J15+'DEC ANX I  '!N15</f>
        <v>#REF!</v>
      </c>
      <c r="O15" s="458" t="e">
        <f>O8+O9+O10+O11+O12+O14+O14</f>
        <v>#REF!</v>
      </c>
      <c r="P15" s="520" t="e">
        <f>((C15*24*306)-(N15-E15))*100/(C15*24*306)</f>
        <v>#REF!</v>
      </c>
      <c r="Q15" s="520" t="e">
        <f t="shared" si="8"/>
        <v>#REF!</v>
      </c>
      <c r="T15" s="460" t="e">
        <f t="shared" si="9"/>
        <v>#REF!</v>
      </c>
    </row>
    <row r="16" spans="1:25" ht="27.75" hidden="1" customHeight="1">
      <c r="A16" s="895" t="s">
        <v>61</v>
      </c>
      <c r="B16" s="896"/>
      <c r="C16" s="896"/>
      <c r="D16" s="896"/>
      <c r="E16" s="896"/>
      <c r="F16" s="896"/>
      <c r="G16" s="896"/>
      <c r="H16" s="896"/>
      <c r="I16" s="896"/>
      <c r="J16" s="896"/>
      <c r="K16" s="896"/>
      <c r="L16" s="896"/>
      <c r="M16" s="896"/>
      <c r="N16" s="896"/>
      <c r="O16" s="896"/>
      <c r="P16" s="896"/>
      <c r="Q16" s="897"/>
      <c r="T16" s="460">
        <f t="shared" si="9"/>
        <v>0</v>
      </c>
    </row>
    <row r="17" spans="1:20" ht="9" hidden="1" customHeight="1" thickBot="1">
      <c r="A17" s="898"/>
      <c r="B17" s="899"/>
      <c r="C17" s="899"/>
      <c r="D17" s="899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900"/>
      <c r="T17" s="460">
        <f t="shared" si="9"/>
        <v>0</v>
      </c>
    </row>
    <row r="18" spans="1:20" ht="16.5" hidden="1" customHeight="1">
      <c r="A18" s="907" t="s">
        <v>62</v>
      </c>
      <c r="B18" s="908"/>
      <c r="C18" s="908"/>
      <c r="D18" s="908"/>
      <c r="E18" s="908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08"/>
      <c r="Q18" s="909"/>
      <c r="T18" s="460">
        <f t="shared" si="9"/>
        <v>0</v>
      </c>
    </row>
    <row r="19" spans="1:20" ht="30.75" hidden="1" customHeight="1">
      <c r="A19" s="910"/>
      <c r="B19" s="911"/>
      <c r="C19" s="911"/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  <c r="Q19" s="912"/>
      <c r="T19" s="460">
        <f t="shared" si="9"/>
        <v>0</v>
      </c>
    </row>
    <row r="20" spans="1:20" ht="23.25" hidden="1" customHeight="1" thickBot="1">
      <c r="A20" s="913"/>
      <c r="B20" s="914"/>
      <c r="C20" s="914"/>
      <c r="D20" s="914"/>
      <c r="E20" s="914"/>
      <c r="F20" s="914"/>
      <c r="G20" s="914"/>
      <c r="H20" s="914"/>
      <c r="I20" s="914"/>
      <c r="J20" s="914"/>
      <c r="K20" s="914"/>
      <c r="L20" s="914"/>
      <c r="M20" s="914"/>
      <c r="N20" s="914"/>
      <c r="O20" s="914"/>
      <c r="P20" s="914"/>
      <c r="Q20" s="915"/>
      <c r="T20" s="460">
        <f t="shared" si="9"/>
        <v>0</v>
      </c>
    </row>
    <row r="21" spans="1:20" ht="30" hidden="1" customHeight="1">
      <c r="A21" s="895" t="s">
        <v>65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97"/>
      <c r="T21" s="460">
        <f t="shared" si="9"/>
        <v>0</v>
      </c>
    </row>
    <row r="22" spans="1:20" ht="16.5" hidden="1" customHeight="1" thickBot="1">
      <c r="A22" s="898"/>
      <c r="B22" s="899"/>
      <c r="C22" s="899"/>
      <c r="D22" s="899"/>
      <c r="E22" s="899"/>
      <c r="F22" s="899"/>
      <c r="G22" s="899"/>
      <c r="H22" s="899"/>
      <c r="I22" s="899"/>
      <c r="J22" s="899"/>
      <c r="K22" s="899"/>
      <c r="L22" s="899"/>
      <c r="M22" s="899"/>
      <c r="N22" s="899"/>
      <c r="O22" s="899"/>
      <c r="P22" s="899"/>
      <c r="Q22" s="900"/>
      <c r="T22" s="460">
        <f t="shared" si="9"/>
        <v>0</v>
      </c>
    </row>
    <row r="23" spans="1:20" ht="27.75" hidden="1" customHeight="1">
      <c r="A23" s="895" t="s">
        <v>36</v>
      </c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7"/>
      <c r="T23" s="460">
        <f t="shared" si="9"/>
        <v>0</v>
      </c>
    </row>
    <row r="24" spans="1:20" ht="27.75" hidden="1" customHeight="1" thickBot="1">
      <c r="A24" s="898"/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  <c r="M24" s="899"/>
      <c r="N24" s="899"/>
      <c r="O24" s="899"/>
      <c r="P24" s="899"/>
      <c r="Q24" s="900"/>
      <c r="T24" s="460">
        <f t="shared" si="9"/>
        <v>0</v>
      </c>
    </row>
    <row r="25" spans="1:20" ht="27.75" hidden="1" customHeight="1">
      <c r="A25" s="456"/>
      <c r="B25" s="457"/>
      <c r="C25" s="461"/>
      <c r="D25" s="461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T25" s="460">
        <f t="shared" ref="T25:T55" si="11">M25-Q25</f>
        <v>0</v>
      </c>
    </row>
    <row r="26" spans="1:20" ht="27.75" hidden="1" customHeight="1">
      <c r="A26" s="456"/>
      <c r="B26" s="457"/>
      <c r="C26" s="461"/>
      <c r="D26" s="461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T26" s="460">
        <f t="shared" si="11"/>
        <v>0</v>
      </c>
    </row>
    <row r="27" spans="1:20" ht="18" hidden="1">
      <c r="T27" s="460">
        <f t="shared" si="11"/>
        <v>0</v>
      </c>
    </row>
    <row r="28" spans="1:20" ht="33" hidden="1" customHeight="1">
      <c r="A28" s="917"/>
      <c r="B28" s="917"/>
      <c r="C28" s="917"/>
      <c r="D28" s="917"/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917"/>
      <c r="P28" s="917"/>
      <c r="Q28" s="917"/>
      <c r="T28" s="460">
        <f t="shared" si="11"/>
        <v>0</v>
      </c>
    </row>
    <row r="29" spans="1:20" ht="19.5" hidden="1" customHeight="1">
      <c r="A29" s="918"/>
      <c r="B29" s="918"/>
      <c r="C29" s="918"/>
      <c r="D29" s="918"/>
      <c r="E29" s="918"/>
      <c r="F29" s="918"/>
      <c r="G29" s="918"/>
      <c r="H29" s="918"/>
      <c r="I29" s="918"/>
      <c r="J29" s="918"/>
      <c r="K29" s="918"/>
      <c r="L29" s="918"/>
      <c r="M29" s="918"/>
      <c r="N29" s="918"/>
      <c r="O29" s="918"/>
      <c r="P29" s="918"/>
      <c r="Q29" s="918"/>
      <c r="T29" s="460">
        <f t="shared" si="11"/>
        <v>0</v>
      </c>
    </row>
    <row r="30" spans="1:20" ht="33" hidden="1" customHeight="1">
      <c r="A30" s="917">
        <f>669/7</f>
        <v>95.571428571428569</v>
      </c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917"/>
      <c r="P30" s="917"/>
      <c r="Q30" s="917"/>
      <c r="T30" s="460">
        <f t="shared" si="11"/>
        <v>0</v>
      </c>
    </row>
    <row r="31" spans="1:20" ht="24.75" hidden="1" customHeight="1">
      <c r="P31" s="464" t="e">
        <f>P15+#REF!+#REF!</f>
        <v>#REF!</v>
      </c>
      <c r="Q31" s="464" t="e">
        <f>Q15+#REF!+#REF!</f>
        <v>#REF!</v>
      </c>
      <c r="R31" s="464" t="e">
        <f>R15+#REF!+#REF!</f>
        <v>#REF!</v>
      </c>
      <c r="T31" s="460" t="e">
        <f t="shared" si="11"/>
        <v>#REF!</v>
      </c>
    </row>
    <row r="32" spans="1:20" ht="24.75" hidden="1" customHeight="1">
      <c r="P32" s="464" t="e">
        <f>P31/3</f>
        <v>#REF!</v>
      </c>
      <c r="Q32" s="464" t="e">
        <f>Q31/3</f>
        <v>#REF!</v>
      </c>
      <c r="T32" s="460" t="e">
        <f t="shared" si="11"/>
        <v>#REF!</v>
      </c>
    </row>
    <row r="33" spans="16:20" ht="24.75" hidden="1" customHeight="1">
      <c r="P33" s="464"/>
      <c r="Q33" s="464"/>
      <c r="T33" s="460">
        <f t="shared" si="11"/>
        <v>0</v>
      </c>
    </row>
    <row r="34" spans="16:20" ht="24.75" hidden="1" customHeight="1">
      <c r="P34" s="465" t="e">
        <f>P14+P11</f>
        <v>#REF!</v>
      </c>
      <c r="Q34" s="465" t="e">
        <f>Q14+Q11</f>
        <v>#REF!</v>
      </c>
      <c r="T34" s="460" t="e">
        <f t="shared" si="11"/>
        <v>#REF!</v>
      </c>
    </row>
    <row r="35" spans="16:20" ht="20.25" hidden="1" customHeight="1">
      <c r="P35" s="465" t="e">
        <f>P34/2</f>
        <v>#REF!</v>
      </c>
      <c r="Q35" s="465" t="e">
        <f>Q34/2</f>
        <v>#REF!</v>
      </c>
      <c r="T35" s="460" t="e">
        <f t="shared" si="11"/>
        <v>#REF!</v>
      </c>
    </row>
    <row r="36" spans="16:20" ht="18" hidden="1">
      <c r="T36" s="460">
        <f t="shared" si="11"/>
        <v>0</v>
      </c>
    </row>
    <row r="37" spans="16:20" ht="18" hidden="1">
      <c r="T37" s="460">
        <f t="shared" si="11"/>
        <v>0</v>
      </c>
    </row>
    <row r="38" spans="16:20" ht="18" hidden="1">
      <c r="P38" s="464"/>
      <c r="Q38" s="464"/>
      <c r="R38" s="464"/>
      <c r="T38" s="460">
        <f t="shared" si="11"/>
        <v>0</v>
      </c>
    </row>
    <row r="39" spans="16:20" ht="18" hidden="1">
      <c r="T39" s="460">
        <f t="shared" si="11"/>
        <v>0</v>
      </c>
    </row>
    <row r="40" spans="16:20" ht="18" hidden="1">
      <c r="T40" s="460">
        <f t="shared" si="11"/>
        <v>0</v>
      </c>
    </row>
    <row r="41" spans="16:20" ht="18" hidden="1">
      <c r="T41" s="460">
        <f t="shared" si="11"/>
        <v>0</v>
      </c>
    </row>
    <row r="42" spans="16:20" ht="18" hidden="1">
      <c r="T42" s="460">
        <f t="shared" si="11"/>
        <v>0</v>
      </c>
    </row>
    <row r="43" spans="16:20" ht="18" hidden="1">
      <c r="T43" s="460">
        <f t="shared" si="11"/>
        <v>0</v>
      </c>
    </row>
    <row r="44" spans="16:20" ht="18" hidden="1">
      <c r="T44" s="460">
        <f t="shared" si="11"/>
        <v>0</v>
      </c>
    </row>
    <row r="45" spans="16:20" ht="18" hidden="1">
      <c r="T45" s="460">
        <f t="shared" si="11"/>
        <v>0</v>
      </c>
    </row>
    <row r="46" spans="16:20" ht="18" hidden="1">
      <c r="P46" s="464"/>
      <c r="Q46" s="464"/>
      <c r="T46" s="460">
        <f t="shared" si="11"/>
        <v>0</v>
      </c>
    </row>
    <row r="47" spans="16:20" ht="18" hidden="1">
      <c r="P47" s="464"/>
      <c r="Q47" s="464"/>
      <c r="T47" s="460">
        <f t="shared" si="11"/>
        <v>0</v>
      </c>
    </row>
    <row r="48" spans="16:20" ht="18" hidden="1">
      <c r="P48" s="464" t="e">
        <f>P10+P12</f>
        <v>#REF!</v>
      </c>
      <c r="Q48" s="464" t="e">
        <f>Q10+Q12</f>
        <v>#REF!</v>
      </c>
      <c r="T48" s="460" t="e">
        <f t="shared" si="11"/>
        <v>#REF!</v>
      </c>
    </row>
    <row r="49" spans="1:20" ht="18" hidden="1">
      <c r="P49" s="585" t="e">
        <f>P48/2</f>
        <v>#REF!</v>
      </c>
      <c r="Q49" s="585" t="e">
        <f>Q48/2</f>
        <v>#REF!</v>
      </c>
      <c r="T49" s="460" t="e">
        <f t="shared" si="11"/>
        <v>#REF!</v>
      </c>
    </row>
    <row r="50" spans="1:20" ht="18" hidden="1">
      <c r="T50" s="460">
        <f t="shared" si="11"/>
        <v>0</v>
      </c>
    </row>
    <row r="51" spans="1:20" ht="18" hidden="1">
      <c r="T51" s="460">
        <f t="shared" si="11"/>
        <v>0</v>
      </c>
    </row>
    <row r="52" spans="1:20" ht="18" hidden="1">
      <c r="T52" s="460">
        <f t="shared" si="11"/>
        <v>0</v>
      </c>
    </row>
    <row r="53" spans="1:20" ht="18" hidden="1">
      <c r="T53" s="460">
        <f t="shared" si="11"/>
        <v>0</v>
      </c>
    </row>
    <row r="54" spans="1:20" ht="18" hidden="1">
      <c r="T54" s="460">
        <f t="shared" si="11"/>
        <v>0</v>
      </c>
    </row>
    <row r="55" spans="1:20" ht="18" hidden="1">
      <c r="T55" s="460">
        <f t="shared" si="11"/>
        <v>0</v>
      </c>
    </row>
    <row r="56" spans="1:20" ht="17.25" customHeight="1">
      <c r="A56" s="631" t="s">
        <v>164</v>
      </c>
      <c r="B56" s="952" t="s">
        <v>169</v>
      </c>
      <c r="C56" s="952"/>
      <c r="D56" s="952"/>
      <c r="E56" s="952"/>
      <c r="F56" s="952"/>
      <c r="G56" s="952"/>
      <c r="H56" s="952"/>
      <c r="I56" s="952"/>
    </row>
    <row r="57" spans="1:20" ht="34.5" customHeight="1">
      <c r="B57" s="951"/>
      <c r="C57" s="951"/>
      <c r="D57" s="951"/>
      <c r="E57" s="951"/>
      <c r="F57" s="630"/>
      <c r="G57" s="630"/>
      <c r="H57" s="514"/>
      <c r="L57" s="464"/>
      <c r="M57" s="464"/>
      <c r="N57" s="464"/>
    </row>
    <row r="58" spans="1:20" ht="23.25" customHeight="1">
      <c r="B58" s="919" t="s">
        <v>67</v>
      </c>
      <c r="C58" s="919"/>
      <c r="D58" s="919"/>
      <c r="E58" s="919"/>
      <c r="F58" s="919"/>
      <c r="G58" s="583"/>
      <c r="H58" s="583"/>
      <c r="I58" s="468"/>
      <c r="J58" s="468"/>
      <c r="K58" s="468"/>
      <c r="L58" s="469"/>
      <c r="M58" s="469"/>
      <c r="N58" s="470"/>
      <c r="O58" s="919" t="s">
        <v>68</v>
      </c>
      <c r="P58" s="919"/>
      <c r="Q58" s="919"/>
      <c r="R58" s="919"/>
    </row>
    <row r="59" spans="1:20" ht="18.75" customHeight="1">
      <c r="B59" s="919" t="s">
        <v>69</v>
      </c>
      <c r="C59" s="919"/>
      <c r="D59" s="919"/>
      <c r="E59" s="919"/>
      <c r="F59" s="919"/>
      <c r="G59" s="583"/>
      <c r="H59" s="583"/>
      <c r="I59" s="468"/>
      <c r="J59" s="468"/>
      <c r="K59" s="468"/>
      <c r="L59" s="469"/>
      <c r="M59" s="469"/>
      <c r="N59" s="470"/>
      <c r="O59" s="919" t="s">
        <v>87</v>
      </c>
      <c r="P59" s="919"/>
      <c r="Q59" s="919"/>
      <c r="R59" s="919"/>
    </row>
    <row r="60" spans="1:20" ht="18.75">
      <c r="B60" s="475"/>
      <c r="C60" s="471"/>
      <c r="D60" s="471"/>
      <c r="E60" s="583"/>
      <c r="F60" s="472"/>
      <c r="G60" s="470"/>
      <c r="H60" s="916" t="s">
        <v>70</v>
      </c>
      <c r="I60" s="916"/>
      <c r="J60" s="916"/>
      <c r="K60" s="916"/>
      <c r="L60" s="469"/>
      <c r="M60" s="469"/>
      <c r="N60" s="468"/>
      <c r="O60" s="469"/>
      <c r="P60" s="469"/>
      <c r="Q60" s="469"/>
      <c r="R60" s="473"/>
    </row>
    <row r="61" spans="1:20" ht="18.75">
      <c r="B61" s="475"/>
      <c r="C61" s="471"/>
      <c r="D61" s="471"/>
      <c r="E61" s="583"/>
      <c r="F61" s="472"/>
      <c r="G61" s="470"/>
      <c r="H61" s="916" t="s">
        <v>71</v>
      </c>
      <c r="I61" s="916"/>
      <c r="J61" s="916"/>
      <c r="K61" s="916"/>
      <c r="L61" s="469"/>
      <c r="M61" s="469"/>
      <c r="N61" s="468"/>
      <c r="O61" s="473"/>
      <c r="P61" s="473"/>
      <c r="Q61" s="473"/>
      <c r="R61" s="473"/>
    </row>
    <row r="66" spans="7:10" ht="18">
      <c r="G66" s="476"/>
      <c r="H66" s="476"/>
    </row>
    <row r="68" spans="7:10">
      <c r="J68" s="474"/>
    </row>
    <row r="73" spans="7:10">
      <c r="J73" s="585">
        <v>113.52</v>
      </c>
    </row>
  </sheetData>
  <mergeCells count="27"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  <mergeCell ref="H60:K60"/>
    <mergeCell ref="H61:K61"/>
    <mergeCell ref="A28:Q28"/>
    <mergeCell ref="A29:Q29"/>
    <mergeCell ref="A30:Q30"/>
    <mergeCell ref="B58:F58"/>
    <mergeCell ref="O58:R58"/>
    <mergeCell ref="B59:F59"/>
    <mergeCell ref="O59:R59"/>
    <mergeCell ref="B57:E57"/>
    <mergeCell ref="B56:I56"/>
  </mergeCells>
  <printOptions horizontalCentered="1"/>
  <pageMargins left="0" right="0" top="0.25" bottom="0" header="0.19" footer="0.5"/>
  <pageSetup paperSize="9" scale="64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view="pageBreakPreview" topLeftCell="A10" zoomScale="80" zoomScaleSheetLayoutView="80" workbookViewId="0">
      <selection activeCell="I34" activeCellId="1" sqref="I34 L36"/>
    </sheetView>
  </sheetViews>
  <sheetFormatPr defaultRowHeight="12.75"/>
  <cols>
    <col min="1" max="1" width="5.140625" style="477" customWidth="1"/>
    <col min="2" max="2" width="18.5703125" style="478" customWidth="1"/>
    <col min="3" max="3" width="9.28515625" style="479" customWidth="1"/>
    <col min="4" max="4" width="10.28515625" style="479" customWidth="1"/>
    <col min="5" max="5" width="17.42578125" style="479" customWidth="1"/>
    <col min="6" max="6" width="11.42578125" style="479" customWidth="1"/>
    <col min="7" max="7" width="12.7109375" style="479" customWidth="1"/>
    <col min="8" max="8" width="16.42578125" style="479" customWidth="1"/>
    <col min="9" max="10" width="16.42578125" style="479" hidden="1" customWidth="1"/>
    <col min="11" max="11" width="16.140625" style="480" customWidth="1"/>
    <col min="12" max="12" width="13.28515625" style="480" customWidth="1"/>
    <col min="13" max="13" width="14" style="480" customWidth="1"/>
    <col min="14" max="14" width="12.5703125" style="480" customWidth="1"/>
    <col min="15" max="15" width="12.140625" style="480" customWidth="1"/>
    <col min="16" max="16" width="15.140625" style="480" customWidth="1"/>
    <col min="17" max="18" width="14.42578125" style="480" customWidth="1"/>
    <col min="19" max="19" width="14.140625" style="480" customWidth="1"/>
    <col min="20" max="20" width="21" style="480" hidden="1" customWidth="1"/>
    <col min="21" max="16384" width="9.140625" style="480"/>
  </cols>
  <sheetData>
    <row r="1" spans="1:22" hidden="1"/>
    <row r="2" spans="1:22" ht="9.75" hidden="1" customHeight="1"/>
    <row r="3" spans="1:22" ht="9.75" hidden="1" customHeight="1"/>
    <row r="4" spans="1:22" ht="9.75" hidden="1" customHeight="1"/>
    <row r="5" spans="1:22" ht="7.5" hidden="1" customHeight="1"/>
    <row r="6" spans="1:22" ht="35.25" customHeight="1">
      <c r="A6" s="921" t="s">
        <v>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</row>
    <row r="7" spans="1:22" ht="16.5" customHeight="1">
      <c r="A7" s="922" t="s">
        <v>117</v>
      </c>
      <c r="B7" s="922"/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  <c r="R7" s="922"/>
      <c r="S7" s="922"/>
    </row>
    <row r="8" spans="1:22" s="585" customFormat="1" ht="18.75" customHeight="1">
      <c r="A8" s="903" t="s">
        <v>162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  <c r="R8" s="903"/>
      <c r="S8" s="903"/>
    </row>
    <row r="9" spans="1:22" s="585" customFormat="1" ht="12" hidden="1" customHeight="1">
      <c r="A9" s="581"/>
      <c r="B9" s="482"/>
      <c r="C9" s="483"/>
      <c r="D9" s="483"/>
      <c r="E9" s="483"/>
      <c r="F9" s="483"/>
      <c r="G9" s="483"/>
      <c r="H9" s="483"/>
      <c r="I9" s="483"/>
      <c r="J9" s="483"/>
      <c r="K9" s="581"/>
      <c r="L9" s="581"/>
      <c r="M9" s="581"/>
      <c r="N9" s="581"/>
      <c r="O9" s="581"/>
      <c r="P9" s="581"/>
      <c r="Q9" s="581"/>
      <c r="R9" s="581"/>
      <c r="S9" s="581"/>
    </row>
    <row r="10" spans="1:22" ht="12" customHeight="1">
      <c r="A10" s="923"/>
      <c r="B10" s="923"/>
      <c r="C10" s="923"/>
      <c r="D10" s="923"/>
      <c r="E10" s="484"/>
      <c r="F10" s="484"/>
      <c r="G10" s="484"/>
      <c r="H10" s="484"/>
      <c r="I10" s="484"/>
      <c r="J10" s="484"/>
      <c r="K10" s="580"/>
      <c r="L10" s="580"/>
      <c r="M10" s="580"/>
      <c r="N10" s="580"/>
      <c r="O10" s="580"/>
      <c r="P10" s="580"/>
      <c r="Q10" s="580"/>
      <c r="R10" s="580"/>
      <c r="S10" s="580"/>
    </row>
    <row r="11" spans="1:22" s="450" customFormat="1" ht="14.25" customHeight="1">
      <c r="A11" s="924" t="s">
        <v>2</v>
      </c>
      <c r="B11" s="925" t="s">
        <v>38</v>
      </c>
      <c r="C11" s="924" t="s">
        <v>4</v>
      </c>
      <c r="D11" s="924" t="s">
        <v>5</v>
      </c>
      <c r="E11" s="956" t="s">
        <v>6</v>
      </c>
      <c r="F11" s="957" t="s">
        <v>7</v>
      </c>
      <c r="G11" s="906" t="s">
        <v>39</v>
      </c>
      <c r="H11" s="906"/>
      <c r="I11" s="906"/>
      <c r="J11" s="906"/>
      <c r="K11" s="906"/>
      <c r="L11" s="906" t="s">
        <v>161</v>
      </c>
      <c r="M11" s="906"/>
      <c r="N11" s="906"/>
      <c r="O11" s="906"/>
      <c r="P11" s="906" t="s">
        <v>139</v>
      </c>
      <c r="Q11" s="906"/>
      <c r="R11" s="906"/>
      <c r="S11" s="906"/>
    </row>
    <row r="12" spans="1:22" s="450" customFormat="1" ht="106.5" customHeight="1">
      <c r="A12" s="924"/>
      <c r="B12" s="926"/>
      <c r="C12" s="924"/>
      <c r="D12" s="924"/>
      <c r="E12" s="956"/>
      <c r="F12" s="957"/>
      <c r="G12" s="593" t="s">
        <v>9</v>
      </c>
      <c r="H12" s="593" t="s">
        <v>10</v>
      </c>
      <c r="I12" s="600"/>
      <c r="J12" s="600"/>
      <c r="K12" s="584" t="s">
        <v>11</v>
      </c>
      <c r="L12" s="584" t="s">
        <v>12</v>
      </c>
      <c r="M12" s="584" t="s">
        <v>13</v>
      </c>
      <c r="N12" s="594" t="s">
        <v>78</v>
      </c>
      <c r="O12" s="594" t="s">
        <v>14</v>
      </c>
      <c r="P12" s="584" t="s">
        <v>140</v>
      </c>
      <c r="Q12" s="584" t="s">
        <v>16</v>
      </c>
      <c r="R12" s="584" t="s">
        <v>141</v>
      </c>
      <c r="S12" s="584" t="s">
        <v>142</v>
      </c>
    </row>
    <row r="13" spans="1:22" s="448" customFormat="1" ht="14.25" customHeight="1">
      <c r="A13" s="587">
        <v>1</v>
      </c>
      <c r="B13" s="587" t="s">
        <v>40</v>
      </c>
      <c r="C13" s="548">
        <v>3</v>
      </c>
      <c r="D13" s="548">
        <v>4</v>
      </c>
      <c r="E13" s="548">
        <v>5</v>
      </c>
      <c r="F13" s="587" t="s">
        <v>19</v>
      </c>
      <c r="G13" s="548">
        <v>6</v>
      </c>
      <c r="H13" s="548">
        <v>7</v>
      </c>
      <c r="I13" s="548"/>
      <c r="J13" s="548"/>
      <c r="K13" s="587" t="s">
        <v>20</v>
      </c>
      <c r="L13" s="587" t="s">
        <v>21</v>
      </c>
      <c r="M13" s="549" t="s">
        <v>22</v>
      </c>
      <c r="N13" s="595" t="s">
        <v>23</v>
      </c>
      <c r="O13" s="595" t="s">
        <v>24</v>
      </c>
      <c r="P13" s="587">
        <v>13</v>
      </c>
      <c r="Q13" s="587" t="s">
        <v>25</v>
      </c>
      <c r="R13" s="587">
        <v>15</v>
      </c>
      <c r="S13" s="587">
        <v>16</v>
      </c>
    </row>
    <row r="14" spans="1:22" s="330" customFormat="1" ht="24.95" customHeight="1">
      <c r="A14" s="228">
        <v>1</v>
      </c>
      <c r="B14" s="229" t="s">
        <v>41</v>
      </c>
      <c r="C14" s="611">
        <v>1</v>
      </c>
      <c r="D14" s="611">
        <v>1</v>
      </c>
      <c r="E14" s="555">
        <v>1.45</v>
      </c>
      <c r="F14" s="592" t="e">
        <f>E14+'Jan ANX II  '!F14</f>
        <v>#REF!</v>
      </c>
      <c r="G14" s="555">
        <v>12.2</v>
      </c>
      <c r="H14" s="555">
        <v>2.0499999999999998</v>
      </c>
      <c r="I14" s="530"/>
      <c r="J14" s="530"/>
      <c r="K14" s="531">
        <f>G14+H14</f>
        <v>14.25</v>
      </c>
      <c r="L14" s="531">
        <f t="shared" ref="L14:L39" si="0">E14+K14</f>
        <v>15.7</v>
      </c>
      <c r="M14" s="531">
        <f t="shared" ref="M14:M39" si="1">L14/C14</f>
        <v>15.7</v>
      </c>
      <c r="N14" s="596">
        <f t="shared" ref="N14:N39" si="2">+(((C14*24)*28)-K14)*100/((C14*24)*28)</f>
        <v>97.879464285714292</v>
      </c>
      <c r="O14" s="596">
        <f t="shared" ref="O14:O39" si="3">+(((C14*24)*28)-L14)*100/((C14*24)*28)</f>
        <v>97.663690476190482</v>
      </c>
      <c r="P14" s="596" t="e">
        <f>L14+'Jan ANX II  '!N14</f>
        <v>#REF!</v>
      </c>
      <c r="Q14" s="532" t="e">
        <f t="shared" ref="Q14:Q39" si="4">P14/C14</f>
        <v>#REF!</v>
      </c>
      <c r="R14" s="596" t="e">
        <f t="shared" ref="R14:R39" si="5">((C14*24*334)-(P14-E14))*100/(C14*24*334)</f>
        <v>#REF!</v>
      </c>
      <c r="S14" s="596" t="e">
        <f t="shared" ref="S14:S39" si="6">((C14*24*334)-(P14))*100/(C14*24*334)</f>
        <v>#REF!</v>
      </c>
      <c r="T14" s="265"/>
      <c r="U14" s="265" t="e">
        <f>N14-R14</f>
        <v>#REF!</v>
      </c>
      <c r="V14" s="265" t="e">
        <f>O14-S14</f>
        <v>#REF!</v>
      </c>
    </row>
    <row r="15" spans="1:22" s="330" customFormat="1" ht="24.95" customHeight="1">
      <c r="A15" s="228">
        <v>2</v>
      </c>
      <c r="B15" s="229" t="s">
        <v>42</v>
      </c>
      <c r="C15" s="611">
        <v>1</v>
      </c>
      <c r="D15" s="611">
        <v>1</v>
      </c>
      <c r="E15" s="555">
        <v>6.35</v>
      </c>
      <c r="F15" s="592" t="e">
        <f>E15+'Jan ANX II  '!F15</f>
        <v>#REF!</v>
      </c>
      <c r="G15" s="555">
        <v>23.55</v>
      </c>
      <c r="H15" s="555">
        <v>0.1</v>
      </c>
      <c r="I15" s="530"/>
      <c r="J15" s="530"/>
      <c r="K15" s="531">
        <f t="shared" ref="K15:K39" si="7">G15+H15</f>
        <v>23.650000000000002</v>
      </c>
      <c r="L15" s="531">
        <f t="shared" si="0"/>
        <v>30</v>
      </c>
      <c r="M15" s="531">
        <f t="shared" si="1"/>
        <v>30</v>
      </c>
      <c r="N15" s="596">
        <f t="shared" si="2"/>
        <v>96.480654761904759</v>
      </c>
      <c r="O15" s="596">
        <f t="shared" si="3"/>
        <v>95.535714285714292</v>
      </c>
      <c r="P15" s="596" t="e">
        <f>L15+'Jan ANX II  '!N15</f>
        <v>#REF!</v>
      </c>
      <c r="Q15" s="532" t="e">
        <f t="shared" si="4"/>
        <v>#REF!</v>
      </c>
      <c r="R15" s="596" t="e">
        <f t="shared" si="5"/>
        <v>#REF!</v>
      </c>
      <c r="S15" s="596" t="e">
        <f t="shared" si="6"/>
        <v>#REF!</v>
      </c>
      <c r="T15" s="265"/>
      <c r="U15" s="265" t="e">
        <f t="shared" ref="U15:V39" si="8">N15-R15</f>
        <v>#REF!</v>
      </c>
      <c r="V15" s="265" t="e">
        <f t="shared" si="8"/>
        <v>#REF!</v>
      </c>
    </row>
    <row r="16" spans="1:22" s="330" customFormat="1" ht="24.95" customHeight="1">
      <c r="A16" s="228">
        <v>3</v>
      </c>
      <c r="B16" s="229" t="s">
        <v>43</v>
      </c>
      <c r="C16" s="611">
        <v>11</v>
      </c>
      <c r="D16" s="611">
        <v>11</v>
      </c>
      <c r="E16" s="555">
        <v>0.35</v>
      </c>
      <c r="F16" s="592" t="e">
        <f>E16+'Jan ANX II  '!F16</f>
        <v>#REF!</v>
      </c>
      <c r="G16" s="555">
        <v>91.110000000000014</v>
      </c>
      <c r="H16" s="555">
        <v>26.55</v>
      </c>
      <c r="I16" s="530"/>
      <c r="J16" s="530"/>
      <c r="K16" s="531">
        <f t="shared" si="7"/>
        <v>117.66000000000001</v>
      </c>
      <c r="L16" s="531">
        <f t="shared" si="0"/>
        <v>118.01</v>
      </c>
      <c r="M16" s="531">
        <f t="shared" si="1"/>
        <v>10.728181818181818</v>
      </c>
      <c r="N16" s="596">
        <f t="shared" si="2"/>
        <v>98.408279220779221</v>
      </c>
      <c r="O16" s="596">
        <f t="shared" si="3"/>
        <v>98.403544372294377</v>
      </c>
      <c r="P16" s="596" t="e">
        <f>L16+'Jan ANX II  '!N16</f>
        <v>#REF!</v>
      </c>
      <c r="Q16" s="532" t="e">
        <f t="shared" si="4"/>
        <v>#REF!</v>
      </c>
      <c r="R16" s="596" t="e">
        <f t="shared" si="5"/>
        <v>#REF!</v>
      </c>
      <c r="S16" s="596" t="e">
        <f t="shared" si="6"/>
        <v>#REF!</v>
      </c>
      <c r="T16" s="265"/>
      <c r="U16" s="265" t="e">
        <f t="shared" si="8"/>
        <v>#REF!</v>
      </c>
      <c r="V16" s="265" t="e">
        <f t="shared" si="8"/>
        <v>#REF!</v>
      </c>
    </row>
    <row r="17" spans="1:22" s="330" customFormat="1" ht="24.95" customHeight="1">
      <c r="A17" s="228">
        <v>4</v>
      </c>
      <c r="B17" s="229" t="s">
        <v>73</v>
      </c>
      <c r="C17" s="611">
        <v>2</v>
      </c>
      <c r="D17" s="611">
        <v>2</v>
      </c>
      <c r="E17" s="555">
        <v>1.05</v>
      </c>
      <c r="F17" s="592" t="e">
        <f>E17+'Jan ANX II  '!F17</f>
        <v>#REF!</v>
      </c>
      <c r="G17" s="555">
        <v>42.25</v>
      </c>
      <c r="H17" s="555">
        <v>3.2</v>
      </c>
      <c r="I17" s="530"/>
      <c r="J17" s="530"/>
      <c r="K17" s="531">
        <f t="shared" si="7"/>
        <v>45.45</v>
      </c>
      <c r="L17" s="531">
        <f t="shared" si="0"/>
        <v>46.5</v>
      </c>
      <c r="M17" s="531">
        <f t="shared" si="1"/>
        <v>23.25</v>
      </c>
      <c r="N17" s="596">
        <f t="shared" si="2"/>
        <v>96.618303571428569</v>
      </c>
      <c r="O17" s="596">
        <f t="shared" si="3"/>
        <v>96.540178571428569</v>
      </c>
      <c r="P17" s="596" t="e">
        <f>L17+'Jan ANX II  '!N17</f>
        <v>#REF!</v>
      </c>
      <c r="Q17" s="532" t="e">
        <f t="shared" si="4"/>
        <v>#REF!</v>
      </c>
      <c r="R17" s="596" t="e">
        <f t="shared" si="5"/>
        <v>#REF!</v>
      </c>
      <c r="S17" s="596" t="e">
        <f t="shared" si="6"/>
        <v>#REF!</v>
      </c>
      <c r="T17" s="265"/>
      <c r="U17" s="265" t="e">
        <f>N17-R17</f>
        <v>#REF!</v>
      </c>
      <c r="V17" s="265" t="e">
        <f>O17-S17</f>
        <v>#REF!</v>
      </c>
    </row>
    <row r="18" spans="1:22" s="330" customFormat="1" ht="24.95" customHeight="1">
      <c r="A18" s="228">
        <v>5</v>
      </c>
      <c r="B18" s="229" t="s">
        <v>79</v>
      </c>
      <c r="C18" s="611">
        <v>4</v>
      </c>
      <c r="D18" s="611">
        <v>4</v>
      </c>
      <c r="E18" s="555">
        <v>0.15</v>
      </c>
      <c r="F18" s="592" t="e">
        <f>E18+'Jan ANX II  '!F18</f>
        <v>#REF!</v>
      </c>
      <c r="G18" s="555">
        <v>27.35</v>
      </c>
      <c r="H18" s="555">
        <v>1.3</v>
      </c>
      <c r="I18" s="530"/>
      <c r="J18" s="530"/>
      <c r="K18" s="531">
        <f t="shared" si="7"/>
        <v>28.650000000000002</v>
      </c>
      <c r="L18" s="531">
        <f t="shared" si="0"/>
        <v>28.8</v>
      </c>
      <c r="M18" s="531">
        <f t="shared" si="1"/>
        <v>7.2</v>
      </c>
      <c r="N18" s="596">
        <f t="shared" si="2"/>
        <v>98.934151785714292</v>
      </c>
      <c r="O18" s="596">
        <f t="shared" si="3"/>
        <v>98.928571428571431</v>
      </c>
      <c r="P18" s="596" t="e">
        <f>L18+'Jan ANX II  '!N18</f>
        <v>#REF!</v>
      </c>
      <c r="Q18" s="532" t="e">
        <f t="shared" si="4"/>
        <v>#REF!</v>
      </c>
      <c r="R18" s="596" t="e">
        <f t="shared" si="5"/>
        <v>#REF!</v>
      </c>
      <c r="S18" s="596" t="e">
        <f t="shared" si="6"/>
        <v>#REF!</v>
      </c>
      <c r="T18" s="265"/>
      <c r="U18" s="265" t="e">
        <f>N18-R18</f>
        <v>#REF!</v>
      </c>
      <c r="V18" s="265" t="e">
        <f>O18-S18</f>
        <v>#REF!</v>
      </c>
    </row>
    <row r="19" spans="1:22" s="330" customFormat="1" ht="24.95" customHeight="1">
      <c r="A19" s="228">
        <v>6</v>
      </c>
      <c r="B19" s="229" t="s">
        <v>80</v>
      </c>
      <c r="C19" s="611">
        <v>1</v>
      </c>
      <c r="D19" s="611">
        <v>1</v>
      </c>
      <c r="E19" s="555">
        <v>5</v>
      </c>
      <c r="F19" s="592" t="e">
        <f>E19+'Jan ANX II  '!F19</f>
        <v>#REF!</v>
      </c>
      <c r="G19" s="555">
        <v>21.33</v>
      </c>
      <c r="H19" s="555">
        <v>13.38</v>
      </c>
      <c r="I19" s="530"/>
      <c r="J19" s="530"/>
      <c r="K19" s="531">
        <f t="shared" si="7"/>
        <v>34.71</v>
      </c>
      <c r="L19" s="531">
        <f t="shared" si="0"/>
        <v>39.71</v>
      </c>
      <c r="M19" s="531">
        <f t="shared" si="1"/>
        <v>39.71</v>
      </c>
      <c r="N19" s="596">
        <f t="shared" si="2"/>
        <v>94.834821428571431</v>
      </c>
      <c r="O19" s="596">
        <f t="shared" si="3"/>
        <v>94.09077380952381</v>
      </c>
      <c r="P19" s="596" t="e">
        <f>L19+'Jan ANX II  '!N19</f>
        <v>#REF!</v>
      </c>
      <c r="Q19" s="532" t="e">
        <f t="shared" si="4"/>
        <v>#REF!</v>
      </c>
      <c r="R19" s="596" t="e">
        <f t="shared" si="5"/>
        <v>#REF!</v>
      </c>
      <c r="S19" s="596" t="e">
        <f t="shared" si="6"/>
        <v>#REF!</v>
      </c>
      <c r="T19" s="265"/>
      <c r="U19" s="265" t="e">
        <f t="shared" si="8"/>
        <v>#REF!</v>
      </c>
      <c r="V19" s="265" t="e">
        <f t="shared" si="8"/>
        <v>#REF!</v>
      </c>
    </row>
    <row r="20" spans="1:22" s="330" customFormat="1" ht="24.95" customHeight="1">
      <c r="A20" s="228">
        <v>7</v>
      </c>
      <c r="B20" s="229" t="s">
        <v>74</v>
      </c>
      <c r="C20" s="611">
        <v>2</v>
      </c>
      <c r="D20" s="611">
        <v>2</v>
      </c>
      <c r="E20" s="555">
        <v>10.199999999999999</v>
      </c>
      <c r="F20" s="592" t="e">
        <f>E20+'Jan ANX II  '!F20</f>
        <v>#REF!</v>
      </c>
      <c r="G20" s="555">
        <v>46.47</v>
      </c>
      <c r="H20" s="555">
        <v>38.4</v>
      </c>
      <c r="I20" s="530"/>
      <c r="J20" s="530"/>
      <c r="K20" s="531">
        <f t="shared" si="7"/>
        <v>84.87</v>
      </c>
      <c r="L20" s="531">
        <f t="shared" si="0"/>
        <v>95.070000000000007</v>
      </c>
      <c r="M20" s="531">
        <f t="shared" si="1"/>
        <v>47.535000000000004</v>
      </c>
      <c r="N20" s="596">
        <f t="shared" si="2"/>
        <v>93.685267857142861</v>
      </c>
      <c r="O20" s="596">
        <f t="shared" si="3"/>
        <v>92.926339285714292</v>
      </c>
      <c r="P20" s="596" t="e">
        <f>L20+'Jan ANX II  '!N20</f>
        <v>#REF!</v>
      </c>
      <c r="Q20" s="532" t="e">
        <f t="shared" si="4"/>
        <v>#REF!</v>
      </c>
      <c r="R20" s="596" t="e">
        <f t="shared" si="5"/>
        <v>#REF!</v>
      </c>
      <c r="S20" s="596" t="e">
        <f t="shared" si="6"/>
        <v>#REF!</v>
      </c>
      <c r="T20" s="265"/>
      <c r="U20" s="265" t="e">
        <f t="shared" si="8"/>
        <v>#REF!</v>
      </c>
      <c r="V20" s="265" t="e">
        <f t="shared" si="8"/>
        <v>#REF!</v>
      </c>
    </row>
    <row r="21" spans="1:22" s="330" customFormat="1" ht="24.95" customHeight="1">
      <c r="A21" s="228">
        <v>8</v>
      </c>
      <c r="B21" s="229" t="s">
        <v>44</v>
      </c>
      <c r="C21" s="611">
        <v>3</v>
      </c>
      <c r="D21" s="611">
        <v>3</v>
      </c>
      <c r="E21" s="555">
        <v>13.171269906940404</v>
      </c>
      <c r="F21" s="592" t="e">
        <f>E21+'Jan ANX II  '!F21</f>
        <v>#REF!</v>
      </c>
      <c r="G21" s="555">
        <v>13.15</v>
      </c>
      <c r="H21" s="555">
        <v>2.2000000000000002</v>
      </c>
      <c r="I21" s="530"/>
      <c r="J21" s="530"/>
      <c r="K21" s="531">
        <f t="shared" si="7"/>
        <v>15.350000000000001</v>
      </c>
      <c r="L21" s="531">
        <f t="shared" si="0"/>
        <v>28.521269906940404</v>
      </c>
      <c r="M21" s="531">
        <f t="shared" si="1"/>
        <v>9.507089968980134</v>
      </c>
      <c r="N21" s="596">
        <f t="shared" si="2"/>
        <v>99.238591269841265</v>
      </c>
      <c r="O21" s="596">
        <f t="shared" si="3"/>
        <v>98.585254468901752</v>
      </c>
      <c r="P21" s="596" t="e">
        <f>L21+'Jan ANX II  '!N21</f>
        <v>#REF!</v>
      </c>
      <c r="Q21" s="532" t="e">
        <f t="shared" si="4"/>
        <v>#REF!</v>
      </c>
      <c r="R21" s="596" t="e">
        <f t="shared" si="5"/>
        <v>#REF!</v>
      </c>
      <c r="S21" s="596" t="e">
        <f t="shared" si="6"/>
        <v>#REF!</v>
      </c>
      <c r="T21" s="265"/>
      <c r="U21" s="265" t="e">
        <f t="shared" si="8"/>
        <v>#REF!</v>
      </c>
      <c r="V21" s="265" t="e">
        <f t="shared" si="8"/>
        <v>#REF!</v>
      </c>
    </row>
    <row r="22" spans="1:22" s="330" customFormat="1" ht="24.95" customHeight="1">
      <c r="A22" s="228">
        <v>9</v>
      </c>
      <c r="B22" s="229" t="s">
        <v>75</v>
      </c>
      <c r="C22" s="611">
        <v>5</v>
      </c>
      <c r="D22" s="611">
        <v>5</v>
      </c>
      <c r="E22" s="555">
        <v>15.272208665102671</v>
      </c>
      <c r="F22" s="592" t="e">
        <f>E22+'Jan ANX II  '!F22</f>
        <v>#REF!</v>
      </c>
      <c r="G22" s="555">
        <v>9.1300000000000008</v>
      </c>
      <c r="H22" s="555">
        <v>8.18</v>
      </c>
      <c r="I22" s="530"/>
      <c r="J22" s="530"/>
      <c r="K22" s="531">
        <f t="shared" si="7"/>
        <v>17.310000000000002</v>
      </c>
      <c r="L22" s="531">
        <f t="shared" si="0"/>
        <v>32.582208665102669</v>
      </c>
      <c r="M22" s="531">
        <f t="shared" si="1"/>
        <v>6.5164417330205335</v>
      </c>
      <c r="N22" s="596">
        <f t="shared" si="2"/>
        <v>99.484821428571422</v>
      </c>
      <c r="O22" s="596">
        <f t="shared" si="3"/>
        <v>99.030291408776691</v>
      </c>
      <c r="P22" s="596" t="e">
        <f>L22+'Jan ANX II  '!N22</f>
        <v>#REF!</v>
      </c>
      <c r="Q22" s="532" t="e">
        <f t="shared" si="4"/>
        <v>#REF!</v>
      </c>
      <c r="R22" s="596" t="e">
        <f t="shared" si="5"/>
        <v>#REF!</v>
      </c>
      <c r="S22" s="596" t="e">
        <f t="shared" si="6"/>
        <v>#REF!</v>
      </c>
      <c r="T22" s="265"/>
      <c r="U22" s="265" t="e">
        <f t="shared" si="8"/>
        <v>#REF!</v>
      </c>
      <c r="V22" s="265" t="e">
        <f t="shared" si="8"/>
        <v>#REF!</v>
      </c>
    </row>
    <row r="23" spans="1:22" s="330" customFormat="1" ht="24.95" customHeight="1">
      <c r="A23" s="228">
        <v>10</v>
      </c>
      <c r="B23" s="229" t="s">
        <v>76</v>
      </c>
      <c r="C23" s="611">
        <v>1</v>
      </c>
      <c r="D23" s="611">
        <v>1</v>
      </c>
      <c r="E23" s="555">
        <v>2.0894313165812441</v>
      </c>
      <c r="F23" s="592" t="e">
        <f>E23+'Jan ANX II  '!F23</f>
        <v>#REF!</v>
      </c>
      <c r="G23" s="555">
        <v>4.3499999999999996</v>
      </c>
      <c r="H23" s="555">
        <v>0.4</v>
      </c>
      <c r="I23" s="530"/>
      <c r="J23" s="530"/>
      <c r="K23" s="531">
        <f t="shared" si="7"/>
        <v>4.75</v>
      </c>
      <c r="L23" s="531">
        <f t="shared" si="0"/>
        <v>6.8394313165812441</v>
      </c>
      <c r="M23" s="531">
        <f t="shared" si="1"/>
        <v>6.8394313165812441</v>
      </c>
      <c r="N23" s="596">
        <f t="shared" si="2"/>
        <v>99.293154761904759</v>
      </c>
      <c r="O23" s="596">
        <f t="shared" si="3"/>
        <v>98.982227482651609</v>
      </c>
      <c r="P23" s="596" t="e">
        <f>L23+'Jan ANX II  '!N23</f>
        <v>#REF!</v>
      </c>
      <c r="Q23" s="532" t="e">
        <f t="shared" si="4"/>
        <v>#REF!</v>
      </c>
      <c r="R23" s="596" t="e">
        <f t="shared" si="5"/>
        <v>#REF!</v>
      </c>
      <c r="S23" s="596" t="e">
        <f t="shared" si="6"/>
        <v>#REF!</v>
      </c>
      <c r="T23" s="265"/>
      <c r="U23" s="265" t="e">
        <f t="shared" si="8"/>
        <v>#REF!</v>
      </c>
      <c r="V23" s="265" t="e">
        <f t="shared" si="8"/>
        <v>#REF!</v>
      </c>
    </row>
    <row r="24" spans="1:22" s="266" customFormat="1" ht="24.95" customHeight="1">
      <c r="A24" s="228">
        <v>11</v>
      </c>
      <c r="B24" s="229" t="s">
        <v>28</v>
      </c>
      <c r="C24" s="612">
        <v>7</v>
      </c>
      <c r="D24" s="612">
        <v>7</v>
      </c>
      <c r="E24" s="612">
        <v>10.35</v>
      </c>
      <c r="F24" s="592" t="e">
        <f>E24+'Jan ANX II  '!F24</f>
        <v>#REF!</v>
      </c>
      <c r="G24" s="612">
        <v>119.85</v>
      </c>
      <c r="H24" s="612">
        <v>43.8</v>
      </c>
      <c r="I24" s="623">
        <v>120.25</v>
      </c>
      <c r="J24" s="623">
        <v>45.2</v>
      </c>
      <c r="K24" s="531">
        <f t="shared" si="7"/>
        <v>163.64999999999998</v>
      </c>
      <c r="L24" s="531">
        <f t="shared" si="0"/>
        <v>173.99999999999997</v>
      </c>
      <c r="M24" s="531">
        <f t="shared" si="1"/>
        <v>24.857142857142854</v>
      </c>
      <c r="N24" s="596">
        <f t="shared" si="2"/>
        <v>96.521045918367363</v>
      </c>
      <c r="O24" s="596">
        <f t="shared" si="3"/>
        <v>96.301020408163268</v>
      </c>
      <c r="P24" s="596" t="e">
        <f>L24+'Jan ANX II  '!N24</f>
        <v>#REF!</v>
      </c>
      <c r="Q24" s="532" t="e">
        <f t="shared" si="4"/>
        <v>#REF!</v>
      </c>
      <c r="R24" s="596" t="e">
        <f t="shared" si="5"/>
        <v>#REF!</v>
      </c>
      <c r="S24" s="596" t="e">
        <f t="shared" si="6"/>
        <v>#REF!</v>
      </c>
      <c r="T24" s="265"/>
      <c r="U24" s="265" t="e">
        <f t="shared" si="8"/>
        <v>#REF!</v>
      </c>
      <c r="V24" s="265" t="e">
        <f t="shared" si="8"/>
        <v>#REF!</v>
      </c>
    </row>
    <row r="25" spans="1:22" s="266" customFormat="1" ht="24.95" customHeight="1">
      <c r="A25" s="228">
        <v>12</v>
      </c>
      <c r="B25" s="229" t="s">
        <v>45</v>
      </c>
      <c r="C25" s="612">
        <v>11</v>
      </c>
      <c r="D25" s="612">
        <v>11</v>
      </c>
      <c r="E25" s="612">
        <v>13.25</v>
      </c>
      <c r="F25" s="592" t="e">
        <f>E25+'Jan ANX II  '!F25</f>
        <v>#REF!</v>
      </c>
      <c r="G25" s="612">
        <v>125.1</v>
      </c>
      <c r="H25" s="612">
        <v>47.05</v>
      </c>
      <c r="I25" s="533">
        <v>126.5</v>
      </c>
      <c r="J25" s="533">
        <v>48.45</v>
      </c>
      <c r="K25" s="531">
        <f>G25+H25</f>
        <v>172.14999999999998</v>
      </c>
      <c r="L25" s="531">
        <f t="shared" si="0"/>
        <v>185.39999999999998</v>
      </c>
      <c r="M25" s="531">
        <f t="shared" si="1"/>
        <v>16.854545454545452</v>
      </c>
      <c r="N25" s="596">
        <f t="shared" si="2"/>
        <v>97.671130952380949</v>
      </c>
      <c r="O25" s="596">
        <f t="shared" si="3"/>
        <v>97.491883116883116</v>
      </c>
      <c r="P25" s="596" t="e">
        <f>L25+'Jan ANX II  '!N25</f>
        <v>#REF!</v>
      </c>
      <c r="Q25" s="532" t="e">
        <f t="shared" si="4"/>
        <v>#REF!</v>
      </c>
      <c r="R25" s="596" t="e">
        <f t="shared" si="5"/>
        <v>#REF!</v>
      </c>
      <c r="S25" s="596" t="e">
        <f t="shared" si="6"/>
        <v>#REF!</v>
      </c>
      <c r="T25" s="265"/>
      <c r="U25" s="265" t="e">
        <f t="shared" si="8"/>
        <v>#REF!</v>
      </c>
      <c r="V25" s="265" t="e">
        <f t="shared" si="8"/>
        <v>#REF!</v>
      </c>
    </row>
    <row r="26" spans="1:22" s="266" customFormat="1" ht="24.95" customHeight="1">
      <c r="A26" s="228">
        <v>13</v>
      </c>
      <c r="B26" s="229" t="s">
        <v>46</v>
      </c>
      <c r="C26" s="612">
        <v>8</v>
      </c>
      <c r="D26" s="612">
        <v>8</v>
      </c>
      <c r="E26" s="612">
        <v>10.85</v>
      </c>
      <c r="F26" s="592" t="e">
        <f>E26+'Jan ANX II  '!F26</f>
        <v>#REF!</v>
      </c>
      <c r="G26" s="612">
        <v>120.17</v>
      </c>
      <c r="H26" s="612">
        <v>16.809999999999999</v>
      </c>
      <c r="I26" s="533">
        <v>120.57</v>
      </c>
      <c r="J26" s="533">
        <v>17.21</v>
      </c>
      <c r="K26" s="531">
        <f>G26+H26</f>
        <v>136.97999999999999</v>
      </c>
      <c r="L26" s="531">
        <f t="shared" si="0"/>
        <v>147.82999999999998</v>
      </c>
      <c r="M26" s="531">
        <f t="shared" si="1"/>
        <v>18.478749999999998</v>
      </c>
      <c r="N26" s="596">
        <f t="shared" si="2"/>
        <v>97.452008928571445</v>
      </c>
      <c r="O26" s="596">
        <f t="shared" si="3"/>
        <v>97.250186011904759</v>
      </c>
      <c r="P26" s="596" t="e">
        <f>L26+'Jan ANX II  '!N26</f>
        <v>#REF!</v>
      </c>
      <c r="Q26" s="532" t="e">
        <f t="shared" si="4"/>
        <v>#REF!</v>
      </c>
      <c r="R26" s="596" t="e">
        <f t="shared" si="5"/>
        <v>#REF!</v>
      </c>
      <c r="S26" s="596" t="e">
        <f t="shared" si="6"/>
        <v>#REF!</v>
      </c>
      <c r="T26" s="265"/>
      <c r="U26" s="265" t="e">
        <f t="shared" si="8"/>
        <v>#REF!</v>
      </c>
      <c r="V26" s="265" t="e">
        <f t="shared" si="8"/>
        <v>#REF!</v>
      </c>
    </row>
    <row r="27" spans="1:22" s="266" customFormat="1" ht="24.95" customHeight="1">
      <c r="A27" s="228">
        <v>14</v>
      </c>
      <c r="B27" s="229" t="s">
        <v>77</v>
      </c>
      <c r="C27" s="613">
        <v>4</v>
      </c>
      <c r="D27" s="613">
        <v>4</v>
      </c>
      <c r="E27" s="620">
        <v>3.5</v>
      </c>
      <c r="F27" s="592" t="e">
        <f>E27+'Jan ANX II  '!F27</f>
        <v>#REF!</v>
      </c>
      <c r="G27" s="656">
        <v>18.399999999999999</v>
      </c>
      <c r="H27" s="620">
        <v>31.01</v>
      </c>
      <c r="I27" s="535"/>
      <c r="J27" s="535"/>
      <c r="K27" s="531">
        <f t="shared" si="7"/>
        <v>49.41</v>
      </c>
      <c r="L27" s="531">
        <f t="shared" si="0"/>
        <v>52.91</v>
      </c>
      <c r="M27" s="531">
        <f t="shared" si="1"/>
        <v>13.227499999999999</v>
      </c>
      <c r="N27" s="596">
        <f t="shared" si="2"/>
        <v>98.161830357142861</v>
      </c>
      <c r="O27" s="596">
        <f t="shared" si="3"/>
        <v>98.031622023809518</v>
      </c>
      <c r="P27" s="596" t="e">
        <f>L27+'Jan ANX II  '!N27</f>
        <v>#REF!</v>
      </c>
      <c r="Q27" s="532" t="e">
        <f t="shared" si="4"/>
        <v>#REF!</v>
      </c>
      <c r="R27" s="596" t="e">
        <f t="shared" si="5"/>
        <v>#REF!</v>
      </c>
      <c r="S27" s="596" t="e">
        <f t="shared" si="6"/>
        <v>#REF!</v>
      </c>
      <c r="T27" s="265"/>
      <c r="U27" s="265" t="e">
        <f>N27-R27</f>
        <v>#REF!</v>
      </c>
      <c r="V27" s="265" t="e">
        <f>O27-S27</f>
        <v>#REF!</v>
      </c>
    </row>
    <row r="28" spans="1:22" s="266" customFormat="1" ht="24.95" customHeight="1">
      <c r="A28" s="228">
        <v>15</v>
      </c>
      <c r="B28" s="229" t="s">
        <v>47</v>
      </c>
      <c r="C28" s="614">
        <v>30</v>
      </c>
      <c r="D28" s="614">
        <v>30</v>
      </c>
      <c r="E28" s="621">
        <v>192</v>
      </c>
      <c r="F28" s="592" t="e">
        <f>E28+'Jan ANX II  '!F28</f>
        <v>#REF!</v>
      </c>
      <c r="G28" s="657">
        <v>73</v>
      </c>
      <c r="H28" s="621">
        <v>113</v>
      </c>
      <c r="I28" s="538"/>
      <c r="J28" s="538"/>
      <c r="K28" s="531">
        <f t="shared" si="7"/>
        <v>186</v>
      </c>
      <c r="L28" s="531">
        <f t="shared" si="0"/>
        <v>378</v>
      </c>
      <c r="M28" s="531">
        <f t="shared" si="1"/>
        <v>12.6</v>
      </c>
      <c r="N28" s="596">
        <f t="shared" si="2"/>
        <v>99.077380952380949</v>
      </c>
      <c r="O28" s="596">
        <f t="shared" si="3"/>
        <v>98.125</v>
      </c>
      <c r="P28" s="596" t="e">
        <f>L28+'Jan ANX II  '!N28</f>
        <v>#REF!</v>
      </c>
      <c r="Q28" s="532" t="e">
        <f t="shared" si="4"/>
        <v>#REF!</v>
      </c>
      <c r="R28" s="596" t="e">
        <f t="shared" si="5"/>
        <v>#REF!</v>
      </c>
      <c r="S28" s="596" t="e">
        <f t="shared" si="6"/>
        <v>#REF!</v>
      </c>
      <c r="T28" s="265"/>
      <c r="U28" s="265" t="e">
        <f t="shared" si="8"/>
        <v>#REF!</v>
      </c>
      <c r="V28" s="265" t="e">
        <f t="shared" si="8"/>
        <v>#REF!</v>
      </c>
    </row>
    <row r="29" spans="1:22" s="266" customFormat="1" ht="24.95" customHeight="1">
      <c r="A29" s="228">
        <v>16</v>
      </c>
      <c r="B29" s="229" t="s">
        <v>48</v>
      </c>
      <c r="C29" s="615">
        <v>15</v>
      </c>
      <c r="D29" s="615">
        <v>15</v>
      </c>
      <c r="E29" s="620">
        <v>77.55</v>
      </c>
      <c r="F29" s="592" t="e">
        <f>E29+'Jan ANX II  '!F29</f>
        <v>#REF!</v>
      </c>
      <c r="G29" s="656">
        <v>112.36</v>
      </c>
      <c r="H29" s="620">
        <v>123.1</v>
      </c>
      <c r="I29" s="535"/>
      <c r="J29" s="535"/>
      <c r="K29" s="531">
        <f t="shared" si="7"/>
        <v>235.45999999999998</v>
      </c>
      <c r="L29" s="531">
        <f t="shared" si="0"/>
        <v>313.01</v>
      </c>
      <c r="M29" s="531">
        <f t="shared" si="1"/>
        <v>20.867333333333331</v>
      </c>
      <c r="N29" s="596">
        <f t="shared" si="2"/>
        <v>97.664087301587315</v>
      </c>
      <c r="O29" s="596">
        <f t="shared" si="3"/>
        <v>96.89474206349206</v>
      </c>
      <c r="P29" s="596" t="e">
        <f>L29+'Jan ANX II  '!N29</f>
        <v>#REF!</v>
      </c>
      <c r="Q29" s="532" t="e">
        <f t="shared" si="4"/>
        <v>#REF!</v>
      </c>
      <c r="R29" s="596" t="e">
        <f t="shared" si="5"/>
        <v>#REF!</v>
      </c>
      <c r="S29" s="596" t="e">
        <f t="shared" si="6"/>
        <v>#REF!</v>
      </c>
      <c r="T29" s="265"/>
      <c r="U29" s="265" t="e">
        <f t="shared" si="8"/>
        <v>#REF!</v>
      </c>
      <c r="V29" s="265" t="e">
        <f t="shared" si="8"/>
        <v>#REF!</v>
      </c>
    </row>
    <row r="30" spans="1:22" s="266" customFormat="1" ht="24.95" customHeight="1">
      <c r="A30" s="228">
        <v>17</v>
      </c>
      <c r="B30" s="229" t="s">
        <v>63</v>
      </c>
      <c r="C30" s="613">
        <v>12</v>
      </c>
      <c r="D30" s="613">
        <v>12</v>
      </c>
      <c r="E30" s="622">
        <v>46.45</v>
      </c>
      <c r="F30" s="592" t="e">
        <f>E30+'Jan ANX II  '!F30</f>
        <v>#REF!</v>
      </c>
      <c r="G30" s="658">
        <v>163.55000000000001</v>
      </c>
      <c r="H30" s="622">
        <v>58.68</v>
      </c>
      <c r="I30" s="541"/>
      <c r="J30" s="541"/>
      <c r="K30" s="531">
        <f t="shared" si="7"/>
        <v>222.23000000000002</v>
      </c>
      <c r="L30" s="531">
        <f t="shared" si="0"/>
        <v>268.68</v>
      </c>
      <c r="M30" s="531">
        <f t="shared" si="1"/>
        <v>22.39</v>
      </c>
      <c r="N30" s="596">
        <f t="shared" si="2"/>
        <v>97.244171626984127</v>
      </c>
      <c r="O30" s="596">
        <f t="shared" si="3"/>
        <v>96.668154761904759</v>
      </c>
      <c r="P30" s="596" t="e">
        <f>L30+'Jan ANX II  '!N30</f>
        <v>#REF!</v>
      </c>
      <c r="Q30" s="532" t="e">
        <f t="shared" si="4"/>
        <v>#REF!</v>
      </c>
      <c r="R30" s="596" t="e">
        <f t="shared" si="5"/>
        <v>#REF!</v>
      </c>
      <c r="S30" s="596" t="e">
        <f t="shared" si="6"/>
        <v>#REF!</v>
      </c>
      <c r="T30" s="265"/>
      <c r="U30" s="265" t="e">
        <f t="shared" si="8"/>
        <v>#REF!</v>
      </c>
      <c r="V30" s="265" t="e">
        <f t="shared" si="8"/>
        <v>#REF!</v>
      </c>
    </row>
    <row r="31" spans="1:22" s="266" customFormat="1" ht="24.95" customHeight="1">
      <c r="A31" s="228">
        <v>18</v>
      </c>
      <c r="B31" s="229" t="s">
        <v>50</v>
      </c>
      <c r="C31" s="617">
        <v>50</v>
      </c>
      <c r="D31" s="617">
        <v>50</v>
      </c>
      <c r="E31" s="612">
        <v>38.800000000000011</v>
      </c>
      <c r="F31" s="592" t="e">
        <f>E31+'Jan ANX II  '!F31</f>
        <v>#REF!</v>
      </c>
      <c r="G31" s="555">
        <v>1185.0999999999999</v>
      </c>
      <c r="H31" s="555">
        <v>735</v>
      </c>
      <c r="I31" s="530"/>
      <c r="J31" s="530"/>
      <c r="K31" s="531">
        <f>G31+H31</f>
        <v>1920.1</v>
      </c>
      <c r="L31" s="531">
        <f t="shared" si="0"/>
        <v>1958.8999999999999</v>
      </c>
      <c r="M31" s="531">
        <f t="shared" si="1"/>
        <v>39.177999999999997</v>
      </c>
      <c r="N31" s="596">
        <f t="shared" si="2"/>
        <v>94.285416666666663</v>
      </c>
      <c r="O31" s="596">
        <f t="shared" si="3"/>
        <v>94.169940476190476</v>
      </c>
      <c r="P31" s="596" t="e">
        <f>L31+'Jan ANX II  '!N31</f>
        <v>#REF!</v>
      </c>
      <c r="Q31" s="532" t="e">
        <f t="shared" si="4"/>
        <v>#REF!</v>
      </c>
      <c r="R31" s="596" t="e">
        <f t="shared" si="5"/>
        <v>#REF!</v>
      </c>
      <c r="S31" s="596" t="e">
        <f t="shared" si="6"/>
        <v>#REF!</v>
      </c>
      <c r="T31" s="265" t="str">
        <f>'[2]Annexure II'!B8</f>
        <v>Devanahalli</v>
      </c>
      <c r="U31" s="265" t="e">
        <f t="shared" si="8"/>
        <v>#REF!</v>
      </c>
      <c r="V31" s="265" t="e">
        <f t="shared" si="8"/>
        <v>#REF!</v>
      </c>
    </row>
    <row r="32" spans="1:22" s="266" customFormat="1" ht="24.95" customHeight="1">
      <c r="A32" s="228">
        <v>19</v>
      </c>
      <c r="B32" s="229" t="s">
        <v>51</v>
      </c>
      <c r="C32" s="616">
        <v>59</v>
      </c>
      <c r="D32" s="616">
        <v>59</v>
      </c>
      <c r="E32" s="612">
        <v>50.26250000000001</v>
      </c>
      <c r="F32" s="592" t="e">
        <f>E32+'Jan ANX II  '!F32</f>
        <v>#REF!</v>
      </c>
      <c r="G32" s="555">
        <v>1396.4368055555556</v>
      </c>
      <c r="H32" s="555">
        <v>168.55</v>
      </c>
      <c r="I32" s="530"/>
      <c r="J32" s="530"/>
      <c r="K32" s="531">
        <f t="shared" si="7"/>
        <v>1564.9868055555555</v>
      </c>
      <c r="L32" s="531">
        <f t="shared" si="0"/>
        <v>1615.2493055555556</v>
      </c>
      <c r="M32" s="531">
        <f t="shared" si="1"/>
        <v>27.377106873822974</v>
      </c>
      <c r="N32" s="596">
        <f t="shared" si="2"/>
        <v>96.052797605035423</v>
      </c>
      <c r="O32" s="596">
        <f t="shared" si="3"/>
        <v>95.926025762823969</v>
      </c>
      <c r="P32" s="596" t="e">
        <f>L32+'Jan ANX II  '!N32</f>
        <v>#REF!</v>
      </c>
      <c r="Q32" s="532" t="e">
        <f t="shared" si="4"/>
        <v>#REF!</v>
      </c>
      <c r="R32" s="596" t="e">
        <f t="shared" si="5"/>
        <v>#REF!</v>
      </c>
      <c r="S32" s="596" t="e">
        <f t="shared" si="6"/>
        <v>#REF!</v>
      </c>
      <c r="T32" s="265" t="str">
        <f>'[2]Annexure II'!B9</f>
        <v>Hosakote</v>
      </c>
      <c r="U32" s="265" t="e">
        <f t="shared" si="8"/>
        <v>#REF!</v>
      </c>
      <c r="V32" s="265" t="e">
        <f t="shared" si="8"/>
        <v>#REF!</v>
      </c>
    </row>
    <row r="33" spans="1:22" s="266" customFormat="1" ht="24.95" customHeight="1">
      <c r="A33" s="228">
        <v>20</v>
      </c>
      <c r="B33" s="229" t="s">
        <v>52</v>
      </c>
      <c r="C33" s="617">
        <v>48</v>
      </c>
      <c r="D33" s="617">
        <v>48</v>
      </c>
      <c r="E33" s="612">
        <v>243.59</v>
      </c>
      <c r="F33" s="592" t="e">
        <f>E33+'Jan ANX II  '!F33</f>
        <v>#REF!</v>
      </c>
      <c r="G33" s="555">
        <v>558.44000000000005</v>
      </c>
      <c r="H33" s="555">
        <v>214</v>
      </c>
      <c r="I33" s="530"/>
      <c r="J33" s="530"/>
      <c r="K33" s="531">
        <f t="shared" si="7"/>
        <v>772.44</v>
      </c>
      <c r="L33" s="531">
        <f t="shared" si="0"/>
        <v>1016.0300000000001</v>
      </c>
      <c r="M33" s="531">
        <f t="shared" si="1"/>
        <v>21.167291666666667</v>
      </c>
      <c r="N33" s="596">
        <f t="shared" si="2"/>
        <v>97.605282738095241</v>
      </c>
      <c r="O33" s="596">
        <f t="shared" si="3"/>
        <v>96.850105406746039</v>
      </c>
      <c r="P33" s="596" t="e">
        <f>L33+'Jan ANX II  '!N33</f>
        <v>#REF!</v>
      </c>
      <c r="Q33" s="532" t="e">
        <f t="shared" si="4"/>
        <v>#REF!</v>
      </c>
      <c r="R33" s="596" t="e">
        <f t="shared" si="5"/>
        <v>#REF!</v>
      </c>
      <c r="S33" s="596" t="e">
        <f t="shared" si="6"/>
        <v>#REF!</v>
      </c>
      <c r="T33" s="265" t="str">
        <f>'[2]Annexure II'!B10</f>
        <v>Nelamangala</v>
      </c>
      <c r="U33" s="265" t="e">
        <f t="shared" si="8"/>
        <v>#REF!</v>
      </c>
      <c r="V33" s="265" t="e">
        <f t="shared" si="8"/>
        <v>#REF!</v>
      </c>
    </row>
    <row r="34" spans="1:22" s="266" customFormat="1" ht="28.5" customHeight="1">
      <c r="A34" s="228">
        <v>21</v>
      </c>
      <c r="B34" s="229" t="s">
        <v>53</v>
      </c>
      <c r="C34" s="617">
        <v>36</v>
      </c>
      <c r="D34" s="617">
        <v>36</v>
      </c>
      <c r="E34" s="612">
        <v>31</v>
      </c>
      <c r="F34" s="592" t="e">
        <f>E34+'Jan ANX II  '!F34</f>
        <v>#REF!</v>
      </c>
      <c r="G34" s="555">
        <v>245.25</v>
      </c>
      <c r="H34" s="555">
        <v>77.849999999999994</v>
      </c>
      <c r="I34" s="530"/>
      <c r="J34" s="530"/>
      <c r="K34" s="531">
        <f t="shared" si="7"/>
        <v>323.10000000000002</v>
      </c>
      <c r="L34" s="531">
        <f t="shared" si="0"/>
        <v>354.1</v>
      </c>
      <c r="M34" s="531">
        <f t="shared" si="1"/>
        <v>9.8361111111111121</v>
      </c>
      <c r="N34" s="596">
        <f t="shared" si="2"/>
        <v>98.664434523809518</v>
      </c>
      <c r="O34" s="596">
        <f t="shared" si="3"/>
        <v>98.536292989417987</v>
      </c>
      <c r="P34" s="596" t="e">
        <f>L34+'Jan ANX II  '!N34</f>
        <v>#REF!</v>
      </c>
      <c r="Q34" s="532" t="e">
        <f t="shared" si="4"/>
        <v>#REF!</v>
      </c>
      <c r="R34" s="596" t="e">
        <f t="shared" si="5"/>
        <v>#REF!</v>
      </c>
      <c r="S34" s="596" t="e">
        <f t="shared" si="6"/>
        <v>#REF!</v>
      </c>
      <c r="T34" s="265" t="str">
        <f>'[2]Annexure II'!B11</f>
        <v>Doddaballapura</v>
      </c>
      <c r="U34" s="265" t="e">
        <f t="shared" si="8"/>
        <v>#REF!</v>
      </c>
      <c r="V34" s="265" t="e">
        <f t="shared" si="8"/>
        <v>#REF!</v>
      </c>
    </row>
    <row r="35" spans="1:22" s="266" customFormat="1" ht="24.95" customHeight="1">
      <c r="A35" s="228">
        <v>22</v>
      </c>
      <c r="B35" s="229" t="s">
        <v>54</v>
      </c>
      <c r="C35" s="612">
        <v>26</v>
      </c>
      <c r="D35" s="612">
        <v>26</v>
      </c>
      <c r="E35" s="612">
        <v>54.15</v>
      </c>
      <c r="F35" s="592" t="e">
        <f>E35+'Jan ANX II  '!F35</f>
        <v>#REF!</v>
      </c>
      <c r="G35" s="555">
        <v>230.01</v>
      </c>
      <c r="H35" s="555">
        <v>20.53</v>
      </c>
      <c r="I35" s="624">
        <v>230.41</v>
      </c>
      <c r="J35" s="624">
        <v>20.53</v>
      </c>
      <c r="K35" s="531">
        <f t="shared" si="7"/>
        <v>250.54</v>
      </c>
      <c r="L35" s="531">
        <f t="shared" si="0"/>
        <v>304.69</v>
      </c>
      <c r="M35" s="531">
        <f t="shared" si="1"/>
        <v>11.718846153846155</v>
      </c>
      <c r="N35" s="596">
        <f t="shared" si="2"/>
        <v>98.56604853479854</v>
      </c>
      <c r="O35" s="596">
        <f t="shared" si="3"/>
        <v>98.256124084249095</v>
      </c>
      <c r="P35" s="596" t="e">
        <f>L35+'Jan ANX II  '!N35</f>
        <v>#REF!</v>
      </c>
      <c r="Q35" s="532" t="e">
        <f t="shared" si="4"/>
        <v>#REF!</v>
      </c>
      <c r="R35" s="596" t="e">
        <f t="shared" si="5"/>
        <v>#REF!</v>
      </c>
      <c r="S35" s="596" t="e">
        <f t="shared" si="6"/>
        <v>#REF!</v>
      </c>
      <c r="T35" s="265" t="str">
        <f>'[2]Annexure II'!B12</f>
        <v>Magadi</v>
      </c>
      <c r="U35" s="265" t="e">
        <f t="shared" si="8"/>
        <v>#REF!</v>
      </c>
      <c r="V35" s="265" t="e">
        <f t="shared" si="8"/>
        <v>#REF!</v>
      </c>
    </row>
    <row r="36" spans="1:22" s="266" customFormat="1" ht="24.95" customHeight="1">
      <c r="A36" s="228">
        <v>23</v>
      </c>
      <c r="B36" s="229" t="s">
        <v>49</v>
      </c>
      <c r="C36" s="618">
        <v>127</v>
      </c>
      <c r="D36" s="618">
        <v>127</v>
      </c>
      <c r="E36" s="555">
        <v>55.34</v>
      </c>
      <c r="F36" s="592" t="e">
        <f>E36+'Jan ANX II  '!F36</f>
        <v>#REF!</v>
      </c>
      <c r="G36" s="555">
        <v>55.34</v>
      </c>
      <c r="H36" s="555">
        <v>14.48</v>
      </c>
      <c r="I36" s="530"/>
      <c r="J36" s="530"/>
      <c r="K36" s="531">
        <f>G36+H36</f>
        <v>69.820000000000007</v>
      </c>
      <c r="L36" s="531">
        <f t="shared" si="0"/>
        <v>125.16000000000001</v>
      </c>
      <c r="M36" s="531">
        <f t="shared" si="1"/>
        <v>0.98551181102362218</v>
      </c>
      <c r="N36" s="596">
        <f t="shared" si="2"/>
        <v>99.918189913760784</v>
      </c>
      <c r="O36" s="596">
        <f t="shared" si="3"/>
        <v>99.853346456692918</v>
      </c>
      <c r="P36" s="596" t="e">
        <f>L36+'Jan ANX II  '!N36</f>
        <v>#REF!</v>
      </c>
      <c r="Q36" s="532" t="e">
        <f t="shared" si="4"/>
        <v>#REF!</v>
      </c>
      <c r="R36" s="596" t="e">
        <f t="shared" si="5"/>
        <v>#REF!</v>
      </c>
      <c r="S36" s="596" t="e">
        <f t="shared" si="6"/>
        <v>#REF!</v>
      </c>
      <c r="T36" s="265" t="str">
        <f>'[2]Annexure II'!B7</f>
        <v>Anekal</v>
      </c>
      <c r="U36" s="265" t="e">
        <f>N36-R36</f>
        <v>#REF!</v>
      </c>
      <c r="V36" s="265" t="e">
        <f>O36-S36</f>
        <v>#REF!</v>
      </c>
    </row>
    <row r="37" spans="1:22" s="266" customFormat="1" ht="24.95" customHeight="1">
      <c r="A37" s="228">
        <v>24</v>
      </c>
      <c r="B37" s="229" t="s">
        <v>32</v>
      </c>
      <c r="C37" s="619">
        <v>24</v>
      </c>
      <c r="D37" s="619">
        <v>24</v>
      </c>
      <c r="E37" s="555">
        <v>3.66</v>
      </c>
      <c r="F37" s="592" t="e">
        <f>E37+'Jan ANX II  '!F37</f>
        <v>#REF!</v>
      </c>
      <c r="G37" s="555">
        <v>16.57</v>
      </c>
      <c r="H37" s="555">
        <v>8.404166666666665</v>
      </c>
      <c r="I37" s="530"/>
      <c r="J37" s="530"/>
      <c r="K37" s="531">
        <f t="shared" si="7"/>
        <v>24.974166666666665</v>
      </c>
      <c r="L37" s="531">
        <f t="shared" si="0"/>
        <v>28.634166666666665</v>
      </c>
      <c r="M37" s="531">
        <f t="shared" si="1"/>
        <v>1.1930902777777777</v>
      </c>
      <c r="N37" s="596">
        <f t="shared" si="2"/>
        <v>99.845150256283063</v>
      </c>
      <c r="O37" s="596">
        <f t="shared" si="3"/>
        <v>99.822456803902114</v>
      </c>
      <c r="P37" s="596" t="e">
        <f>L37+'Jan ANX II  '!N37</f>
        <v>#REF!</v>
      </c>
      <c r="Q37" s="532" t="e">
        <f t="shared" si="4"/>
        <v>#REF!</v>
      </c>
      <c r="R37" s="596" t="e">
        <f t="shared" si="5"/>
        <v>#REF!</v>
      </c>
      <c r="S37" s="596" t="e">
        <f t="shared" si="6"/>
        <v>#REF!</v>
      </c>
      <c r="T37" s="265" t="str">
        <f>'[2]Annexure II'!B13</f>
        <v>Ramanagara</v>
      </c>
      <c r="U37" s="265" t="e">
        <f t="shared" si="8"/>
        <v>#REF!</v>
      </c>
      <c r="V37" s="265" t="e">
        <f t="shared" si="8"/>
        <v>#REF!</v>
      </c>
    </row>
    <row r="38" spans="1:22" s="266" customFormat="1" ht="24.95" customHeight="1">
      <c r="A38" s="228">
        <v>25</v>
      </c>
      <c r="B38" s="229" t="s">
        <v>55</v>
      </c>
      <c r="C38" s="617">
        <v>7</v>
      </c>
      <c r="D38" s="619">
        <v>7</v>
      </c>
      <c r="E38" s="555">
        <v>0.38</v>
      </c>
      <c r="F38" s="592" t="e">
        <f>E38+'Jan ANX II  '!F38</f>
        <v>#REF!</v>
      </c>
      <c r="G38" s="555">
        <v>26.48</v>
      </c>
      <c r="H38" s="555">
        <v>1.56</v>
      </c>
      <c r="I38" s="530"/>
      <c r="J38" s="530"/>
      <c r="K38" s="531">
        <f t="shared" si="7"/>
        <v>28.04</v>
      </c>
      <c r="L38" s="531">
        <f t="shared" si="0"/>
        <v>28.419999999999998</v>
      </c>
      <c r="M38" s="531">
        <f t="shared" si="1"/>
        <v>4.0599999999999996</v>
      </c>
      <c r="N38" s="596">
        <f t="shared" si="2"/>
        <v>99.403911564625844</v>
      </c>
      <c r="O38" s="596">
        <f t="shared" si="3"/>
        <v>99.395833333333329</v>
      </c>
      <c r="P38" s="596" t="e">
        <f>L38+'Jan ANX II  '!N38</f>
        <v>#REF!</v>
      </c>
      <c r="Q38" s="532" t="e">
        <f t="shared" si="4"/>
        <v>#REF!</v>
      </c>
      <c r="R38" s="596" t="e">
        <f t="shared" si="5"/>
        <v>#REF!</v>
      </c>
      <c r="S38" s="596" t="e">
        <f t="shared" si="6"/>
        <v>#REF!</v>
      </c>
      <c r="T38" s="265" t="str">
        <f>'[2]Annexure II'!B14</f>
        <v>Channapatna</v>
      </c>
      <c r="U38" s="265" t="e">
        <f t="shared" si="8"/>
        <v>#REF!</v>
      </c>
      <c r="V38" s="265" t="e">
        <f t="shared" si="8"/>
        <v>#REF!</v>
      </c>
    </row>
    <row r="39" spans="1:22" s="266" customFormat="1" ht="24.95" customHeight="1">
      <c r="A39" s="228">
        <v>26</v>
      </c>
      <c r="B39" s="229" t="s">
        <v>56</v>
      </c>
      <c r="C39" s="617">
        <v>22</v>
      </c>
      <c r="D39" s="619">
        <v>22</v>
      </c>
      <c r="E39" s="555">
        <v>5.0508333333333333</v>
      </c>
      <c r="F39" s="592" t="e">
        <f>E39+'Jan ANX II  '!F39</f>
        <v>#REF!</v>
      </c>
      <c r="G39" s="555">
        <v>6.56</v>
      </c>
      <c r="H39" s="555">
        <v>0.52638888888888891</v>
      </c>
      <c r="I39" s="530"/>
      <c r="J39" s="530"/>
      <c r="K39" s="531">
        <f t="shared" si="7"/>
        <v>7.0863888888888882</v>
      </c>
      <c r="L39" s="531">
        <f t="shared" si="0"/>
        <v>12.137222222222221</v>
      </c>
      <c r="M39" s="531">
        <f t="shared" si="1"/>
        <v>0.55169191919191907</v>
      </c>
      <c r="N39" s="596">
        <f t="shared" si="2"/>
        <v>99.952067174723425</v>
      </c>
      <c r="O39" s="596">
        <f t="shared" si="3"/>
        <v>99.917902988215488</v>
      </c>
      <c r="P39" s="596" t="e">
        <f>L39+'Jan ANX II  '!N39</f>
        <v>#REF!</v>
      </c>
      <c r="Q39" s="532" t="e">
        <f t="shared" si="4"/>
        <v>#REF!</v>
      </c>
      <c r="R39" s="596" t="e">
        <f t="shared" si="5"/>
        <v>#REF!</v>
      </c>
      <c r="S39" s="596" t="e">
        <f t="shared" si="6"/>
        <v>#REF!</v>
      </c>
      <c r="T39" s="265" t="str">
        <f>'[2]Annexure II'!B15</f>
        <v>Kanakapura</v>
      </c>
      <c r="U39" s="265" t="e">
        <f t="shared" si="8"/>
        <v>#REF!</v>
      </c>
      <c r="V39" s="265" t="e">
        <f t="shared" si="8"/>
        <v>#REF!</v>
      </c>
    </row>
    <row r="40" spans="1:22" s="636" customFormat="1" ht="24.95" customHeight="1">
      <c r="A40" s="954" t="s">
        <v>168</v>
      </c>
      <c r="B40" s="955"/>
      <c r="C40" s="955"/>
      <c r="D40" s="955"/>
      <c r="E40" s="955"/>
      <c r="F40" s="955"/>
      <c r="G40" s="955"/>
      <c r="H40" s="955"/>
      <c r="I40" s="955"/>
      <c r="J40" s="955"/>
      <c r="K40" s="955"/>
      <c r="L40" s="955"/>
      <c r="M40" s="955"/>
      <c r="N40" s="955"/>
      <c r="O40" s="955"/>
      <c r="P40" s="955"/>
      <c r="Q40" s="955"/>
      <c r="R40" s="955"/>
      <c r="S40" s="955"/>
      <c r="T40" s="635"/>
      <c r="U40" s="635"/>
      <c r="V40" s="635"/>
    </row>
    <row r="41" spans="1:22" ht="18.75" customHeight="1" thickBot="1">
      <c r="B41" s="495"/>
      <c r="C41" s="496"/>
      <c r="D41" s="496"/>
      <c r="E41" s="496"/>
      <c r="F41" s="496"/>
      <c r="G41" s="496"/>
      <c r="H41" s="496"/>
      <c r="I41" s="496"/>
      <c r="J41" s="496"/>
      <c r="K41" s="497"/>
      <c r="L41" s="497"/>
      <c r="M41" s="497"/>
      <c r="N41" s="498"/>
      <c r="O41" s="498"/>
      <c r="P41" s="497"/>
      <c r="Q41" s="497"/>
      <c r="R41" s="498"/>
      <c r="S41" s="498"/>
    </row>
    <row r="42" spans="1:22" s="499" customFormat="1" ht="63" customHeight="1" thickBot="1">
      <c r="A42" s="928" t="s">
        <v>100</v>
      </c>
      <c r="B42" s="929"/>
      <c r="C42" s="929"/>
      <c r="D42" s="929"/>
      <c r="E42" s="929"/>
      <c r="F42" s="929"/>
      <c r="G42" s="929"/>
      <c r="H42" s="929"/>
      <c r="I42" s="929"/>
      <c r="J42" s="929"/>
      <c r="K42" s="929"/>
      <c r="L42" s="929"/>
      <c r="M42" s="929"/>
      <c r="N42" s="929"/>
      <c r="O42" s="929"/>
      <c r="P42" s="929"/>
      <c r="Q42" s="929"/>
      <c r="R42" s="929"/>
      <c r="S42" s="930"/>
    </row>
    <row r="43" spans="1:22" s="499" customFormat="1" ht="80.25" customHeight="1">
      <c r="A43" s="928" t="s">
        <v>101</v>
      </c>
      <c r="B43" s="929"/>
      <c r="C43" s="929"/>
      <c r="D43" s="929"/>
      <c r="E43" s="929"/>
      <c r="F43" s="929"/>
      <c r="G43" s="929"/>
      <c r="H43" s="929"/>
      <c r="I43" s="929"/>
      <c r="J43" s="929"/>
      <c r="K43" s="929"/>
      <c r="L43" s="929"/>
      <c r="M43" s="929"/>
      <c r="N43" s="929"/>
      <c r="O43" s="929"/>
      <c r="P43" s="929"/>
      <c r="Q43" s="929"/>
      <c r="R43" s="929"/>
      <c r="S43" s="930"/>
    </row>
    <row r="44" spans="1:22" ht="20.25" hidden="1" customHeight="1">
      <c r="A44" s="895" t="s">
        <v>36</v>
      </c>
      <c r="B44" s="896"/>
      <c r="C44" s="896"/>
      <c r="D44" s="896"/>
      <c r="E44" s="896"/>
      <c r="F44" s="896"/>
      <c r="G44" s="896"/>
      <c r="H44" s="896"/>
      <c r="I44" s="896"/>
      <c r="J44" s="896"/>
      <c r="K44" s="896"/>
      <c r="L44" s="896"/>
      <c r="M44" s="896"/>
      <c r="N44" s="896"/>
      <c r="O44" s="896"/>
      <c r="P44" s="896"/>
      <c r="Q44" s="896"/>
      <c r="R44" s="896"/>
      <c r="S44" s="897"/>
    </row>
    <row r="45" spans="1:22" ht="27" hidden="1" customHeight="1" thickBot="1">
      <c r="A45" s="898"/>
      <c r="B45" s="899"/>
      <c r="C45" s="899"/>
      <c r="D45" s="899"/>
      <c r="E45" s="899"/>
      <c r="F45" s="899"/>
      <c r="G45" s="899"/>
      <c r="H45" s="899"/>
      <c r="I45" s="899"/>
      <c r="J45" s="899"/>
      <c r="K45" s="899"/>
      <c r="L45" s="899"/>
      <c r="M45" s="899"/>
      <c r="N45" s="899"/>
      <c r="O45" s="899"/>
      <c r="P45" s="899"/>
      <c r="Q45" s="899"/>
      <c r="R45" s="899"/>
      <c r="S45" s="900"/>
    </row>
    <row r="46" spans="1:22" hidden="1"/>
    <row r="48" spans="1:22">
      <c r="B48" s="478" t="s">
        <v>50</v>
      </c>
    </row>
    <row r="49" spans="2:19">
      <c r="B49" s="478" t="s">
        <v>51</v>
      </c>
      <c r="G49" s="479">
        <v>114.07000000000002</v>
      </c>
      <c r="H49" s="479">
        <v>34.450000000000003</v>
      </c>
      <c r="I49" s="479">
        <v>242.8</v>
      </c>
      <c r="J49" s="479">
        <v>77.849999999999994</v>
      </c>
    </row>
    <row r="50" spans="2:19">
      <c r="B50" s="478" t="s">
        <v>52</v>
      </c>
    </row>
    <row r="51" spans="2:19">
      <c r="B51" s="478" t="s">
        <v>53</v>
      </c>
    </row>
    <row r="52" spans="2:19">
      <c r="B52" s="478" t="s">
        <v>152</v>
      </c>
      <c r="E52" s="625"/>
    </row>
    <row r="53" spans="2:19">
      <c r="C53" s="479" t="e">
        <f>su</f>
        <v>#NAME?</v>
      </c>
      <c r="R53" s="500"/>
      <c r="S53" s="500"/>
    </row>
    <row r="54" spans="2:19">
      <c r="C54" s="496"/>
      <c r="P54" s="500"/>
    </row>
    <row r="55" spans="2:19">
      <c r="P55" s="500"/>
    </row>
    <row r="57" spans="2:19">
      <c r="H57" s="479">
        <f>4667/89</f>
        <v>52.438202247191015</v>
      </c>
    </row>
    <row r="58" spans="2:19">
      <c r="E58" s="479">
        <f>2362/24</f>
        <v>98.416666666666671</v>
      </c>
    </row>
    <row r="63" spans="2:19">
      <c r="C63" s="479">
        <v>2</v>
      </c>
      <c r="D63" s="479">
        <v>2</v>
      </c>
      <c r="E63" s="479">
        <v>8</v>
      </c>
    </row>
    <row r="64" spans="2:19">
      <c r="C64" s="479">
        <v>5</v>
      </c>
      <c r="D64" s="479">
        <v>5</v>
      </c>
      <c r="E64" s="479">
        <v>12</v>
      </c>
    </row>
    <row r="65" spans="3:20">
      <c r="C65" s="479">
        <v>7</v>
      </c>
      <c r="D65" s="479">
        <v>7</v>
      </c>
      <c r="E65" s="479">
        <v>18</v>
      </c>
    </row>
    <row r="66" spans="3:20">
      <c r="C66" s="479">
        <v>2</v>
      </c>
      <c r="D66" s="479">
        <v>2</v>
      </c>
      <c r="E66" s="479">
        <v>22</v>
      </c>
    </row>
    <row r="67" spans="3:20">
      <c r="C67" s="479">
        <v>2</v>
      </c>
      <c r="D67" s="479">
        <v>2</v>
      </c>
      <c r="E67" s="479">
        <v>25</v>
      </c>
    </row>
    <row r="68" spans="3:20">
      <c r="C68" s="479">
        <v>2</v>
      </c>
      <c r="D68" s="479">
        <v>2</v>
      </c>
      <c r="E68" s="479">
        <v>42</v>
      </c>
    </row>
    <row r="69" spans="3:20" ht="20.25">
      <c r="C69" s="479">
        <v>4</v>
      </c>
      <c r="D69" s="479">
        <v>4</v>
      </c>
      <c r="E69" s="479">
        <v>105</v>
      </c>
      <c r="K69" s="499">
        <f>20000</f>
        <v>20000</v>
      </c>
    </row>
    <row r="70" spans="3:20" ht="20.25">
      <c r="C70" s="479">
        <v>1</v>
      </c>
      <c r="D70" s="479">
        <v>1</v>
      </c>
      <c r="E70" s="479">
        <v>54</v>
      </c>
      <c r="K70" s="499">
        <v>5000</v>
      </c>
    </row>
    <row r="71" spans="3:20" ht="20.25">
      <c r="C71" s="479">
        <v>1</v>
      </c>
      <c r="D71" s="479">
        <v>1</v>
      </c>
      <c r="E71" s="479">
        <v>91</v>
      </c>
      <c r="K71" s="499">
        <v>5000</v>
      </c>
    </row>
    <row r="72" spans="3:20" ht="20.25">
      <c r="K72" s="499">
        <v>8000</v>
      </c>
    </row>
    <row r="73" spans="3:20" ht="20.25">
      <c r="K73" s="499">
        <f>SUM(K70:K72)</f>
        <v>18000</v>
      </c>
    </row>
    <row r="74" spans="3:20" ht="20.25">
      <c r="K74" s="499">
        <f>K69-K73</f>
        <v>2000</v>
      </c>
    </row>
    <row r="75" spans="3:20" ht="20.25">
      <c r="K75" s="499"/>
    </row>
    <row r="76" spans="3:20" ht="20.25">
      <c r="K76" s="499"/>
      <c r="N76" s="500">
        <f>N14+N15+N16+N18+N17+N19+N20+N21+N22+N23+N24+N25+N26+N27+N28+N29+N30+N36+N31+N32+N33+N34+N35+N37+N38+N39</f>
        <v>2542.9424653867873</v>
      </c>
      <c r="O76" s="500">
        <f>O14+O15+O16+O18+O17+O19+O20+O21+O22+O23+O24+O25+O26+O27+O28+O29+O30+O36+O31+O32+O33+O34+O35+O37+O38+O39</f>
        <v>2534.1772222774971</v>
      </c>
      <c r="R76" s="500" t="e">
        <f>R14+R15+R16+R18+R17+R19+R20+R21+R22+R23+R24+R25+R26+R27+R28+R29+R30+R36+R31+R32+R33+R34+R35+R37+R38+R39</f>
        <v>#REF!</v>
      </c>
      <c r="S76" s="500" t="e">
        <f>S14+S15+S16+S18+S17+S19+S20+S21+S22+S23+S24+S25+S26+S27+S28+S29+S30+S36+S31+S32+S33+S34+S35+S37+S38+S39</f>
        <v>#REF!</v>
      </c>
      <c r="T76" s="500" t="e">
        <f>T14+T15+T16+T18+T17+T19+T20+T23+T24+T25+T26+T27+T28+T29+T30+T36+T31+T32+T33+T34+T35+T37+T38+T39</f>
        <v>#VALUE!</v>
      </c>
    </row>
    <row r="77" spans="3:20">
      <c r="N77" s="480">
        <f>N76/26</f>
        <v>97.805479437953352</v>
      </c>
      <c r="O77" s="480">
        <f>O76/26</f>
        <v>97.468354702980662</v>
      </c>
      <c r="R77" s="480" t="e">
        <f>R76/26</f>
        <v>#REF!</v>
      </c>
      <c r="S77" s="480" t="e">
        <f>S76/26</f>
        <v>#REF!</v>
      </c>
    </row>
  </sheetData>
  <mergeCells count="17">
    <mergeCell ref="A6:S6"/>
    <mergeCell ref="A7:S7"/>
    <mergeCell ref="A8:S8"/>
    <mergeCell ref="A10:D10"/>
    <mergeCell ref="A11:A12"/>
    <mergeCell ref="B11:B12"/>
    <mergeCell ref="C11:C12"/>
    <mergeCell ref="D11:D12"/>
    <mergeCell ref="E11:E12"/>
    <mergeCell ref="F11:F12"/>
    <mergeCell ref="A44:S45"/>
    <mergeCell ref="G11:K11"/>
    <mergeCell ref="L11:O11"/>
    <mergeCell ref="P11:S11"/>
    <mergeCell ref="A42:S42"/>
    <mergeCell ref="A43:S43"/>
    <mergeCell ref="A40:S40"/>
  </mergeCells>
  <printOptions horizontalCentered="1"/>
  <pageMargins left="0" right="0" top="0.5" bottom="0" header="0.19" footer="0.5"/>
  <pageSetup paperSize="9" scale="61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view="pageBreakPreview" topLeftCell="A13" zoomScale="85" zoomScaleSheetLayoutView="85" workbookViewId="0">
      <selection activeCell="I34" activeCellId="1" sqref="I34 L36"/>
    </sheetView>
  </sheetViews>
  <sheetFormatPr defaultRowHeight="15"/>
  <cols>
    <col min="1" max="1" width="7.140625" style="501" customWidth="1"/>
    <col min="2" max="2" width="17.140625" style="501" customWidth="1"/>
    <col min="3" max="3" width="10.140625" style="501" customWidth="1"/>
    <col min="4" max="4" width="8.85546875" style="501" customWidth="1"/>
    <col min="5" max="5" width="11.28515625" style="501" customWidth="1"/>
    <col min="6" max="6" width="15.5703125" style="501" customWidth="1"/>
    <col min="7" max="7" width="14.5703125" style="507" customWidth="1"/>
    <col min="8" max="8" width="13.7109375" style="507" customWidth="1"/>
    <col min="9" max="9" width="15.42578125" style="501" customWidth="1"/>
    <col min="10" max="10" width="16.42578125" style="501" customWidth="1"/>
    <col min="11" max="11" width="12.28515625" style="501" customWidth="1"/>
    <col min="12" max="12" width="13.42578125" style="501" customWidth="1"/>
    <col min="13" max="13" width="14" style="501" customWidth="1"/>
    <col min="14" max="14" width="17.28515625" style="501" customWidth="1"/>
    <col min="15" max="15" width="13.140625" style="501" customWidth="1"/>
    <col min="16" max="16" width="11.42578125" style="501" customWidth="1"/>
    <col min="17" max="17" width="13.28515625" style="501" customWidth="1"/>
    <col min="18" max="18" width="18.28515625" style="501" bestFit="1" customWidth="1"/>
    <col min="19" max="19" width="19" style="501" bestFit="1" customWidth="1"/>
    <col min="20" max="20" width="9.28515625" style="501" bestFit="1" customWidth="1"/>
    <col min="21" max="16384" width="9.140625" style="501"/>
  </cols>
  <sheetData>
    <row r="1" spans="1:20" ht="24.75" customHeight="1">
      <c r="A1" s="921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</row>
    <row r="2" spans="1:20" ht="17.25" customHeight="1">
      <c r="A2" s="922" t="s">
        <v>57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</row>
    <row r="3" spans="1:20" s="473" customFormat="1" ht="18.75" customHeight="1">
      <c r="A3" s="903" t="s">
        <v>163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</row>
    <row r="4" spans="1:20" ht="14.25" customHeight="1">
      <c r="A4" s="931"/>
      <c r="B4" s="931"/>
      <c r="C4" s="931"/>
      <c r="D4" s="931"/>
      <c r="E4" s="580"/>
      <c r="F4" s="580"/>
      <c r="G4" s="484"/>
      <c r="H4" s="484"/>
      <c r="I4" s="580"/>
      <c r="J4" s="580"/>
      <c r="K4" s="580"/>
      <c r="L4" s="580"/>
      <c r="M4" s="580"/>
      <c r="N4" s="580"/>
      <c r="O4" s="580"/>
      <c r="P4" s="580"/>
      <c r="Q4" s="580"/>
    </row>
    <row r="5" spans="1:20" s="451" customFormat="1" ht="23.25" customHeight="1">
      <c r="A5" s="932" t="s">
        <v>2</v>
      </c>
      <c r="B5" s="932" t="s">
        <v>58</v>
      </c>
      <c r="C5" s="932" t="s">
        <v>4</v>
      </c>
      <c r="D5" s="932" t="s">
        <v>5</v>
      </c>
      <c r="E5" s="960" t="s">
        <v>6</v>
      </c>
      <c r="F5" s="961" t="s">
        <v>7</v>
      </c>
      <c r="G5" s="939" t="s">
        <v>39</v>
      </c>
      <c r="H5" s="939"/>
      <c r="I5" s="939"/>
      <c r="J5" s="939" t="s">
        <v>161</v>
      </c>
      <c r="K5" s="939"/>
      <c r="L5" s="939"/>
      <c r="M5" s="939"/>
      <c r="N5" s="939" t="s">
        <v>139</v>
      </c>
      <c r="O5" s="939"/>
      <c r="P5" s="939"/>
      <c r="Q5" s="939"/>
    </row>
    <row r="6" spans="1:20" s="451" customFormat="1" ht="117.75" customHeight="1">
      <c r="A6" s="932"/>
      <c r="B6" s="932"/>
      <c r="C6" s="932"/>
      <c r="D6" s="932"/>
      <c r="E6" s="960"/>
      <c r="F6" s="961"/>
      <c r="G6" s="597" t="s">
        <v>9</v>
      </c>
      <c r="H6" s="597" t="s">
        <v>10</v>
      </c>
      <c r="I6" s="586" t="s">
        <v>11</v>
      </c>
      <c r="J6" s="586" t="s">
        <v>12</v>
      </c>
      <c r="K6" s="586" t="s">
        <v>13</v>
      </c>
      <c r="L6" s="599" t="s">
        <v>78</v>
      </c>
      <c r="M6" s="599" t="s">
        <v>14</v>
      </c>
      <c r="N6" s="599" t="s">
        <v>145</v>
      </c>
      <c r="O6" s="586" t="s">
        <v>143</v>
      </c>
      <c r="P6" s="599" t="s">
        <v>141</v>
      </c>
      <c r="Q6" s="599" t="s">
        <v>142</v>
      </c>
    </row>
    <row r="7" spans="1:20" ht="18" customHeight="1">
      <c r="A7" s="487">
        <v>1</v>
      </c>
      <c r="B7" s="487" t="s">
        <v>40</v>
      </c>
      <c r="C7" s="487">
        <v>3</v>
      </c>
      <c r="D7" s="487">
        <v>4</v>
      </c>
      <c r="E7" s="487">
        <v>5</v>
      </c>
      <c r="F7" s="598" t="s">
        <v>19</v>
      </c>
      <c r="G7" s="488">
        <v>6</v>
      </c>
      <c r="H7" s="488">
        <v>7</v>
      </c>
      <c r="I7" s="487" t="s">
        <v>20</v>
      </c>
      <c r="J7" s="487" t="s">
        <v>21</v>
      </c>
      <c r="K7" s="489" t="s">
        <v>22</v>
      </c>
      <c r="L7" s="598" t="s">
        <v>23</v>
      </c>
      <c r="M7" s="598" t="s">
        <v>24</v>
      </c>
      <c r="N7" s="598">
        <v>13</v>
      </c>
      <c r="O7" s="487" t="s">
        <v>25</v>
      </c>
      <c r="P7" s="598">
        <v>15</v>
      </c>
      <c r="Q7" s="598">
        <v>16</v>
      </c>
    </row>
    <row r="8" spans="1:20" s="504" customFormat="1" ht="24.95" customHeight="1">
      <c r="A8" s="228">
        <v>1</v>
      </c>
      <c r="B8" s="229" t="s">
        <v>60</v>
      </c>
      <c r="C8" s="626">
        <v>236</v>
      </c>
      <c r="D8" s="626">
        <v>233</v>
      </c>
      <c r="E8" s="649">
        <v>195.2</v>
      </c>
      <c r="F8" s="592">
        <f>E8+'Jan ANX III  '!F8</f>
        <v>1692.09</v>
      </c>
      <c r="G8" s="649">
        <v>5282.5447222222238</v>
      </c>
      <c r="H8" s="649">
        <v>1355.24</v>
      </c>
      <c r="I8" s="531">
        <f>G8+H8</f>
        <v>6637.7847222222235</v>
      </c>
      <c r="J8" s="531">
        <f t="shared" ref="J8:J30" si="0">E8+I8</f>
        <v>6832.9847222222234</v>
      </c>
      <c r="K8" s="531">
        <f t="shared" ref="K8:K30" si="1">J8/C8</f>
        <v>28.953325094161965</v>
      </c>
      <c r="L8" s="596">
        <f t="shared" ref="L8:L30" si="2">+(((C8*18)*28)-I8)*100/((C8*18)*28)</f>
        <v>94.419403482124181</v>
      </c>
      <c r="M8" s="596">
        <f t="shared" ref="M8:M30" si="3">+(((C8*18)*28)-J8)*100/((C8*18)*28)</f>
        <v>94.255292640047216</v>
      </c>
      <c r="N8" s="596" t="e">
        <f>J8+'Jan ANX III  '!N8</f>
        <v>#REF!</v>
      </c>
      <c r="O8" s="532" t="e">
        <f t="shared" ref="O8:O30" si="4">N8/C8</f>
        <v>#REF!</v>
      </c>
      <c r="P8" s="596" t="e">
        <f t="shared" ref="P8:P30" si="5">((C8*18*334)-(N8-E8))*100/(C8*18*334)</f>
        <v>#REF!</v>
      </c>
      <c r="Q8" s="596" t="e">
        <f t="shared" ref="Q8:Q30" si="6">((C8*18*334)-(N8))*100/(C8*18*334)</f>
        <v>#REF!</v>
      </c>
      <c r="R8" s="428" t="e">
        <f>L8-P8</f>
        <v>#REF!</v>
      </c>
      <c r="S8" s="428" t="e">
        <f>M8-Q8</f>
        <v>#REF!</v>
      </c>
    </row>
    <row r="9" spans="1:20" s="504" customFormat="1" ht="24.95" customHeight="1">
      <c r="A9" s="228">
        <v>2</v>
      </c>
      <c r="B9" s="229" t="s">
        <v>43</v>
      </c>
      <c r="C9" s="626">
        <v>172</v>
      </c>
      <c r="D9" s="626">
        <v>172</v>
      </c>
      <c r="E9" s="649">
        <v>13.28</v>
      </c>
      <c r="F9" s="592">
        <f>E9+'Jan ANX III  '!F9</f>
        <v>789.65999999999985</v>
      </c>
      <c r="G9" s="649">
        <v>3170.29</v>
      </c>
      <c r="H9" s="649">
        <v>834.35</v>
      </c>
      <c r="I9" s="531">
        <f t="shared" ref="I9:I30" si="7">G9+H9</f>
        <v>4004.64</v>
      </c>
      <c r="J9" s="531">
        <f t="shared" si="0"/>
        <v>4017.92</v>
      </c>
      <c r="K9" s="531">
        <f t="shared" si="1"/>
        <v>23.36</v>
      </c>
      <c r="L9" s="596">
        <f t="shared" si="2"/>
        <v>95.380398671096344</v>
      </c>
      <c r="M9" s="596">
        <f t="shared" si="3"/>
        <v>95.365079365079367</v>
      </c>
      <c r="N9" s="596" t="e">
        <f>J9+'Jan ANX III  '!N9</f>
        <v>#REF!</v>
      </c>
      <c r="O9" s="532" t="e">
        <f t="shared" si="4"/>
        <v>#REF!</v>
      </c>
      <c r="P9" s="596" t="e">
        <f t="shared" si="5"/>
        <v>#REF!</v>
      </c>
      <c r="Q9" s="596" t="e">
        <f t="shared" si="6"/>
        <v>#REF!</v>
      </c>
      <c r="R9" s="428" t="e">
        <f t="shared" ref="R9:S58" si="8">L9-P9</f>
        <v>#REF!</v>
      </c>
      <c r="S9" s="428" t="e">
        <f t="shared" si="8"/>
        <v>#REF!</v>
      </c>
    </row>
    <row r="10" spans="1:20" s="504" customFormat="1" ht="24.95" customHeight="1">
      <c r="A10" s="228">
        <v>3</v>
      </c>
      <c r="B10" s="229" t="s">
        <v>27</v>
      </c>
      <c r="C10" s="626">
        <v>178</v>
      </c>
      <c r="D10" s="626">
        <v>178</v>
      </c>
      <c r="E10" s="649">
        <v>120.5</v>
      </c>
      <c r="F10" s="592">
        <f>E10+'Jan ANX III  '!F10</f>
        <v>1563.06</v>
      </c>
      <c r="G10" s="649">
        <v>3440.17</v>
      </c>
      <c r="H10" s="649">
        <v>3748.41</v>
      </c>
      <c r="I10" s="531">
        <f t="shared" si="7"/>
        <v>7188.58</v>
      </c>
      <c r="J10" s="531">
        <f t="shared" si="0"/>
        <v>7309.08</v>
      </c>
      <c r="K10" s="531">
        <f t="shared" si="1"/>
        <v>41.062247191011238</v>
      </c>
      <c r="L10" s="596">
        <f t="shared" si="2"/>
        <v>91.987047440699129</v>
      </c>
      <c r="M10" s="596">
        <f t="shared" si="3"/>
        <v>91.852728731942221</v>
      </c>
      <c r="N10" s="596" t="e">
        <f>J10+'Jan ANX III  '!N10</f>
        <v>#REF!</v>
      </c>
      <c r="O10" s="532" t="e">
        <f t="shared" si="4"/>
        <v>#REF!</v>
      </c>
      <c r="P10" s="596" t="e">
        <f t="shared" si="5"/>
        <v>#REF!</v>
      </c>
      <c r="Q10" s="596" t="e">
        <f t="shared" si="6"/>
        <v>#REF!</v>
      </c>
      <c r="R10" s="428" t="e">
        <f t="shared" si="8"/>
        <v>#REF!</v>
      </c>
      <c r="S10" s="428" t="e">
        <f t="shared" si="8"/>
        <v>#REF!</v>
      </c>
    </row>
    <row r="11" spans="1:20" s="504" customFormat="1" ht="24.95" customHeight="1">
      <c r="A11" s="228">
        <v>4</v>
      </c>
      <c r="B11" s="229" t="s">
        <v>44</v>
      </c>
      <c r="C11" s="626">
        <v>194</v>
      </c>
      <c r="D11" s="626">
        <v>194</v>
      </c>
      <c r="E11" s="649">
        <v>51.39</v>
      </c>
      <c r="F11" s="592">
        <f>E11+'Jan ANX III  '!F11</f>
        <v>512.64461228609377</v>
      </c>
      <c r="G11" s="649">
        <v>1758.0239999999999</v>
      </c>
      <c r="H11" s="649">
        <v>388.08</v>
      </c>
      <c r="I11" s="531">
        <f t="shared" si="7"/>
        <v>2146.1039999999998</v>
      </c>
      <c r="J11" s="531">
        <f t="shared" si="0"/>
        <v>2197.4939999999997</v>
      </c>
      <c r="K11" s="531">
        <f t="shared" si="1"/>
        <v>11.327288659793814</v>
      </c>
      <c r="L11" s="596">
        <f t="shared" si="2"/>
        <v>97.805081001472743</v>
      </c>
      <c r="M11" s="596">
        <f t="shared" si="3"/>
        <v>97.752522091310752</v>
      </c>
      <c r="N11" s="596" t="e">
        <f>J11+'Jan ANX III  '!N11</f>
        <v>#REF!</v>
      </c>
      <c r="O11" s="532" t="e">
        <f t="shared" si="4"/>
        <v>#REF!</v>
      </c>
      <c r="P11" s="596" t="e">
        <f t="shared" si="5"/>
        <v>#REF!</v>
      </c>
      <c r="Q11" s="596" t="e">
        <f t="shared" si="6"/>
        <v>#REF!</v>
      </c>
      <c r="R11" s="428" t="e">
        <f t="shared" si="8"/>
        <v>#REF!</v>
      </c>
      <c r="S11" s="428" t="e">
        <f t="shared" si="8"/>
        <v>#REF!</v>
      </c>
    </row>
    <row r="12" spans="1:20" s="429" customFormat="1" ht="25.5" customHeight="1">
      <c r="A12" s="228">
        <v>5</v>
      </c>
      <c r="B12" s="229" t="s">
        <v>28</v>
      </c>
      <c r="C12" s="626">
        <v>385</v>
      </c>
      <c r="D12" s="626">
        <v>385</v>
      </c>
      <c r="E12" s="649">
        <v>65</v>
      </c>
      <c r="F12" s="592">
        <f>E12+'Jan ANX III  '!F12</f>
        <v>929.6</v>
      </c>
      <c r="G12" s="653">
        <v>4103.1499999999996</v>
      </c>
      <c r="H12" s="653">
        <v>3368.2</v>
      </c>
      <c r="I12" s="531">
        <f t="shared" si="7"/>
        <v>7471.3499999999995</v>
      </c>
      <c r="J12" s="531">
        <f t="shared" si="0"/>
        <v>7536.3499999999995</v>
      </c>
      <c r="K12" s="531">
        <f t="shared" si="1"/>
        <v>19.574935064935062</v>
      </c>
      <c r="L12" s="596">
        <f t="shared" si="2"/>
        <v>96.149582560296849</v>
      </c>
      <c r="M12" s="596">
        <f t="shared" si="3"/>
        <v>96.116084312512882</v>
      </c>
      <c r="N12" s="596" t="e">
        <f>J12+'Jan ANX III  '!N12</f>
        <v>#REF!</v>
      </c>
      <c r="O12" s="532" t="e">
        <f t="shared" si="4"/>
        <v>#REF!</v>
      </c>
      <c r="P12" s="596" t="e">
        <f t="shared" si="5"/>
        <v>#REF!</v>
      </c>
      <c r="Q12" s="596" t="e">
        <f t="shared" si="6"/>
        <v>#REF!</v>
      </c>
      <c r="R12" s="428" t="e">
        <f t="shared" si="8"/>
        <v>#REF!</v>
      </c>
      <c r="S12" s="428" t="e">
        <f t="shared" si="8"/>
        <v>#REF!</v>
      </c>
      <c r="T12" s="429">
        <f>E12/60</f>
        <v>1.0833333333333333</v>
      </c>
    </row>
    <row r="13" spans="1:20" s="429" customFormat="1" ht="25.5" customHeight="1">
      <c r="A13" s="228">
        <v>6</v>
      </c>
      <c r="B13" s="505" t="s">
        <v>45</v>
      </c>
      <c r="C13" s="626">
        <v>187</v>
      </c>
      <c r="D13" s="626">
        <v>187</v>
      </c>
      <c r="E13" s="649">
        <v>54</v>
      </c>
      <c r="F13" s="592">
        <f>E13+'Jan ANX III  '!F13</f>
        <v>923.44999999999993</v>
      </c>
      <c r="G13" s="653">
        <v>1759</v>
      </c>
      <c r="H13" s="653">
        <v>2407</v>
      </c>
      <c r="I13" s="531">
        <f t="shared" si="7"/>
        <v>4166</v>
      </c>
      <c r="J13" s="531">
        <f t="shared" si="0"/>
        <v>4220</v>
      </c>
      <c r="K13" s="531">
        <f t="shared" si="1"/>
        <v>22.566844919786096</v>
      </c>
      <c r="L13" s="596">
        <f t="shared" si="2"/>
        <v>95.579747050335286</v>
      </c>
      <c r="M13" s="596">
        <f t="shared" si="3"/>
        <v>95.522451404804343</v>
      </c>
      <c r="N13" s="596" t="e">
        <f>J13+'Jan ANX III  '!N13</f>
        <v>#REF!</v>
      </c>
      <c r="O13" s="532" t="e">
        <f t="shared" si="4"/>
        <v>#REF!</v>
      </c>
      <c r="P13" s="596" t="e">
        <f t="shared" si="5"/>
        <v>#REF!</v>
      </c>
      <c r="Q13" s="596" t="e">
        <f t="shared" si="6"/>
        <v>#REF!</v>
      </c>
      <c r="R13" s="428" t="e">
        <f t="shared" si="8"/>
        <v>#REF!</v>
      </c>
      <c r="S13" s="428" t="e">
        <f t="shared" si="8"/>
        <v>#REF!</v>
      </c>
      <c r="T13" s="429">
        <f>E13/60</f>
        <v>0.9</v>
      </c>
    </row>
    <row r="14" spans="1:20" s="429" customFormat="1" ht="25.5" customHeight="1">
      <c r="A14" s="228">
        <v>7</v>
      </c>
      <c r="B14" s="505" t="s">
        <v>88</v>
      </c>
      <c r="C14" s="626">
        <v>289</v>
      </c>
      <c r="D14" s="626">
        <v>289</v>
      </c>
      <c r="E14" s="649">
        <v>62</v>
      </c>
      <c r="F14" s="592">
        <f>E14+'Jan ANX III  '!F14</f>
        <v>802.41</v>
      </c>
      <c r="G14" s="653">
        <v>3960</v>
      </c>
      <c r="H14" s="653">
        <v>1593</v>
      </c>
      <c r="I14" s="531">
        <f t="shared" si="7"/>
        <v>5553</v>
      </c>
      <c r="J14" s="531">
        <f t="shared" si="0"/>
        <v>5615</v>
      </c>
      <c r="K14" s="531">
        <f t="shared" si="1"/>
        <v>19.429065743944637</v>
      </c>
      <c r="L14" s="596">
        <f t="shared" si="2"/>
        <v>96.187592684132483</v>
      </c>
      <c r="M14" s="596">
        <f t="shared" si="3"/>
        <v>96.145026638106216</v>
      </c>
      <c r="N14" s="596" t="e">
        <f>J14+'Jan ANX III  '!N14</f>
        <v>#REF!</v>
      </c>
      <c r="O14" s="532" t="e">
        <f t="shared" si="4"/>
        <v>#REF!</v>
      </c>
      <c r="P14" s="596" t="e">
        <f t="shared" si="5"/>
        <v>#REF!</v>
      </c>
      <c r="Q14" s="596" t="e">
        <f t="shared" si="6"/>
        <v>#REF!</v>
      </c>
      <c r="R14" s="428" t="e">
        <f t="shared" si="8"/>
        <v>#REF!</v>
      </c>
      <c r="S14" s="428" t="e">
        <f t="shared" si="8"/>
        <v>#REF!</v>
      </c>
      <c r="T14" s="429">
        <f>E14/60</f>
        <v>1.0333333333333334</v>
      </c>
    </row>
    <row r="15" spans="1:20" s="429" customFormat="1" ht="25.5" customHeight="1">
      <c r="A15" s="228">
        <v>8</v>
      </c>
      <c r="B15" s="505" t="s">
        <v>30</v>
      </c>
      <c r="C15" s="627">
        <v>134</v>
      </c>
      <c r="D15" s="627">
        <v>134</v>
      </c>
      <c r="E15" s="622">
        <v>50.42</v>
      </c>
      <c r="F15" s="592" t="e">
        <f>E15+'Jan ANX III  '!F15</f>
        <v>#REF!</v>
      </c>
      <c r="G15" s="622">
        <v>1121.1500000000001</v>
      </c>
      <c r="H15" s="622">
        <v>915.06</v>
      </c>
      <c r="I15" s="531">
        <f t="shared" si="7"/>
        <v>2036.21</v>
      </c>
      <c r="J15" s="531">
        <f t="shared" si="0"/>
        <v>2086.63</v>
      </c>
      <c r="K15" s="531">
        <f t="shared" si="1"/>
        <v>15.571865671641792</v>
      </c>
      <c r="L15" s="596">
        <f t="shared" si="2"/>
        <v>96.985000592276705</v>
      </c>
      <c r="M15" s="596">
        <f t="shared" si="3"/>
        <v>96.910344112769479</v>
      </c>
      <c r="N15" s="596" t="e">
        <f>J15+'Jan ANX III  '!N15</f>
        <v>#REF!</v>
      </c>
      <c r="O15" s="532" t="e">
        <f t="shared" si="4"/>
        <v>#REF!</v>
      </c>
      <c r="P15" s="596" t="e">
        <f t="shared" si="5"/>
        <v>#REF!</v>
      </c>
      <c r="Q15" s="596" t="e">
        <f t="shared" si="6"/>
        <v>#REF!</v>
      </c>
      <c r="R15" s="428" t="e">
        <f t="shared" si="8"/>
        <v>#REF!</v>
      </c>
      <c r="S15" s="428" t="e">
        <f t="shared" si="8"/>
        <v>#REF!</v>
      </c>
    </row>
    <row r="16" spans="1:20" s="429" customFormat="1" ht="25.5" customHeight="1">
      <c r="A16" s="228">
        <v>9</v>
      </c>
      <c r="B16" s="505" t="s">
        <v>47</v>
      </c>
      <c r="C16" s="627">
        <v>170</v>
      </c>
      <c r="D16" s="627">
        <v>170</v>
      </c>
      <c r="E16" s="622">
        <v>230</v>
      </c>
      <c r="F16" s="592" t="e">
        <f>E16+'Jan ANX III  '!F16</f>
        <v>#REF!</v>
      </c>
      <c r="G16" s="622">
        <v>150</v>
      </c>
      <c r="H16" s="622">
        <v>410</v>
      </c>
      <c r="I16" s="531">
        <f t="shared" si="7"/>
        <v>560</v>
      </c>
      <c r="J16" s="531">
        <f t="shared" si="0"/>
        <v>790</v>
      </c>
      <c r="K16" s="531">
        <f t="shared" si="1"/>
        <v>4.6470588235294121</v>
      </c>
      <c r="L16" s="596">
        <f t="shared" si="2"/>
        <v>99.346405228758172</v>
      </c>
      <c r="M16" s="596">
        <f t="shared" si="3"/>
        <v>99.077964519140991</v>
      </c>
      <c r="N16" s="596" t="e">
        <f>J16+'Jan ANX III  '!N16</f>
        <v>#REF!</v>
      </c>
      <c r="O16" s="532" t="e">
        <f t="shared" si="4"/>
        <v>#REF!</v>
      </c>
      <c r="P16" s="596" t="e">
        <f t="shared" si="5"/>
        <v>#REF!</v>
      </c>
      <c r="Q16" s="596" t="e">
        <f t="shared" si="6"/>
        <v>#REF!</v>
      </c>
      <c r="R16" s="428" t="e">
        <f t="shared" si="8"/>
        <v>#REF!</v>
      </c>
      <c r="S16" s="428" t="e">
        <f t="shared" si="8"/>
        <v>#REF!</v>
      </c>
      <c r="T16" s="429">
        <f>E16/60</f>
        <v>3.8333333333333335</v>
      </c>
    </row>
    <row r="17" spans="1:20" s="429" customFormat="1" ht="25.5" customHeight="1">
      <c r="A17" s="228">
        <v>10</v>
      </c>
      <c r="B17" s="505" t="s">
        <v>48</v>
      </c>
      <c r="C17" s="627">
        <v>175</v>
      </c>
      <c r="D17" s="627">
        <v>175</v>
      </c>
      <c r="E17" s="622">
        <v>2043</v>
      </c>
      <c r="F17" s="592" t="e">
        <f>E17+'Jan ANX III  '!F17</f>
        <v>#REF!</v>
      </c>
      <c r="G17" s="622">
        <v>2317.3200000000002</v>
      </c>
      <c r="H17" s="622">
        <v>3032.17</v>
      </c>
      <c r="I17" s="531">
        <f t="shared" si="7"/>
        <v>5349.49</v>
      </c>
      <c r="J17" s="531">
        <f t="shared" si="0"/>
        <v>7392.49</v>
      </c>
      <c r="K17" s="531">
        <f t="shared" si="1"/>
        <v>42.242799999999995</v>
      </c>
      <c r="L17" s="596">
        <f t="shared" si="2"/>
        <v>93.9348185941043</v>
      </c>
      <c r="M17" s="596">
        <f t="shared" si="3"/>
        <v>91.618492063492056</v>
      </c>
      <c r="N17" s="596" t="e">
        <f>J17+'Jan ANX III  '!N17</f>
        <v>#REF!</v>
      </c>
      <c r="O17" s="532" t="e">
        <f t="shared" si="4"/>
        <v>#REF!</v>
      </c>
      <c r="P17" s="596" t="e">
        <f t="shared" si="5"/>
        <v>#REF!</v>
      </c>
      <c r="Q17" s="596" t="e">
        <f t="shared" si="6"/>
        <v>#REF!</v>
      </c>
      <c r="R17" s="428" t="e">
        <f t="shared" si="8"/>
        <v>#REF!</v>
      </c>
      <c r="S17" s="428" t="e">
        <f t="shared" si="8"/>
        <v>#REF!</v>
      </c>
      <c r="T17" s="429">
        <f>E17/60</f>
        <v>34.049999999999997</v>
      </c>
    </row>
    <row r="18" spans="1:20" s="429" customFormat="1" ht="25.5" customHeight="1">
      <c r="A18" s="228">
        <v>11</v>
      </c>
      <c r="B18" s="505" t="s">
        <v>63</v>
      </c>
      <c r="C18" s="627">
        <v>120</v>
      </c>
      <c r="D18" s="627">
        <v>120</v>
      </c>
      <c r="E18" s="622">
        <v>31.15</v>
      </c>
      <c r="F18" s="592" t="e">
        <f>E18+'Jan ANX III  '!F18</f>
        <v>#REF!</v>
      </c>
      <c r="G18" s="622">
        <v>1461.1</v>
      </c>
      <c r="H18" s="622">
        <v>517.35</v>
      </c>
      <c r="I18" s="531">
        <f t="shared" si="7"/>
        <v>1978.4499999999998</v>
      </c>
      <c r="J18" s="531">
        <f t="shared" si="0"/>
        <v>2009.6</v>
      </c>
      <c r="K18" s="531">
        <f t="shared" si="1"/>
        <v>16.746666666666666</v>
      </c>
      <c r="L18" s="596">
        <f t="shared" si="2"/>
        <v>96.728753306878303</v>
      </c>
      <c r="M18" s="596">
        <f t="shared" si="3"/>
        <v>96.677248677248684</v>
      </c>
      <c r="N18" s="596" t="e">
        <f>J18+'Jan ANX III  '!N18</f>
        <v>#REF!</v>
      </c>
      <c r="O18" s="532" t="e">
        <f t="shared" si="4"/>
        <v>#REF!</v>
      </c>
      <c r="P18" s="596" t="e">
        <f t="shared" si="5"/>
        <v>#REF!</v>
      </c>
      <c r="Q18" s="596" t="e">
        <f t="shared" si="6"/>
        <v>#REF!</v>
      </c>
      <c r="R18" s="428" t="e">
        <f t="shared" si="8"/>
        <v>#REF!</v>
      </c>
      <c r="S18" s="428" t="e">
        <f t="shared" si="8"/>
        <v>#REF!</v>
      </c>
    </row>
    <row r="19" spans="1:20" s="565" customFormat="1" ht="25.5" customHeight="1">
      <c r="A19" s="565">
        <v>12</v>
      </c>
      <c r="B19" s="565" t="s">
        <v>50</v>
      </c>
      <c r="C19" s="628">
        <v>34</v>
      </c>
      <c r="D19" s="628">
        <v>34</v>
      </c>
      <c r="E19" s="628">
        <v>34.999999999999993</v>
      </c>
      <c r="F19" s="592" t="e">
        <f>E19+'Jan ANX III  '!F19</f>
        <v>#REF!</v>
      </c>
      <c r="G19" s="650">
        <v>451.25000000000006</v>
      </c>
      <c r="H19" s="650">
        <v>172.61666666666667</v>
      </c>
      <c r="I19" s="655">
        <f t="shared" si="7"/>
        <v>623.86666666666679</v>
      </c>
      <c r="J19" s="655">
        <f t="shared" si="0"/>
        <v>658.86666666666679</v>
      </c>
      <c r="K19" s="568">
        <f t="shared" si="1"/>
        <v>19.378431372549024</v>
      </c>
      <c r="L19" s="596">
        <f t="shared" si="2"/>
        <v>96.359321506380311</v>
      </c>
      <c r="M19" s="596">
        <f t="shared" si="3"/>
        <v>96.155073140367236</v>
      </c>
      <c r="N19" s="596" t="e">
        <f>J19+'Jan ANX III  '!N19</f>
        <v>#REF!</v>
      </c>
      <c r="O19" s="568" t="e">
        <f t="shared" si="4"/>
        <v>#REF!</v>
      </c>
      <c r="P19" s="596" t="e">
        <f t="shared" si="5"/>
        <v>#REF!</v>
      </c>
      <c r="Q19" s="596" t="e">
        <f t="shared" si="6"/>
        <v>#REF!</v>
      </c>
      <c r="R19" s="570" t="e">
        <f t="shared" si="8"/>
        <v>#REF!</v>
      </c>
      <c r="S19" s="565" t="e">
        <f t="shared" si="8"/>
        <v>#REF!</v>
      </c>
    </row>
    <row r="20" spans="1:20" s="565" customFormat="1" ht="25.5" customHeight="1">
      <c r="A20" s="565">
        <v>13</v>
      </c>
      <c r="B20" s="565" t="s">
        <v>51</v>
      </c>
      <c r="C20" s="628">
        <v>31</v>
      </c>
      <c r="D20" s="628">
        <v>31</v>
      </c>
      <c r="E20" s="650">
        <v>45.024999999999991</v>
      </c>
      <c r="F20" s="592" t="e">
        <f>E20+'Jan ANX III  '!F20</f>
        <v>#REF!</v>
      </c>
      <c r="G20" s="650">
        <v>499.25805555555564</v>
      </c>
      <c r="H20" s="650">
        <v>220.53694444444446</v>
      </c>
      <c r="I20" s="566">
        <f t="shared" si="7"/>
        <v>719.79500000000007</v>
      </c>
      <c r="J20" s="566">
        <f t="shared" si="0"/>
        <v>764.82</v>
      </c>
      <c r="K20" s="568">
        <f t="shared" si="1"/>
        <v>24.671612903225807</v>
      </c>
      <c r="L20" s="596">
        <f t="shared" si="2"/>
        <v>95.393017153097801</v>
      </c>
      <c r="M20" s="596">
        <f t="shared" si="3"/>
        <v>95.104838709677423</v>
      </c>
      <c r="N20" s="596" t="e">
        <f>J20+'Jan ANX III  '!N20</f>
        <v>#REF!</v>
      </c>
      <c r="O20" s="568" t="e">
        <f t="shared" si="4"/>
        <v>#REF!</v>
      </c>
      <c r="P20" s="596" t="e">
        <f t="shared" si="5"/>
        <v>#REF!</v>
      </c>
      <c r="Q20" s="596" t="e">
        <f t="shared" si="6"/>
        <v>#REF!</v>
      </c>
      <c r="R20" s="570" t="e">
        <f t="shared" si="8"/>
        <v>#REF!</v>
      </c>
      <c r="S20" s="565" t="e">
        <f t="shared" si="8"/>
        <v>#REF!</v>
      </c>
    </row>
    <row r="21" spans="1:20" s="429" customFormat="1" ht="25.5" customHeight="1">
      <c r="A21" s="228">
        <v>12</v>
      </c>
      <c r="B21" s="505" t="s">
        <v>99</v>
      </c>
      <c r="C21" s="612">
        <v>65</v>
      </c>
      <c r="D21" s="612">
        <v>65</v>
      </c>
      <c r="E21" s="612">
        <v>80.03</v>
      </c>
      <c r="F21" s="592" t="e">
        <f>E21+'Jan ANX III  '!F21</f>
        <v>#REF!</v>
      </c>
      <c r="G21" s="555">
        <v>950.51</v>
      </c>
      <c r="H21" s="555">
        <v>393.15</v>
      </c>
      <c r="I21" s="531">
        <f t="shared" si="7"/>
        <v>1343.6599999999999</v>
      </c>
      <c r="J21" s="531">
        <f t="shared" si="0"/>
        <v>1423.6899999999998</v>
      </c>
      <c r="K21" s="531">
        <f t="shared" si="1"/>
        <v>21.902923076923074</v>
      </c>
      <c r="L21" s="596">
        <f t="shared" si="2"/>
        <v>95.898473748473748</v>
      </c>
      <c r="M21" s="596">
        <f t="shared" si="3"/>
        <v>95.654181929181931</v>
      </c>
      <c r="N21" s="596" t="e">
        <f>J21+'Jan ANX III  '!N21</f>
        <v>#REF!</v>
      </c>
      <c r="O21" s="531" t="e">
        <f t="shared" si="4"/>
        <v>#REF!</v>
      </c>
      <c r="P21" s="596" t="e">
        <f t="shared" si="5"/>
        <v>#REF!</v>
      </c>
      <c r="Q21" s="596" t="e">
        <f t="shared" si="6"/>
        <v>#REF!</v>
      </c>
      <c r="R21" s="428"/>
      <c r="S21" s="428"/>
    </row>
    <row r="22" spans="1:20" s="573" customFormat="1" ht="25.5" customHeight="1">
      <c r="A22" s="571">
        <v>14</v>
      </c>
      <c r="B22" s="565" t="s">
        <v>52</v>
      </c>
      <c r="C22" s="628">
        <v>14</v>
      </c>
      <c r="D22" s="628">
        <v>14</v>
      </c>
      <c r="E22" s="651">
        <v>65.70999999999998</v>
      </c>
      <c r="F22" s="592" t="e">
        <f>E22+'Jan ANX III  '!F22</f>
        <v>#REF!</v>
      </c>
      <c r="G22" s="628">
        <v>95.850000000000009</v>
      </c>
      <c r="H22" s="628">
        <v>141.07999999999998</v>
      </c>
      <c r="I22" s="566">
        <f t="shared" si="7"/>
        <v>236.93</v>
      </c>
      <c r="J22" s="566">
        <f t="shared" si="0"/>
        <v>302.64</v>
      </c>
      <c r="K22" s="568">
        <f t="shared" si="1"/>
        <v>21.617142857142856</v>
      </c>
      <c r="L22" s="596">
        <f t="shared" si="2"/>
        <v>96.642148526077094</v>
      </c>
      <c r="M22" s="596">
        <f t="shared" si="3"/>
        <v>95.710884353741491</v>
      </c>
      <c r="N22" s="596" t="e">
        <f>J22+'Jan ANX III  '!N22</f>
        <v>#REF!</v>
      </c>
      <c r="O22" s="568" t="e">
        <f t="shared" si="4"/>
        <v>#REF!</v>
      </c>
      <c r="P22" s="596" t="e">
        <f t="shared" si="5"/>
        <v>#REF!</v>
      </c>
      <c r="Q22" s="596" t="e">
        <f t="shared" si="6"/>
        <v>#REF!</v>
      </c>
      <c r="R22" s="572" t="e">
        <f t="shared" si="8"/>
        <v>#REF!</v>
      </c>
      <c r="S22" s="572" t="e">
        <f t="shared" si="8"/>
        <v>#REF!</v>
      </c>
    </row>
    <row r="23" spans="1:20" s="573" customFormat="1" ht="30" customHeight="1">
      <c r="A23" s="571">
        <v>15</v>
      </c>
      <c r="B23" s="565" t="s">
        <v>53</v>
      </c>
      <c r="C23" s="628">
        <v>35</v>
      </c>
      <c r="D23" s="628">
        <v>35</v>
      </c>
      <c r="E23" s="651">
        <v>50.749999999999993</v>
      </c>
      <c r="F23" s="592" t="e">
        <f>E23+'Jan ANX III  '!F23</f>
        <v>#REF!</v>
      </c>
      <c r="G23" s="628">
        <v>114.35000000000001</v>
      </c>
      <c r="H23" s="628">
        <v>410.2299999999999</v>
      </c>
      <c r="I23" s="566">
        <f t="shared" si="7"/>
        <v>524.57999999999993</v>
      </c>
      <c r="J23" s="566">
        <f t="shared" si="0"/>
        <v>575.32999999999993</v>
      </c>
      <c r="K23" s="568">
        <f t="shared" si="1"/>
        <v>16.437999999999999</v>
      </c>
      <c r="L23" s="596">
        <f t="shared" si="2"/>
        <v>97.026190476190465</v>
      </c>
      <c r="M23" s="596">
        <f t="shared" si="3"/>
        <v>96.738492063492046</v>
      </c>
      <c r="N23" s="596" t="e">
        <f>J23+'Jan ANX III  '!N23</f>
        <v>#REF!</v>
      </c>
      <c r="O23" s="568" t="e">
        <f t="shared" si="4"/>
        <v>#REF!</v>
      </c>
      <c r="P23" s="596" t="e">
        <f t="shared" si="5"/>
        <v>#REF!</v>
      </c>
      <c r="Q23" s="596" t="e">
        <f t="shared" si="6"/>
        <v>#REF!</v>
      </c>
      <c r="R23" s="572" t="e">
        <f t="shared" si="8"/>
        <v>#REF!</v>
      </c>
      <c r="S23" s="572" t="e">
        <f t="shared" si="8"/>
        <v>#REF!</v>
      </c>
    </row>
    <row r="24" spans="1:20" s="573" customFormat="1" ht="25.5" customHeight="1">
      <c r="A24" s="571">
        <v>16</v>
      </c>
      <c r="B24" s="565" t="s">
        <v>54</v>
      </c>
      <c r="C24" s="628">
        <v>40</v>
      </c>
      <c r="D24" s="628">
        <v>40</v>
      </c>
      <c r="E24" s="651">
        <f>0+123.9</f>
        <v>123.9</v>
      </c>
      <c r="F24" s="592" t="e">
        <f>E24+'Jan ANX III  '!F24</f>
        <v>#REF!</v>
      </c>
      <c r="G24" s="628">
        <v>121.64</v>
      </c>
      <c r="H24" s="628">
        <v>75.680000000000007</v>
      </c>
      <c r="I24" s="566">
        <f t="shared" si="7"/>
        <v>197.32</v>
      </c>
      <c r="J24" s="566">
        <f t="shared" si="0"/>
        <v>321.22000000000003</v>
      </c>
      <c r="K24" s="568">
        <f t="shared" si="1"/>
        <v>8.0305</v>
      </c>
      <c r="L24" s="596">
        <f t="shared" si="2"/>
        <v>99.021230158730162</v>
      </c>
      <c r="M24" s="596">
        <f t="shared" si="3"/>
        <v>98.40664682539682</v>
      </c>
      <c r="N24" s="596" t="e">
        <f>J24+'Jan ANX III  '!N24</f>
        <v>#REF!</v>
      </c>
      <c r="O24" s="568" t="e">
        <f t="shared" si="4"/>
        <v>#REF!</v>
      </c>
      <c r="P24" s="596" t="e">
        <f t="shared" si="5"/>
        <v>#REF!</v>
      </c>
      <c r="Q24" s="596" t="e">
        <f t="shared" si="6"/>
        <v>#REF!</v>
      </c>
      <c r="R24" s="572" t="e">
        <f t="shared" si="8"/>
        <v>#REF!</v>
      </c>
      <c r="S24" s="572" t="e">
        <f t="shared" si="8"/>
        <v>#REF!</v>
      </c>
    </row>
    <row r="25" spans="1:20" s="429" customFormat="1" ht="25.5" customHeight="1">
      <c r="A25" s="228">
        <v>13</v>
      </c>
      <c r="B25" s="505" t="s">
        <v>52</v>
      </c>
      <c r="C25" s="612">
        <v>89</v>
      </c>
      <c r="D25" s="612">
        <v>89</v>
      </c>
      <c r="E25" s="652">
        <v>240.36</v>
      </c>
      <c r="F25" s="592" t="e">
        <f>E25+'Jan ANX III  '!F25</f>
        <v>#REF!</v>
      </c>
      <c r="G25" s="612">
        <v>331.84</v>
      </c>
      <c r="H25" s="612">
        <v>626.99</v>
      </c>
      <c r="I25" s="531">
        <f>G25+H25</f>
        <v>958.82999999999993</v>
      </c>
      <c r="J25" s="531">
        <f t="shared" si="0"/>
        <v>1199.19</v>
      </c>
      <c r="K25" s="531">
        <f t="shared" si="1"/>
        <v>13.474044943820225</v>
      </c>
      <c r="L25" s="596">
        <f t="shared" si="2"/>
        <v>97.862426431246661</v>
      </c>
      <c r="M25" s="596">
        <f t="shared" si="3"/>
        <v>97.326578384162659</v>
      </c>
      <c r="N25" s="596" t="e">
        <f>J25+'Jan ANX III  '!N25</f>
        <v>#REF!</v>
      </c>
      <c r="O25" s="531" t="e">
        <f t="shared" si="4"/>
        <v>#REF!</v>
      </c>
      <c r="P25" s="596" t="e">
        <f t="shared" si="5"/>
        <v>#REF!</v>
      </c>
      <c r="Q25" s="596" t="e">
        <f t="shared" si="6"/>
        <v>#REF!</v>
      </c>
      <c r="R25" s="428"/>
      <c r="S25" s="428"/>
    </row>
    <row r="26" spans="1:20" s="429" customFormat="1" ht="25.5" customHeight="1">
      <c r="A26" s="228">
        <v>14</v>
      </c>
      <c r="B26" s="505" t="s">
        <v>94</v>
      </c>
      <c r="C26" s="612">
        <v>19</v>
      </c>
      <c r="D26" s="612">
        <v>19</v>
      </c>
      <c r="E26" s="555">
        <v>0.14513888888888887</v>
      </c>
      <c r="F26" s="592" t="e">
        <f>E26+'Jan ANX III  '!F26</f>
        <v>#REF!</v>
      </c>
      <c r="G26" s="555">
        <v>7.3888888888888875</v>
      </c>
      <c r="H26" s="555">
        <v>3.0569444444444445</v>
      </c>
      <c r="I26" s="531">
        <f t="shared" si="7"/>
        <v>10.445833333333333</v>
      </c>
      <c r="J26" s="531">
        <f t="shared" si="0"/>
        <v>10.590972222222222</v>
      </c>
      <c r="K26" s="531">
        <f t="shared" si="1"/>
        <v>0.55741959064327484</v>
      </c>
      <c r="L26" s="596">
        <f t="shared" si="2"/>
        <v>99.890916527429681</v>
      </c>
      <c r="M26" s="596">
        <f t="shared" si="3"/>
        <v>99.889400874872365</v>
      </c>
      <c r="N26" s="596" t="e">
        <f>J26+'Jan ANX III  '!N26</f>
        <v>#REF!</v>
      </c>
      <c r="O26" s="532" t="e">
        <f t="shared" si="4"/>
        <v>#REF!</v>
      </c>
      <c r="P26" s="596" t="e">
        <f t="shared" si="5"/>
        <v>#REF!</v>
      </c>
      <c r="Q26" s="596" t="e">
        <f t="shared" si="6"/>
        <v>#REF!</v>
      </c>
      <c r="R26" s="428" t="e">
        <f>L26-P26</f>
        <v>#REF!</v>
      </c>
      <c r="S26" s="428" t="e">
        <f>M26-Q26</f>
        <v>#REF!</v>
      </c>
    </row>
    <row r="27" spans="1:20" s="573" customFormat="1" ht="25.5" customHeight="1">
      <c r="A27" s="571">
        <v>18</v>
      </c>
      <c r="B27" s="565" t="s">
        <v>32</v>
      </c>
      <c r="C27" s="628">
        <v>34</v>
      </c>
      <c r="D27" s="628">
        <v>34</v>
      </c>
      <c r="E27" s="651">
        <v>3.59</v>
      </c>
      <c r="F27" s="592" t="e">
        <f>E27+'Jan ANX III  '!F27</f>
        <v>#REF!</v>
      </c>
      <c r="G27" s="650">
        <v>33.58</v>
      </c>
      <c r="H27" s="650">
        <v>5.5111111111111111</v>
      </c>
      <c r="I27" s="654">
        <f t="shared" si="7"/>
        <v>39.091111111111111</v>
      </c>
      <c r="J27" s="654">
        <f t="shared" si="0"/>
        <v>42.681111111111107</v>
      </c>
      <c r="K27" s="568">
        <f t="shared" si="1"/>
        <v>1.2553267973856208</v>
      </c>
      <c r="L27" s="596">
        <f t="shared" si="2"/>
        <v>99.771877269426284</v>
      </c>
      <c r="M27" s="596">
        <f t="shared" si="3"/>
        <v>99.750927222740941</v>
      </c>
      <c r="N27" s="596" t="e">
        <f>J27+'Jan ANX III  '!N27</f>
        <v>#REF!</v>
      </c>
      <c r="O27" s="568" t="e">
        <f t="shared" si="4"/>
        <v>#REF!</v>
      </c>
      <c r="P27" s="596" t="e">
        <f t="shared" si="5"/>
        <v>#REF!</v>
      </c>
      <c r="Q27" s="596" t="e">
        <f t="shared" si="6"/>
        <v>#REF!</v>
      </c>
      <c r="R27" s="572" t="e">
        <f t="shared" si="8"/>
        <v>#REF!</v>
      </c>
      <c r="S27" s="572" t="e">
        <f t="shared" si="8"/>
        <v>#REF!</v>
      </c>
    </row>
    <row r="28" spans="1:20" s="573" customFormat="1" ht="25.5" customHeight="1">
      <c r="A28" s="571">
        <v>19</v>
      </c>
      <c r="B28" s="565" t="s">
        <v>55</v>
      </c>
      <c r="C28" s="628">
        <v>47</v>
      </c>
      <c r="D28" s="628">
        <v>47</v>
      </c>
      <c r="E28" s="628">
        <v>78.59</v>
      </c>
      <c r="F28" s="592" t="e">
        <f>E28+'Jan ANX III  '!F28</f>
        <v>#REF!</v>
      </c>
      <c r="G28" s="650">
        <v>62.426388888888887</v>
      </c>
      <c r="H28" s="650">
        <v>33.999305555555551</v>
      </c>
      <c r="I28" s="654">
        <v>142.23638888888888</v>
      </c>
      <c r="J28" s="654">
        <f t="shared" si="0"/>
        <v>220.82638888888889</v>
      </c>
      <c r="K28" s="568">
        <f t="shared" si="1"/>
        <v>4.6984338061465722</v>
      </c>
      <c r="L28" s="596">
        <f t="shared" si="2"/>
        <v>99.399542431235687</v>
      </c>
      <c r="M28" s="596">
        <f t="shared" si="3"/>
        <v>99.067771070209005</v>
      </c>
      <c r="N28" s="596" t="e">
        <f>J28+'Jan ANX III  '!N28</f>
        <v>#REF!</v>
      </c>
      <c r="O28" s="568" t="e">
        <f t="shared" si="4"/>
        <v>#REF!</v>
      </c>
      <c r="P28" s="596" t="e">
        <f t="shared" si="5"/>
        <v>#REF!</v>
      </c>
      <c r="Q28" s="596" t="e">
        <f t="shared" si="6"/>
        <v>#REF!</v>
      </c>
      <c r="R28" s="572" t="e">
        <f t="shared" si="8"/>
        <v>#REF!</v>
      </c>
      <c r="S28" s="572" t="e">
        <f t="shared" si="8"/>
        <v>#REF!</v>
      </c>
    </row>
    <row r="29" spans="1:20" s="429" customFormat="1" ht="25.5" customHeight="1">
      <c r="A29" s="228">
        <v>15</v>
      </c>
      <c r="B29" s="505" t="s">
        <v>32</v>
      </c>
      <c r="C29" s="612">
        <v>81</v>
      </c>
      <c r="D29" s="612">
        <v>81</v>
      </c>
      <c r="E29" s="612">
        <v>82.18</v>
      </c>
      <c r="F29" s="592" t="e">
        <f>E29+'Jan ANX III  '!F29</f>
        <v>#REF!</v>
      </c>
      <c r="G29" s="555">
        <v>96.01</v>
      </c>
      <c r="H29" s="555">
        <v>39.51</v>
      </c>
      <c r="I29" s="531">
        <f t="shared" si="7"/>
        <v>135.52000000000001</v>
      </c>
      <c r="J29" s="531">
        <f t="shared" si="0"/>
        <v>217.70000000000002</v>
      </c>
      <c r="K29" s="531">
        <f t="shared" si="1"/>
        <v>2.6876543209876544</v>
      </c>
      <c r="L29" s="596">
        <f t="shared" si="2"/>
        <v>99.668038408779168</v>
      </c>
      <c r="M29" s="596">
        <f t="shared" si="3"/>
        <v>99.466735253772299</v>
      </c>
      <c r="N29" s="596" t="e">
        <f>J29+'Jan ANX III  '!N29</f>
        <v>#REF!</v>
      </c>
      <c r="O29" s="531" t="e">
        <f t="shared" si="4"/>
        <v>#REF!</v>
      </c>
      <c r="P29" s="596" t="e">
        <f t="shared" si="5"/>
        <v>#REF!</v>
      </c>
      <c r="Q29" s="596" t="e">
        <f t="shared" si="6"/>
        <v>#REF!</v>
      </c>
      <c r="R29" s="428"/>
      <c r="S29" s="428"/>
    </row>
    <row r="30" spans="1:20" s="429" customFormat="1" ht="30.75" customHeight="1">
      <c r="A30" s="228">
        <v>16</v>
      </c>
      <c r="B30" s="505" t="s">
        <v>56</v>
      </c>
      <c r="C30" s="612">
        <v>64</v>
      </c>
      <c r="D30" s="612">
        <v>64</v>
      </c>
      <c r="E30" s="555">
        <v>6.58</v>
      </c>
      <c r="F30" s="592" t="e">
        <f>E30+'Jan ANX III  '!F30</f>
        <v>#REF!</v>
      </c>
      <c r="G30" s="555">
        <v>51.55</v>
      </c>
      <c r="H30" s="555">
        <v>11.032638888888888</v>
      </c>
      <c r="I30" s="531">
        <f t="shared" si="7"/>
        <v>62.582638888888887</v>
      </c>
      <c r="J30" s="531">
        <f t="shared" si="0"/>
        <v>69.162638888888893</v>
      </c>
      <c r="K30" s="531">
        <f t="shared" si="1"/>
        <v>1.0806662326388889</v>
      </c>
      <c r="L30" s="596">
        <f t="shared" si="2"/>
        <v>99.80598140225419</v>
      </c>
      <c r="M30" s="596">
        <f t="shared" si="3"/>
        <v>99.785582096698647</v>
      </c>
      <c r="N30" s="596" t="e">
        <f>J30+'Jan ANX III  '!N30</f>
        <v>#REF!</v>
      </c>
      <c r="O30" s="531" t="e">
        <f t="shared" si="4"/>
        <v>#REF!</v>
      </c>
      <c r="P30" s="596" t="e">
        <f t="shared" si="5"/>
        <v>#REF!</v>
      </c>
      <c r="Q30" s="596" t="e">
        <f t="shared" si="6"/>
        <v>#REF!</v>
      </c>
      <c r="R30" s="428" t="e">
        <f t="shared" si="8"/>
        <v>#REF!</v>
      </c>
      <c r="S30" s="428" t="e">
        <f t="shared" si="8"/>
        <v>#REF!</v>
      </c>
    </row>
    <row r="31" spans="1:20" s="429" customFormat="1" ht="103.5" customHeight="1">
      <c r="A31" s="959" t="s">
        <v>167</v>
      </c>
      <c r="B31" s="959"/>
      <c r="C31" s="959"/>
      <c r="D31" s="959"/>
      <c r="E31" s="959"/>
      <c r="F31" s="959"/>
      <c r="G31" s="959"/>
      <c r="H31" s="959"/>
      <c r="I31" s="959"/>
      <c r="J31" s="959"/>
      <c r="K31" s="959"/>
      <c r="L31" s="959"/>
      <c r="M31" s="959"/>
      <c r="N31" s="959"/>
      <c r="O31" s="959"/>
      <c r="P31" s="959"/>
      <c r="Q31" s="959"/>
      <c r="R31" s="959"/>
      <c r="S31" s="959"/>
    </row>
    <row r="32" spans="1:20" s="429" customFormat="1" ht="67.5" customHeight="1">
      <c r="A32" s="634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29"/>
      <c r="P32" s="629"/>
      <c r="Q32" s="629"/>
      <c r="R32" s="634"/>
      <c r="S32" s="634"/>
    </row>
    <row r="33" spans="1:19" s="429" customFormat="1" ht="74.25" customHeight="1">
      <c r="A33" s="426"/>
      <c r="B33" s="949" t="s">
        <v>147</v>
      </c>
      <c r="C33" s="949"/>
      <c r="D33" s="949"/>
      <c r="E33" s="949"/>
      <c r="F33" s="949"/>
      <c r="G33" s="949"/>
      <c r="H33" s="949"/>
      <c r="I33" s="949"/>
      <c r="J33" s="949"/>
      <c r="K33" s="949"/>
      <c r="L33" s="949"/>
      <c r="M33" s="949"/>
      <c r="N33" s="949"/>
      <c r="O33" s="949"/>
      <c r="P33" s="949"/>
      <c r="Q33" s="950"/>
      <c r="R33" s="428"/>
      <c r="S33" s="428"/>
    </row>
    <row r="34" spans="1:19" s="429" customFormat="1" ht="21.75" customHeight="1" thickBot="1">
      <c r="A34" s="426"/>
      <c r="B34" s="430" t="s">
        <v>66</v>
      </c>
      <c r="C34" s="430"/>
      <c r="D34" s="430"/>
      <c r="E34" s="430"/>
      <c r="F34" s="430"/>
      <c r="G34" s="433"/>
      <c r="H34" s="433"/>
      <c r="I34" s="430"/>
      <c r="J34" s="430"/>
      <c r="K34" s="430"/>
      <c r="L34" s="431"/>
      <c r="M34" s="431"/>
      <c r="N34" s="431"/>
      <c r="O34" s="427"/>
      <c r="P34" s="431"/>
      <c r="Q34" s="432"/>
      <c r="R34" s="428"/>
      <c r="S34" s="428"/>
    </row>
    <row r="35" spans="1:19" ht="45.75" customHeight="1">
      <c r="A35" s="933" t="s">
        <v>33</v>
      </c>
      <c r="B35" s="934"/>
      <c r="C35" s="934"/>
      <c r="D35" s="934"/>
      <c r="E35" s="934"/>
      <c r="F35" s="934"/>
      <c r="G35" s="934"/>
      <c r="H35" s="934"/>
      <c r="I35" s="934"/>
      <c r="J35" s="934"/>
      <c r="K35" s="934"/>
      <c r="L35" s="934"/>
      <c r="M35" s="934"/>
      <c r="N35" s="934"/>
      <c r="O35" s="934"/>
      <c r="P35" s="934"/>
      <c r="Q35" s="935"/>
      <c r="R35" s="506">
        <f t="shared" si="8"/>
        <v>0</v>
      </c>
    </row>
    <row r="36" spans="1:19" ht="33" customHeight="1" thickBot="1">
      <c r="A36" s="936"/>
      <c r="B36" s="937"/>
      <c r="C36" s="937"/>
      <c r="D36" s="937"/>
      <c r="E36" s="937"/>
      <c r="F36" s="937"/>
      <c r="G36" s="937"/>
      <c r="H36" s="937"/>
      <c r="I36" s="937"/>
      <c r="J36" s="937"/>
      <c r="K36" s="937"/>
      <c r="L36" s="937"/>
      <c r="M36" s="937"/>
      <c r="N36" s="937"/>
      <c r="O36" s="937"/>
      <c r="P36" s="937"/>
      <c r="Q36" s="938"/>
      <c r="R36" s="506">
        <f t="shared" si="8"/>
        <v>0</v>
      </c>
    </row>
    <row r="37" spans="1:19" ht="28.5" customHeight="1">
      <c r="A37" s="940" t="s">
        <v>34</v>
      </c>
      <c r="B37" s="941"/>
      <c r="C37" s="941"/>
      <c r="D37" s="941"/>
      <c r="E37" s="941"/>
      <c r="F37" s="941"/>
      <c r="G37" s="941"/>
      <c r="H37" s="941"/>
      <c r="I37" s="941"/>
      <c r="J37" s="941"/>
      <c r="K37" s="941"/>
      <c r="L37" s="941"/>
      <c r="M37" s="941"/>
      <c r="N37" s="941"/>
      <c r="O37" s="941"/>
      <c r="P37" s="941"/>
      <c r="Q37" s="942"/>
      <c r="R37" s="506">
        <f t="shared" si="8"/>
        <v>0</v>
      </c>
    </row>
    <row r="38" spans="1:19" ht="17.25" customHeight="1">
      <c r="A38" s="943"/>
      <c r="B38" s="944"/>
      <c r="C38" s="944"/>
      <c r="D38" s="944"/>
      <c r="E38" s="944"/>
      <c r="F38" s="944"/>
      <c r="G38" s="944"/>
      <c r="H38" s="944"/>
      <c r="I38" s="944"/>
      <c r="J38" s="944"/>
      <c r="K38" s="944"/>
      <c r="L38" s="944"/>
      <c r="M38" s="944"/>
      <c r="N38" s="944"/>
      <c r="O38" s="944"/>
      <c r="P38" s="944"/>
      <c r="Q38" s="945"/>
      <c r="R38" s="506">
        <f t="shared" si="8"/>
        <v>0</v>
      </c>
    </row>
    <row r="39" spans="1:19" ht="13.5" customHeight="1" thickBot="1">
      <c r="A39" s="946"/>
      <c r="B39" s="947"/>
      <c r="C39" s="947"/>
      <c r="D39" s="947"/>
      <c r="E39" s="947"/>
      <c r="F39" s="947"/>
      <c r="G39" s="947"/>
      <c r="H39" s="947"/>
      <c r="I39" s="947"/>
      <c r="J39" s="947"/>
      <c r="K39" s="947"/>
      <c r="L39" s="947"/>
      <c r="M39" s="947"/>
      <c r="N39" s="947"/>
      <c r="O39" s="947"/>
      <c r="P39" s="947"/>
      <c r="Q39" s="948"/>
      <c r="R39" s="506">
        <f t="shared" si="8"/>
        <v>0</v>
      </c>
    </row>
    <row r="40" spans="1:19" ht="30.75" customHeight="1">
      <c r="A40" s="933" t="s">
        <v>35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4"/>
      <c r="N40" s="934"/>
      <c r="O40" s="934"/>
      <c r="P40" s="934"/>
      <c r="Q40" s="935"/>
      <c r="R40" s="506">
        <f t="shared" si="8"/>
        <v>0</v>
      </c>
    </row>
    <row r="41" spans="1:19" ht="20.25" customHeight="1" thickBot="1">
      <c r="A41" s="936"/>
      <c r="B41" s="937"/>
      <c r="C41" s="937"/>
      <c r="D41" s="937"/>
      <c r="E41" s="937"/>
      <c r="F41" s="937"/>
      <c r="G41" s="937"/>
      <c r="H41" s="937"/>
      <c r="I41" s="937"/>
      <c r="J41" s="937"/>
      <c r="K41" s="937"/>
      <c r="L41" s="937"/>
      <c r="M41" s="937"/>
      <c r="N41" s="937"/>
      <c r="O41" s="937"/>
      <c r="P41" s="937"/>
      <c r="Q41" s="938"/>
      <c r="R41" s="506">
        <f t="shared" si="8"/>
        <v>0</v>
      </c>
    </row>
    <row r="42" spans="1:19" ht="18.75" customHeight="1">
      <c r="A42" s="933" t="s">
        <v>36</v>
      </c>
      <c r="B42" s="934"/>
      <c r="C42" s="934"/>
      <c r="D42" s="934"/>
      <c r="E42" s="934"/>
      <c r="F42" s="934"/>
      <c r="G42" s="934"/>
      <c r="H42" s="934"/>
      <c r="I42" s="934"/>
      <c r="J42" s="934"/>
      <c r="K42" s="934"/>
      <c r="L42" s="934"/>
      <c r="M42" s="934"/>
      <c r="N42" s="934"/>
      <c r="O42" s="934"/>
      <c r="P42" s="934"/>
      <c r="Q42" s="935"/>
      <c r="R42" s="506">
        <f t="shared" si="8"/>
        <v>0</v>
      </c>
    </row>
    <row r="43" spans="1:19" ht="29.25" customHeight="1" thickBot="1">
      <c r="A43" s="936"/>
      <c r="B43" s="937"/>
      <c r="C43" s="937"/>
      <c r="D43" s="937"/>
      <c r="E43" s="937"/>
      <c r="F43" s="937"/>
      <c r="G43" s="937"/>
      <c r="H43" s="937"/>
      <c r="I43" s="937"/>
      <c r="J43" s="937"/>
      <c r="K43" s="937"/>
      <c r="L43" s="937"/>
      <c r="M43" s="937"/>
      <c r="N43" s="937"/>
      <c r="O43" s="937"/>
      <c r="P43" s="937"/>
      <c r="Q43" s="938"/>
      <c r="R43" s="506">
        <f t="shared" si="8"/>
        <v>0</v>
      </c>
    </row>
    <row r="44" spans="1:19">
      <c r="R44" s="506">
        <f t="shared" si="8"/>
        <v>0</v>
      </c>
    </row>
    <row r="45" spans="1:19">
      <c r="R45" s="506">
        <f t="shared" si="8"/>
        <v>0</v>
      </c>
    </row>
    <row r="46" spans="1:19">
      <c r="D46" s="501">
        <v>123.89999999999999</v>
      </c>
      <c r="F46" s="501">
        <v>41.65902777777778</v>
      </c>
      <c r="G46" s="507">
        <v>85.796527777777783</v>
      </c>
      <c r="R46" s="506">
        <f t="shared" si="8"/>
        <v>0</v>
      </c>
    </row>
    <row r="47" spans="1:19" ht="15" customHeight="1">
      <c r="D47" s="501">
        <v>8.75</v>
      </c>
      <c r="F47" s="501">
        <v>75.739999999999995</v>
      </c>
      <c r="G47" s="507">
        <v>23.58</v>
      </c>
      <c r="I47" s="501">
        <v>114.35000000000001</v>
      </c>
      <c r="J47" s="501">
        <v>410.2299999999999</v>
      </c>
      <c r="P47" s="506"/>
      <c r="Q47" s="506"/>
      <c r="R47" s="506">
        <f t="shared" si="8"/>
        <v>0</v>
      </c>
    </row>
    <row r="48" spans="1:19" ht="15" customHeight="1">
      <c r="P48" s="506">
        <f>98.57</f>
        <v>98.57</v>
      </c>
      <c r="Q48" s="506">
        <f>97.92</f>
        <v>97.92</v>
      </c>
      <c r="R48" s="506">
        <f t="shared" si="8"/>
        <v>-98.57</v>
      </c>
    </row>
    <row r="49" spans="1:18" ht="15" customHeight="1">
      <c r="H49" s="507">
        <v>3.42</v>
      </c>
      <c r="R49" s="506">
        <f t="shared" si="8"/>
        <v>0</v>
      </c>
    </row>
    <row r="50" spans="1:18" ht="15" customHeight="1">
      <c r="C50" s="508"/>
      <c r="H50" s="507">
        <v>0.47</v>
      </c>
      <c r="R50" s="506">
        <f t="shared" si="8"/>
        <v>0</v>
      </c>
    </row>
    <row r="51" spans="1:18" s="480" customFormat="1" ht="12.75">
      <c r="A51" s="477"/>
      <c r="B51" s="478" t="s">
        <v>166</v>
      </c>
      <c r="C51" s="479"/>
      <c r="D51" s="479"/>
      <c r="E51" s="479"/>
      <c r="F51" s="479"/>
      <c r="G51" s="479"/>
      <c r="H51" s="479"/>
      <c r="I51" s="479"/>
      <c r="J51" s="479"/>
    </row>
    <row r="52" spans="1:18" ht="15" customHeight="1">
      <c r="K52" s="501">
        <f>85+86+94</f>
        <v>265</v>
      </c>
      <c r="R52" s="506">
        <f t="shared" si="8"/>
        <v>0</v>
      </c>
    </row>
    <row r="53" spans="1:18" ht="15" customHeight="1">
      <c r="K53" s="501">
        <f>K52/3</f>
        <v>88.333333333333329</v>
      </c>
      <c r="R53" s="506">
        <f t="shared" si="8"/>
        <v>0</v>
      </c>
    </row>
    <row r="54" spans="1:18" ht="15" customHeight="1">
      <c r="R54" s="506">
        <f t="shared" si="8"/>
        <v>0</v>
      </c>
    </row>
    <row r="55" spans="1:18" ht="11.25" customHeight="1">
      <c r="R55" s="506">
        <f t="shared" si="8"/>
        <v>0</v>
      </c>
    </row>
    <row r="56" spans="1:18" ht="11.25" customHeight="1">
      <c r="R56" s="506">
        <f t="shared" si="8"/>
        <v>0</v>
      </c>
    </row>
    <row r="57" spans="1:18" ht="11.25" customHeight="1">
      <c r="R57" s="506">
        <f t="shared" si="8"/>
        <v>0</v>
      </c>
    </row>
    <row r="58" spans="1:18" ht="11.25" customHeight="1">
      <c r="R58" s="506">
        <f t="shared" si="8"/>
        <v>0</v>
      </c>
    </row>
    <row r="59" spans="1:18" ht="11.25" customHeight="1"/>
    <row r="60" spans="1:18" ht="11.25" customHeight="1">
      <c r="C60" s="508" t="e">
        <f>C8:C30</f>
        <v>#VALUE!</v>
      </c>
      <c r="L60" s="506">
        <f>L8+L9+L10+L11+L12+L13+L14+L15+L16+L17+L18+L26+L19+L20+L22+L23+L24+L27+L28+L30</f>
        <v>1937.8140560629963</v>
      </c>
      <c r="M60" s="506">
        <f>M8+M9+M10+M11+M12+M13+M14+M15+M16+M17+M18+M26+M19+M20+M22+M23+M24+M27+M28+M30</f>
        <v>1931.9028509136499</v>
      </c>
    </row>
    <row r="61" spans="1:18" ht="11.25" customHeight="1">
      <c r="C61" s="508">
        <f>C8+C9+C10+C11+C12+C13+C14+C15+C16+C17+C18+C19+C20+C22+C23+C24+C26+C27+C28+C30</f>
        <v>2558</v>
      </c>
      <c r="L61" s="501">
        <f>L60/20</f>
        <v>96.890702803149821</v>
      </c>
      <c r="M61" s="501">
        <f>M60/20</f>
        <v>96.595142545682492</v>
      </c>
    </row>
    <row r="62" spans="1:18">
      <c r="F62" s="501">
        <f>1013.5+118.24</f>
        <v>1131.74</v>
      </c>
      <c r="P62" s="506" t="e">
        <f>P8+P9+P10+P11+P12+P13+P14+P15+P16+P17+P18+P26+P19+P20+P22+P23+P24+P27+P28+P30</f>
        <v>#REF!</v>
      </c>
      <c r="Q62" s="506" t="e">
        <f>Q8+Q9+Q10+Q11+Q12+Q13+Q14+Q15+Q16+Q17+Q18+Q26+Q19+Q20+Q22+Q23+Q24+Q27+Q28+Q30</f>
        <v>#REF!</v>
      </c>
    </row>
    <row r="63" spans="1:18">
      <c r="C63" s="508">
        <f>C30+C29+C26+C25+C21+C18+C17+C16+C15+C14+C13+C12+C11+C10+C9+C8</f>
        <v>2558</v>
      </c>
    </row>
    <row r="64" spans="1:18">
      <c r="C64" s="501">
        <v>1420</v>
      </c>
      <c r="K64" s="506">
        <f>3258+J21</f>
        <v>4681.6899999999996</v>
      </c>
      <c r="P64" s="501" t="e">
        <f>P62/20</f>
        <v>#REF!</v>
      </c>
      <c r="Q64" s="501" t="e">
        <f>Q62/20</f>
        <v>#REF!</v>
      </c>
    </row>
    <row r="65" spans="1:16">
      <c r="C65" s="501">
        <v>529</v>
      </c>
    </row>
    <row r="66" spans="1:16">
      <c r="C66" s="508">
        <f>SUM(C63:C65)</f>
        <v>4507</v>
      </c>
    </row>
    <row r="67" spans="1:16">
      <c r="G67" s="507">
        <f>71.34+67.53</f>
        <v>138.87</v>
      </c>
    </row>
    <row r="73" spans="1:16" s="632" customFormat="1" ht="39.75" customHeight="1">
      <c r="A73" s="958" t="s">
        <v>165</v>
      </c>
      <c r="B73" s="958"/>
      <c r="C73" s="958"/>
      <c r="D73" s="958"/>
      <c r="E73" s="958"/>
      <c r="F73" s="958"/>
      <c r="G73" s="958"/>
      <c r="H73" s="958"/>
      <c r="I73" s="958"/>
      <c r="P73" s="633"/>
    </row>
  </sheetData>
  <mergeCells count="20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A73:I73"/>
    <mergeCell ref="A40:Q41"/>
    <mergeCell ref="A42:Q43"/>
    <mergeCell ref="G5:I5"/>
    <mergeCell ref="J5:M5"/>
    <mergeCell ref="N5:Q5"/>
    <mergeCell ref="B33:Q33"/>
    <mergeCell ref="A35:Q36"/>
    <mergeCell ref="A37:Q39"/>
    <mergeCell ref="A31:S31"/>
  </mergeCells>
  <printOptions horizontalCentered="1"/>
  <pageMargins left="0" right="0" top="0.5" bottom="0" header="0.19" footer="0.5"/>
  <pageSetup paperSize="9" scale="6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view="pageBreakPreview" topLeftCell="E1" zoomScale="80" zoomScaleSheetLayoutView="80" workbookViewId="0">
      <selection activeCell="I34" activeCellId="1" sqref="I34 L36"/>
    </sheetView>
  </sheetViews>
  <sheetFormatPr defaultRowHeight="12.75"/>
  <cols>
    <col min="1" max="1" width="8" style="463" customWidth="1"/>
    <col min="2" max="2" width="19.140625" style="643" customWidth="1"/>
    <col min="3" max="3" width="9.5703125" style="643" customWidth="1"/>
    <col min="4" max="4" width="9.42578125" style="643" customWidth="1"/>
    <col min="5" max="5" width="12.42578125" style="643" customWidth="1"/>
    <col min="6" max="6" width="13.85546875" style="643" customWidth="1"/>
    <col min="7" max="8" width="14.7109375" style="643" customWidth="1"/>
    <col min="9" max="9" width="15.85546875" style="643" customWidth="1"/>
    <col min="10" max="10" width="14.28515625" style="643" customWidth="1"/>
    <col min="11" max="11" width="12.140625" style="643" customWidth="1"/>
    <col min="12" max="12" width="9.5703125" style="643" customWidth="1"/>
    <col min="13" max="13" width="20" style="643" customWidth="1"/>
    <col min="14" max="14" width="16.85546875" style="643" customWidth="1"/>
    <col min="15" max="15" width="15" style="643" customWidth="1"/>
    <col min="16" max="16" width="15.7109375" style="643" customWidth="1"/>
    <col min="17" max="17" width="15.140625" style="643" customWidth="1"/>
    <col min="18" max="18" width="13.140625" style="643" hidden="1" customWidth="1"/>
    <col min="19" max="21" width="9.140625" style="643"/>
    <col min="22" max="22" width="12.28515625" style="643" customWidth="1"/>
    <col min="23" max="16384" width="9.140625" style="643"/>
  </cols>
  <sheetData>
    <row r="1" spans="1:25" s="434" customFormat="1" ht="17.25" customHeight="1">
      <c r="A1" s="901" t="s">
        <v>0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V1" s="435">
        <v>42461</v>
      </c>
      <c r="W1" s="436">
        <v>30</v>
      </c>
      <c r="X1" s="436">
        <f t="shared" ref="X1:X11" si="0">SUM(W1)</f>
        <v>30</v>
      </c>
      <c r="Y1" s="437"/>
    </row>
    <row r="2" spans="1:25" ht="17.25" customHeight="1">
      <c r="A2" s="902" t="s">
        <v>1</v>
      </c>
      <c r="B2" s="902"/>
      <c r="C2" s="902"/>
      <c r="D2" s="902"/>
      <c r="E2" s="902"/>
      <c r="F2" s="902"/>
      <c r="G2" s="902"/>
      <c r="H2" s="902"/>
      <c r="I2" s="902"/>
      <c r="J2" s="902"/>
      <c r="K2" s="902"/>
      <c r="L2" s="902"/>
      <c r="M2" s="902"/>
      <c r="N2" s="902"/>
      <c r="O2" s="902"/>
      <c r="P2" s="902"/>
      <c r="Q2" s="902"/>
      <c r="V2" s="439">
        <v>42491</v>
      </c>
      <c r="W2" s="440">
        <v>31</v>
      </c>
      <c r="X2" s="440">
        <f t="shared" si="0"/>
        <v>31</v>
      </c>
      <c r="Y2" s="441"/>
    </row>
    <row r="3" spans="1:25" ht="18" customHeight="1">
      <c r="A3" s="903" t="s">
        <v>170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V3" s="439">
        <v>42522</v>
      </c>
      <c r="W3" s="440">
        <v>30</v>
      </c>
      <c r="X3" s="440">
        <f t="shared" si="0"/>
        <v>30</v>
      </c>
      <c r="Y3" s="441"/>
    </row>
    <row r="4" spans="1:25" ht="15" customHeight="1">
      <c r="A4" s="442"/>
      <c r="B4" s="443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V4" s="439">
        <v>42552</v>
      </c>
      <c r="W4" s="440">
        <v>31</v>
      </c>
      <c r="X4" s="440">
        <f t="shared" si="0"/>
        <v>31</v>
      </c>
      <c r="Y4" s="441"/>
    </row>
    <row r="5" spans="1:25" s="445" customFormat="1" ht="28.5" customHeight="1">
      <c r="A5" s="904" t="s">
        <v>2</v>
      </c>
      <c r="B5" s="904" t="s">
        <v>3</v>
      </c>
      <c r="C5" s="904" t="s">
        <v>4</v>
      </c>
      <c r="D5" s="904" t="s">
        <v>5</v>
      </c>
      <c r="E5" s="873" t="s">
        <v>6</v>
      </c>
      <c r="F5" s="966" t="s">
        <v>7</v>
      </c>
      <c r="G5" s="905" t="s">
        <v>8</v>
      </c>
      <c r="H5" s="906"/>
      <c r="I5" s="906"/>
      <c r="J5" s="906" t="s">
        <v>171</v>
      </c>
      <c r="K5" s="906"/>
      <c r="L5" s="906"/>
      <c r="M5" s="906"/>
      <c r="N5" s="906" t="s">
        <v>139</v>
      </c>
      <c r="O5" s="906"/>
      <c r="P5" s="906"/>
      <c r="Q5" s="906"/>
      <c r="V5" s="446">
        <v>42583</v>
      </c>
      <c r="W5" s="447">
        <v>31</v>
      </c>
      <c r="X5" s="447">
        <f t="shared" si="0"/>
        <v>31</v>
      </c>
      <c r="Y5" s="448"/>
    </row>
    <row r="6" spans="1:25" s="450" customFormat="1" ht="94.5" customHeight="1">
      <c r="A6" s="904"/>
      <c r="B6" s="904"/>
      <c r="C6" s="904"/>
      <c r="D6" s="904"/>
      <c r="E6" s="873"/>
      <c r="F6" s="966"/>
      <c r="G6" s="637" t="s">
        <v>9</v>
      </c>
      <c r="H6" s="637" t="s">
        <v>10</v>
      </c>
      <c r="I6" s="640" t="s">
        <v>11</v>
      </c>
      <c r="J6" s="640" t="s">
        <v>12</v>
      </c>
      <c r="K6" s="640" t="s">
        <v>13</v>
      </c>
      <c r="L6" s="661" t="s">
        <v>78</v>
      </c>
      <c r="M6" s="661" t="s">
        <v>14</v>
      </c>
      <c r="N6" s="661" t="s">
        <v>140</v>
      </c>
      <c r="O6" s="640" t="s">
        <v>143</v>
      </c>
      <c r="P6" s="661" t="s">
        <v>141</v>
      </c>
      <c r="Q6" s="661" t="s">
        <v>142</v>
      </c>
      <c r="V6" s="446">
        <v>42614</v>
      </c>
      <c r="W6" s="447">
        <v>30</v>
      </c>
      <c r="X6" s="447">
        <f t="shared" si="0"/>
        <v>30</v>
      </c>
      <c r="Y6" s="451"/>
    </row>
    <row r="7" spans="1:25" s="454" customFormat="1" ht="24" customHeight="1">
      <c r="A7" s="452">
        <v>1</v>
      </c>
      <c r="B7" s="452">
        <v>2</v>
      </c>
      <c r="C7" s="452">
        <v>3</v>
      </c>
      <c r="D7" s="452">
        <v>4</v>
      </c>
      <c r="E7" s="452">
        <v>5</v>
      </c>
      <c r="F7" s="659" t="s">
        <v>19</v>
      </c>
      <c r="G7" s="452">
        <v>6</v>
      </c>
      <c r="H7" s="452">
        <v>7</v>
      </c>
      <c r="I7" s="452" t="s">
        <v>20</v>
      </c>
      <c r="J7" s="452" t="s">
        <v>21</v>
      </c>
      <c r="K7" s="453" t="s">
        <v>22</v>
      </c>
      <c r="L7" s="659" t="s">
        <v>23</v>
      </c>
      <c r="M7" s="659" t="s">
        <v>24</v>
      </c>
      <c r="N7" s="659">
        <v>13</v>
      </c>
      <c r="O7" s="452" t="s">
        <v>25</v>
      </c>
      <c r="P7" s="659">
        <v>15</v>
      </c>
      <c r="Q7" s="659">
        <v>16</v>
      </c>
      <c r="V7" s="439">
        <v>42644</v>
      </c>
      <c r="W7" s="440">
        <v>31</v>
      </c>
      <c r="X7" s="440">
        <f t="shared" si="0"/>
        <v>31</v>
      </c>
      <c r="Y7" s="455"/>
    </row>
    <row r="8" spans="1:25" s="345" customFormat="1" ht="42" customHeight="1">
      <c r="A8" s="338">
        <v>1</v>
      </c>
      <c r="B8" s="339" t="s">
        <v>26</v>
      </c>
      <c r="C8" s="669">
        <v>34</v>
      </c>
      <c r="D8" s="669">
        <v>31</v>
      </c>
      <c r="E8" s="678">
        <v>4.38</v>
      </c>
      <c r="F8" s="660" t="e">
        <f>E8+' Feb ANX I '!F8</f>
        <v>#REF!</v>
      </c>
      <c r="G8" s="678">
        <v>35.270000000000003</v>
      </c>
      <c r="H8" s="678">
        <v>26.52</v>
      </c>
      <c r="I8" s="519">
        <f>G8+H8</f>
        <v>61.790000000000006</v>
      </c>
      <c r="J8" s="519">
        <f t="shared" ref="J8:J14" si="1">E8+I8</f>
        <v>66.17</v>
      </c>
      <c r="K8" s="519">
        <f t="shared" ref="K8:K14" si="2">J8/C8</f>
        <v>1.9461764705882354</v>
      </c>
      <c r="L8" s="662">
        <f t="shared" ref="L8:L15" si="3">+(((C8*24)*31)-I8)*100/((C8*24)*31)</f>
        <v>99.755732131562297</v>
      </c>
      <c r="M8" s="662">
        <f t="shared" ref="M8:M15" si="4">+(((C8*24)*31)-J8)*100/((C8*24)*31)</f>
        <v>99.738417141049965</v>
      </c>
      <c r="N8" s="662" t="e">
        <f>J8+' Feb ANX I '!N8</f>
        <v>#REF!</v>
      </c>
      <c r="O8" s="521" t="e">
        <f t="shared" ref="O8:O14" si="5">N8/C8</f>
        <v>#REF!</v>
      </c>
      <c r="P8" s="662" t="e">
        <f t="shared" ref="P8:P15" si="6">((C8*24*365)-(N8-E8))*100/(C8*24*365)</f>
        <v>#REF!</v>
      </c>
      <c r="Q8" s="662" t="e">
        <f t="shared" ref="Q8:Q15" si="7">((C8*24*365)-(N8))*100/(C8*24*365)</f>
        <v>#REF!</v>
      </c>
      <c r="R8" s="341"/>
      <c r="S8" s="344" t="e">
        <f>L8-P8</f>
        <v>#REF!</v>
      </c>
      <c r="T8" s="344" t="e">
        <f>M8-Q8</f>
        <v>#REF!</v>
      </c>
      <c r="V8" s="346">
        <v>42675</v>
      </c>
      <c r="W8" s="347">
        <v>30</v>
      </c>
      <c r="X8" s="347">
        <f t="shared" si="0"/>
        <v>30</v>
      </c>
      <c r="Y8" s="345">
        <f>122+31</f>
        <v>153</v>
      </c>
    </row>
    <row r="9" spans="1:25" s="345" customFormat="1" ht="42" customHeight="1">
      <c r="A9" s="338">
        <v>2</v>
      </c>
      <c r="B9" s="339" t="s">
        <v>27</v>
      </c>
      <c r="C9" s="670">
        <v>11</v>
      </c>
      <c r="D9" s="670">
        <v>11</v>
      </c>
      <c r="E9" s="678">
        <v>10.25</v>
      </c>
      <c r="F9" s="660" t="e">
        <f>E9+' Feb ANX I '!F9</f>
        <v>#REF!</v>
      </c>
      <c r="G9" s="678">
        <v>208.28</v>
      </c>
      <c r="H9" s="678">
        <v>159.19999999999999</v>
      </c>
      <c r="I9" s="519">
        <f t="shared" ref="I9:I14" si="8">G9+H9</f>
        <v>367.48</v>
      </c>
      <c r="J9" s="519">
        <f t="shared" si="1"/>
        <v>377.73</v>
      </c>
      <c r="K9" s="519">
        <f t="shared" si="2"/>
        <v>34.339090909090913</v>
      </c>
      <c r="L9" s="662">
        <f t="shared" si="3"/>
        <v>95.509775171065499</v>
      </c>
      <c r="M9" s="662">
        <f t="shared" si="4"/>
        <v>95.384530791788862</v>
      </c>
      <c r="N9" s="662" t="e">
        <f>J9+' Feb ANX I '!N9</f>
        <v>#REF!</v>
      </c>
      <c r="O9" s="521" t="e">
        <f t="shared" si="5"/>
        <v>#REF!</v>
      </c>
      <c r="P9" s="662" t="e">
        <f t="shared" si="6"/>
        <v>#REF!</v>
      </c>
      <c r="Q9" s="662" t="e">
        <f t="shared" si="7"/>
        <v>#REF!</v>
      </c>
      <c r="R9" s="341"/>
      <c r="S9" s="344" t="e">
        <f t="shared" ref="S9:T24" si="9">L9-P9</f>
        <v>#REF!</v>
      </c>
      <c r="T9" s="344" t="e">
        <f t="shared" si="9"/>
        <v>#REF!</v>
      </c>
      <c r="V9" s="346">
        <v>42705</v>
      </c>
      <c r="W9" s="347">
        <v>31</v>
      </c>
      <c r="X9" s="347">
        <v>31</v>
      </c>
    </row>
    <row r="10" spans="1:25" s="348" customFormat="1" ht="42" customHeight="1">
      <c r="A10" s="338">
        <v>3</v>
      </c>
      <c r="B10" s="339" t="s">
        <v>28</v>
      </c>
      <c r="C10" s="671">
        <v>30</v>
      </c>
      <c r="D10" s="671">
        <v>30</v>
      </c>
      <c r="E10" s="679">
        <v>54</v>
      </c>
      <c r="F10" s="660" t="e">
        <f>E10+' Feb ANX I '!F10</f>
        <v>#REF!</v>
      </c>
      <c r="G10" s="679">
        <v>246</v>
      </c>
      <c r="H10" s="679">
        <v>50</v>
      </c>
      <c r="I10" s="519">
        <f t="shared" si="8"/>
        <v>296</v>
      </c>
      <c r="J10" s="519">
        <f t="shared" si="1"/>
        <v>350</v>
      </c>
      <c r="K10" s="519">
        <f t="shared" si="2"/>
        <v>11.666666666666666</v>
      </c>
      <c r="L10" s="662">
        <f t="shared" si="3"/>
        <v>98.673835125448022</v>
      </c>
      <c r="M10" s="662">
        <f t="shared" si="4"/>
        <v>98.431899641577061</v>
      </c>
      <c r="N10" s="662" t="e">
        <f>J10+' Feb ANX I '!N10</f>
        <v>#REF!</v>
      </c>
      <c r="O10" s="521" t="e">
        <f t="shared" si="5"/>
        <v>#REF!</v>
      </c>
      <c r="P10" s="662" t="e">
        <f t="shared" si="6"/>
        <v>#REF!</v>
      </c>
      <c r="Q10" s="662" t="e">
        <f t="shared" si="7"/>
        <v>#REF!</v>
      </c>
      <c r="R10" s="343"/>
      <c r="S10" s="344" t="e">
        <f t="shared" si="9"/>
        <v>#REF!</v>
      </c>
      <c r="T10" s="344" t="e">
        <f t="shared" si="9"/>
        <v>#REF!</v>
      </c>
      <c r="V10" s="349">
        <v>42370</v>
      </c>
      <c r="W10" s="350">
        <v>31</v>
      </c>
      <c r="X10" s="350">
        <f t="shared" si="0"/>
        <v>31</v>
      </c>
    </row>
    <row r="11" spans="1:25" s="358" customFormat="1" ht="42" customHeight="1">
      <c r="A11" s="338">
        <v>4</v>
      </c>
      <c r="B11" s="339" t="s">
        <v>29</v>
      </c>
      <c r="C11" s="669">
        <v>1351</v>
      </c>
      <c r="D11" s="674">
        <v>1163</v>
      </c>
      <c r="E11" s="678">
        <v>701.46</v>
      </c>
      <c r="F11" s="660" t="e">
        <f>E11+' Feb ANX I '!F11</f>
        <v>#REF!</v>
      </c>
      <c r="G11" s="678">
        <v>4477.13</v>
      </c>
      <c r="H11" s="678">
        <v>6808.41</v>
      </c>
      <c r="I11" s="519">
        <f>G11+H11</f>
        <v>11285.54</v>
      </c>
      <c r="J11" s="519">
        <f t="shared" si="1"/>
        <v>11987</v>
      </c>
      <c r="K11" s="519">
        <f t="shared" si="2"/>
        <v>8.8726868985936349</v>
      </c>
      <c r="L11" s="662">
        <f t="shared" si="3"/>
        <v>98.877221572232443</v>
      </c>
      <c r="M11" s="662">
        <f t="shared" si="4"/>
        <v>98.807434556640644</v>
      </c>
      <c r="N11" s="662" t="e">
        <f>J11+' Feb ANX I '!N11</f>
        <v>#REF!</v>
      </c>
      <c r="O11" s="521" t="e">
        <f t="shared" si="5"/>
        <v>#REF!</v>
      </c>
      <c r="P11" s="662" t="e">
        <f t="shared" si="6"/>
        <v>#REF!</v>
      </c>
      <c r="Q11" s="662" t="e">
        <f t="shared" si="7"/>
        <v>#REF!</v>
      </c>
      <c r="R11" s="343"/>
      <c r="S11" s="344" t="e">
        <f t="shared" si="9"/>
        <v>#REF!</v>
      </c>
      <c r="T11" s="344" t="e">
        <f t="shared" si="9"/>
        <v>#REF!</v>
      </c>
      <c r="V11" s="349">
        <v>42401</v>
      </c>
      <c r="W11" s="350">
        <v>29</v>
      </c>
      <c r="X11" s="350">
        <f t="shared" si="0"/>
        <v>29</v>
      </c>
    </row>
    <row r="12" spans="1:25" s="358" customFormat="1" ht="42" customHeight="1">
      <c r="A12" s="338">
        <v>5</v>
      </c>
      <c r="B12" s="339" t="s">
        <v>32</v>
      </c>
      <c r="C12" s="672">
        <v>4</v>
      </c>
      <c r="D12" s="672">
        <v>4</v>
      </c>
      <c r="E12" s="677">
        <v>1</v>
      </c>
      <c r="F12" s="660" t="e">
        <f>E12+' Feb ANX I '!F12</f>
        <v>#REF!</v>
      </c>
      <c r="G12" s="677">
        <v>6.09</v>
      </c>
      <c r="H12" s="677">
        <v>7.4</v>
      </c>
      <c r="I12" s="519">
        <f>G12+H12</f>
        <v>13.49</v>
      </c>
      <c r="J12" s="519">
        <f t="shared" si="1"/>
        <v>14.49</v>
      </c>
      <c r="K12" s="519">
        <f t="shared" si="2"/>
        <v>3.6225000000000001</v>
      </c>
      <c r="L12" s="662">
        <f t="shared" si="3"/>
        <v>99.546706989247312</v>
      </c>
      <c r="M12" s="662">
        <f t="shared" si="4"/>
        <v>99.51310483870968</v>
      </c>
      <c r="N12" s="662" t="e">
        <f>J12+' Feb ANX I '!N12</f>
        <v>#REF!</v>
      </c>
      <c r="O12" s="521" t="e">
        <f t="shared" si="5"/>
        <v>#REF!</v>
      </c>
      <c r="P12" s="662" t="e">
        <f t="shared" si="6"/>
        <v>#REF!</v>
      </c>
      <c r="Q12" s="662" t="e">
        <f t="shared" si="7"/>
        <v>#REF!</v>
      </c>
      <c r="R12" s="343"/>
      <c r="S12" s="344" t="e">
        <f t="shared" si="9"/>
        <v>#REF!</v>
      </c>
      <c r="T12" s="344" t="e">
        <f t="shared" si="9"/>
        <v>#REF!</v>
      </c>
      <c r="V12" s="349">
        <v>42430</v>
      </c>
      <c r="W12" s="350">
        <v>31</v>
      </c>
      <c r="X12" s="350">
        <v>31</v>
      </c>
    </row>
    <row r="13" spans="1:25" s="358" customFormat="1" ht="42" customHeight="1">
      <c r="A13" s="338">
        <v>6</v>
      </c>
      <c r="B13" s="339" t="s">
        <v>30</v>
      </c>
      <c r="C13" s="673">
        <v>13</v>
      </c>
      <c r="D13" s="673">
        <v>13</v>
      </c>
      <c r="E13" s="676">
        <v>1.3</v>
      </c>
      <c r="F13" s="660" t="e">
        <f>E13+' Feb ANX I '!F13</f>
        <v>#REF!</v>
      </c>
      <c r="G13" s="676">
        <v>39.090000000000003</v>
      </c>
      <c r="H13" s="676">
        <v>7.24</v>
      </c>
      <c r="I13" s="519">
        <f t="shared" si="8"/>
        <v>46.330000000000005</v>
      </c>
      <c r="J13" s="519">
        <f t="shared" si="1"/>
        <v>47.63</v>
      </c>
      <c r="K13" s="519">
        <f t="shared" si="2"/>
        <v>3.663846153846154</v>
      </c>
      <c r="L13" s="662">
        <f t="shared" si="3"/>
        <v>99.520988420181965</v>
      </c>
      <c r="M13" s="662">
        <f t="shared" si="4"/>
        <v>99.507547559966923</v>
      </c>
      <c r="N13" s="662" t="e">
        <f>J13+' Feb ANX I '!N13</f>
        <v>#REF!</v>
      </c>
      <c r="O13" s="521" t="e">
        <f t="shared" si="5"/>
        <v>#REF!</v>
      </c>
      <c r="P13" s="662" t="e">
        <f t="shared" si="6"/>
        <v>#REF!</v>
      </c>
      <c r="Q13" s="662" t="e">
        <f t="shared" si="7"/>
        <v>#REF!</v>
      </c>
      <c r="R13" s="343"/>
      <c r="S13" s="344" t="e">
        <f>L14-P14</f>
        <v>#REF!</v>
      </c>
      <c r="T13" s="344" t="e">
        <f>M14-Q14</f>
        <v>#REF!</v>
      </c>
      <c r="V13" s="350"/>
      <c r="W13" s="350">
        <f>SUM(W1:W12)</f>
        <v>366</v>
      </c>
      <c r="X13" s="350">
        <f>SUM(W14)</f>
        <v>0</v>
      </c>
    </row>
    <row r="14" spans="1:25" s="358" customFormat="1" ht="42" customHeight="1">
      <c r="A14" s="338">
        <v>7</v>
      </c>
      <c r="B14" s="339" t="s">
        <v>31</v>
      </c>
      <c r="C14" s="673">
        <v>9</v>
      </c>
      <c r="D14" s="673">
        <v>9</v>
      </c>
      <c r="E14" s="676">
        <v>44.3</v>
      </c>
      <c r="F14" s="660" t="e">
        <f>E14+' Feb ANX I '!F14</f>
        <v>#REF!</v>
      </c>
      <c r="G14" s="676">
        <v>175.05</v>
      </c>
      <c r="H14" s="676">
        <v>98.38</v>
      </c>
      <c r="I14" s="519">
        <f t="shared" si="8"/>
        <v>273.43</v>
      </c>
      <c r="J14" s="519">
        <f t="shared" si="1"/>
        <v>317.73</v>
      </c>
      <c r="K14" s="519">
        <f t="shared" si="2"/>
        <v>35.303333333333335</v>
      </c>
      <c r="L14" s="662">
        <f t="shared" si="3"/>
        <v>95.916517323775395</v>
      </c>
      <c r="M14" s="662">
        <f t="shared" si="4"/>
        <v>95.254928315412187</v>
      </c>
      <c r="N14" s="662" t="e">
        <f>J14+' Feb ANX I '!N14</f>
        <v>#REF!</v>
      </c>
      <c r="O14" s="521" t="e">
        <f t="shared" si="5"/>
        <v>#REF!</v>
      </c>
      <c r="P14" s="662" t="e">
        <f t="shared" si="6"/>
        <v>#REF!</v>
      </c>
      <c r="Q14" s="662" t="e">
        <f t="shared" si="7"/>
        <v>#REF!</v>
      </c>
      <c r="R14" s="359"/>
      <c r="S14" s="344" t="e">
        <f t="shared" si="9"/>
        <v>#REF!</v>
      </c>
      <c r="T14" s="344" t="e">
        <f t="shared" si="9"/>
        <v>#REF!</v>
      </c>
    </row>
    <row r="15" spans="1:25" ht="27.75" hidden="1" customHeight="1" thickBot="1">
      <c r="A15" s="456"/>
      <c r="B15" s="457"/>
      <c r="C15" s="458">
        <f t="shared" ref="C15:K15" si="10">C8+C9+C10+C11+C12+C14+C14</f>
        <v>1448</v>
      </c>
      <c r="D15" s="458">
        <f>D8+D9+D10+E11+D12+D14+D14</f>
        <v>795.46</v>
      </c>
      <c r="E15" s="458" t="e">
        <f>E8+E9+E10+#REF!+E12+E14+E14</f>
        <v>#REF!</v>
      </c>
      <c r="F15" s="518" t="e">
        <f>E15+' Feb ANX I '!F15</f>
        <v>#REF!</v>
      </c>
      <c r="G15" s="458">
        <f>G8+G9+G10+G11+G12+G14+G14</f>
        <v>5322.8700000000008</v>
      </c>
      <c r="H15" s="458">
        <f>H8+H9+H10+H11+H12+H14+H14</f>
        <v>7248.29</v>
      </c>
      <c r="I15" s="458">
        <f t="shared" si="10"/>
        <v>12571.160000000002</v>
      </c>
      <c r="J15" s="458">
        <f t="shared" si="10"/>
        <v>13430.849999999999</v>
      </c>
      <c r="K15" s="458">
        <f t="shared" si="10"/>
        <v>131.05378761160611</v>
      </c>
      <c r="L15" s="520">
        <f t="shared" si="3"/>
        <v>98.833099417810274</v>
      </c>
      <c r="M15" s="589">
        <f t="shared" si="4"/>
        <v>98.753299879700577</v>
      </c>
      <c r="N15" s="589" t="e">
        <f>J15+' Feb ANX I '!N15</f>
        <v>#REF!</v>
      </c>
      <c r="O15" s="458" t="e">
        <f>O8+O9+O10+O11+O12+O14+O14</f>
        <v>#REF!</v>
      </c>
      <c r="P15" s="589" t="e">
        <f t="shared" si="6"/>
        <v>#REF!</v>
      </c>
      <c r="Q15" s="589" t="e">
        <f t="shared" si="7"/>
        <v>#REF!</v>
      </c>
      <c r="T15" s="460" t="e">
        <f t="shared" si="9"/>
        <v>#REF!</v>
      </c>
    </row>
    <row r="16" spans="1:25" ht="27.75" hidden="1" customHeight="1">
      <c r="A16" s="895" t="s">
        <v>61</v>
      </c>
      <c r="B16" s="896"/>
      <c r="C16" s="896"/>
      <c r="D16" s="896"/>
      <c r="E16" s="896"/>
      <c r="F16" s="896"/>
      <c r="G16" s="896"/>
      <c r="H16" s="896"/>
      <c r="I16" s="896"/>
      <c r="J16" s="896"/>
      <c r="K16" s="896"/>
      <c r="L16" s="896"/>
      <c r="M16" s="896"/>
      <c r="N16" s="896"/>
      <c r="O16" s="896"/>
      <c r="P16" s="896"/>
      <c r="Q16" s="897"/>
      <c r="T16" s="460">
        <f t="shared" si="9"/>
        <v>0</v>
      </c>
    </row>
    <row r="17" spans="1:20" ht="9" hidden="1" customHeight="1" thickBot="1">
      <c r="A17" s="898"/>
      <c r="B17" s="899"/>
      <c r="C17" s="899"/>
      <c r="D17" s="899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900"/>
      <c r="T17" s="460">
        <f t="shared" si="9"/>
        <v>0</v>
      </c>
    </row>
    <row r="18" spans="1:20" ht="16.5" hidden="1" customHeight="1">
      <c r="A18" s="907" t="s">
        <v>62</v>
      </c>
      <c r="B18" s="908"/>
      <c r="C18" s="908"/>
      <c r="D18" s="908"/>
      <c r="E18" s="908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08"/>
      <c r="Q18" s="909"/>
      <c r="T18" s="460">
        <f t="shared" si="9"/>
        <v>0</v>
      </c>
    </row>
    <row r="19" spans="1:20" ht="30.75" hidden="1" customHeight="1">
      <c r="A19" s="910"/>
      <c r="B19" s="911"/>
      <c r="C19" s="911"/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  <c r="Q19" s="912"/>
      <c r="T19" s="460">
        <f t="shared" si="9"/>
        <v>0</v>
      </c>
    </row>
    <row r="20" spans="1:20" ht="23.25" hidden="1" customHeight="1" thickBot="1">
      <c r="A20" s="913"/>
      <c r="B20" s="914"/>
      <c r="C20" s="914"/>
      <c r="D20" s="914"/>
      <c r="E20" s="914"/>
      <c r="F20" s="914"/>
      <c r="G20" s="914"/>
      <c r="H20" s="914"/>
      <c r="I20" s="914"/>
      <c r="J20" s="914"/>
      <c r="K20" s="914"/>
      <c r="L20" s="914"/>
      <c r="M20" s="914"/>
      <c r="N20" s="914"/>
      <c r="O20" s="914"/>
      <c r="P20" s="914"/>
      <c r="Q20" s="915"/>
      <c r="T20" s="460">
        <f t="shared" si="9"/>
        <v>0</v>
      </c>
    </row>
    <row r="21" spans="1:20" ht="30" hidden="1" customHeight="1">
      <c r="A21" s="895" t="s">
        <v>65</v>
      </c>
      <c r="B21" s="896"/>
      <c r="C21" s="896"/>
      <c r="D21" s="896"/>
      <c r="E21" s="896"/>
      <c r="F21" s="896"/>
      <c r="G21" s="896"/>
      <c r="H21" s="896"/>
      <c r="I21" s="896"/>
      <c r="J21" s="896"/>
      <c r="K21" s="896"/>
      <c r="L21" s="896"/>
      <c r="M21" s="896"/>
      <c r="N21" s="896"/>
      <c r="O21" s="896"/>
      <c r="P21" s="896"/>
      <c r="Q21" s="897"/>
      <c r="T21" s="460">
        <f t="shared" si="9"/>
        <v>0</v>
      </c>
    </row>
    <row r="22" spans="1:20" ht="16.5" hidden="1" customHeight="1" thickBot="1">
      <c r="A22" s="898"/>
      <c r="B22" s="899"/>
      <c r="C22" s="899"/>
      <c r="D22" s="899"/>
      <c r="E22" s="899"/>
      <c r="F22" s="899"/>
      <c r="G22" s="899"/>
      <c r="H22" s="899"/>
      <c r="I22" s="899"/>
      <c r="J22" s="899"/>
      <c r="K22" s="899"/>
      <c r="L22" s="899"/>
      <c r="M22" s="899"/>
      <c r="N22" s="899"/>
      <c r="O22" s="899"/>
      <c r="P22" s="899"/>
      <c r="Q22" s="900"/>
      <c r="T22" s="460">
        <f t="shared" si="9"/>
        <v>0</v>
      </c>
    </row>
    <row r="23" spans="1:20" ht="27.75" hidden="1" customHeight="1">
      <c r="A23" s="895" t="s">
        <v>36</v>
      </c>
      <c r="B23" s="896"/>
      <c r="C23" s="896"/>
      <c r="D23" s="896"/>
      <c r="E23" s="896"/>
      <c r="F23" s="896"/>
      <c r="G23" s="896"/>
      <c r="H23" s="896"/>
      <c r="I23" s="896"/>
      <c r="J23" s="896"/>
      <c r="K23" s="896"/>
      <c r="L23" s="896"/>
      <c r="M23" s="896"/>
      <c r="N23" s="896"/>
      <c r="O23" s="896"/>
      <c r="P23" s="896"/>
      <c r="Q23" s="897"/>
      <c r="T23" s="460">
        <f t="shared" si="9"/>
        <v>0</v>
      </c>
    </row>
    <row r="24" spans="1:20" ht="27.75" hidden="1" customHeight="1" thickBot="1">
      <c r="A24" s="898"/>
      <c r="B24" s="899"/>
      <c r="C24" s="899"/>
      <c r="D24" s="899"/>
      <c r="E24" s="899"/>
      <c r="F24" s="899"/>
      <c r="G24" s="899"/>
      <c r="H24" s="899"/>
      <c r="I24" s="899"/>
      <c r="J24" s="899"/>
      <c r="K24" s="899"/>
      <c r="L24" s="899"/>
      <c r="M24" s="899"/>
      <c r="N24" s="899"/>
      <c r="O24" s="899"/>
      <c r="P24" s="899"/>
      <c r="Q24" s="900"/>
      <c r="T24" s="460">
        <f t="shared" si="9"/>
        <v>0</v>
      </c>
    </row>
    <row r="25" spans="1:20" ht="27.75" hidden="1" customHeight="1">
      <c r="A25" s="456"/>
      <c r="B25" s="457"/>
      <c r="C25" s="461"/>
      <c r="D25" s="461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T25" s="460">
        <f t="shared" ref="T25:T55" si="11">M25-Q25</f>
        <v>0</v>
      </c>
    </row>
    <row r="26" spans="1:20" ht="27.75" hidden="1" customHeight="1">
      <c r="A26" s="456"/>
      <c r="B26" s="457"/>
      <c r="C26" s="461"/>
      <c r="D26" s="461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T26" s="460">
        <f t="shared" si="11"/>
        <v>0</v>
      </c>
    </row>
    <row r="27" spans="1:20" ht="18" hidden="1">
      <c r="T27" s="460">
        <f t="shared" si="11"/>
        <v>0</v>
      </c>
    </row>
    <row r="28" spans="1:20" ht="33" hidden="1" customHeight="1">
      <c r="A28" s="917"/>
      <c r="B28" s="917"/>
      <c r="C28" s="917"/>
      <c r="D28" s="917"/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917"/>
      <c r="P28" s="917"/>
      <c r="Q28" s="917"/>
      <c r="T28" s="460">
        <f t="shared" si="11"/>
        <v>0</v>
      </c>
    </row>
    <row r="29" spans="1:20" ht="19.5" hidden="1" customHeight="1">
      <c r="A29" s="918"/>
      <c r="B29" s="918"/>
      <c r="C29" s="918"/>
      <c r="D29" s="918"/>
      <c r="E29" s="918"/>
      <c r="F29" s="918"/>
      <c r="G29" s="918"/>
      <c r="H29" s="918"/>
      <c r="I29" s="918"/>
      <c r="J29" s="918"/>
      <c r="K29" s="918"/>
      <c r="L29" s="918"/>
      <c r="M29" s="918"/>
      <c r="N29" s="918"/>
      <c r="O29" s="918"/>
      <c r="P29" s="918"/>
      <c r="Q29" s="918"/>
      <c r="T29" s="460">
        <f t="shared" si="11"/>
        <v>0</v>
      </c>
    </row>
    <row r="30" spans="1:20" ht="33" hidden="1" customHeight="1">
      <c r="A30" s="917">
        <f>669/7</f>
        <v>95.571428571428569</v>
      </c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917"/>
      <c r="P30" s="917"/>
      <c r="Q30" s="917"/>
      <c r="T30" s="460">
        <f t="shared" si="11"/>
        <v>0</v>
      </c>
    </row>
    <row r="31" spans="1:20" ht="24.75" hidden="1" customHeight="1">
      <c r="P31" s="464" t="e">
        <f>P15+#REF!+#REF!</f>
        <v>#REF!</v>
      </c>
      <c r="Q31" s="464" t="e">
        <f>Q15+#REF!+#REF!</f>
        <v>#REF!</v>
      </c>
      <c r="R31" s="464" t="e">
        <f>R15+#REF!+#REF!</f>
        <v>#REF!</v>
      </c>
      <c r="T31" s="460" t="e">
        <f t="shared" si="11"/>
        <v>#REF!</v>
      </c>
    </row>
    <row r="32" spans="1:20" ht="24.75" hidden="1" customHeight="1">
      <c r="P32" s="464" t="e">
        <f>P31/3</f>
        <v>#REF!</v>
      </c>
      <c r="Q32" s="464" t="e">
        <f>Q31/3</f>
        <v>#REF!</v>
      </c>
      <c r="T32" s="460" t="e">
        <f t="shared" si="11"/>
        <v>#REF!</v>
      </c>
    </row>
    <row r="33" spans="16:20" ht="24.75" hidden="1" customHeight="1">
      <c r="P33" s="464"/>
      <c r="Q33" s="464"/>
      <c r="T33" s="460">
        <f t="shared" si="11"/>
        <v>0</v>
      </c>
    </row>
    <row r="34" spans="16:20" ht="24.75" hidden="1" customHeight="1">
      <c r="P34" s="465" t="e">
        <f>P14+P11</f>
        <v>#REF!</v>
      </c>
      <c r="Q34" s="465" t="e">
        <f>Q14+Q11</f>
        <v>#REF!</v>
      </c>
      <c r="T34" s="460" t="e">
        <f t="shared" si="11"/>
        <v>#REF!</v>
      </c>
    </row>
    <row r="35" spans="16:20" ht="20.25" hidden="1" customHeight="1">
      <c r="P35" s="465" t="e">
        <f>P34/2</f>
        <v>#REF!</v>
      </c>
      <c r="Q35" s="465" t="e">
        <f>Q34/2</f>
        <v>#REF!</v>
      </c>
      <c r="T35" s="460" t="e">
        <f t="shared" si="11"/>
        <v>#REF!</v>
      </c>
    </row>
    <row r="36" spans="16:20" ht="18" hidden="1">
      <c r="T36" s="460">
        <f t="shared" si="11"/>
        <v>0</v>
      </c>
    </row>
    <row r="37" spans="16:20" ht="18" hidden="1">
      <c r="T37" s="460">
        <f t="shared" si="11"/>
        <v>0</v>
      </c>
    </row>
    <row r="38" spans="16:20" ht="18" hidden="1">
      <c r="P38" s="464"/>
      <c r="Q38" s="464"/>
      <c r="R38" s="464"/>
      <c r="T38" s="460">
        <f t="shared" si="11"/>
        <v>0</v>
      </c>
    </row>
    <row r="39" spans="16:20" ht="18" hidden="1">
      <c r="T39" s="460">
        <f t="shared" si="11"/>
        <v>0</v>
      </c>
    </row>
    <row r="40" spans="16:20" ht="18" hidden="1">
      <c r="T40" s="460">
        <f t="shared" si="11"/>
        <v>0</v>
      </c>
    </row>
    <row r="41" spans="16:20" ht="18" hidden="1">
      <c r="T41" s="460">
        <f t="shared" si="11"/>
        <v>0</v>
      </c>
    </row>
    <row r="42" spans="16:20" ht="18" hidden="1">
      <c r="T42" s="460">
        <f t="shared" si="11"/>
        <v>0</v>
      </c>
    </row>
    <row r="43" spans="16:20" ht="18" hidden="1">
      <c r="T43" s="460">
        <f t="shared" si="11"/>
        <v>0</v>
      </c>
    </row>
    <row r="44" spans="16:20" ht="18" hidden="1">
      <c r="T44" s="460">
        <f t="shared" si="11"/>
        <v>0</v>
      </c>
    </row>
    <row r="45" spans="16:20" ht="18" hidden="1">
      <c r="T45" s="460">
        <f t="shared" si="11"/>
        <v>0</v>
      </c>
    </row>
    <row r="46" spans="16:20" ht="18" hidden="1">
      <c r="P46" s="464"/>
      <c r="Q46" s="464"/>
      <c r="T46" s="460">
        <f t="shared" si="11"/>
        <v>0</v>
      </c>
    </row>
    <row r="47" spans="16:20" ht="18" hidden="1">
      <c r="P47" s="464"/>
      <c r="Q47" s="464"/>
      <c r="T47" s="460">
        <f t="shared" si="11"/>
        <v>0</v>
      </c>
    </row>
    <row r="48" spans="16:20" ht="18" hidden="1">
      <c r="P48" s="464" t="e">
        <f>P10+P12</f>
        <v>#REF!</v>
      </c>
      <c r="Q48" s="464" t="e">
        <f>Q10+Q12</f>
        <v>#REF!</v>
      </c>
      <c r="T48" s="460" t="e">
        <f t="shared" si="11"/>
        <v>#REF!</v>
      </c>
    </row>
    <row r="49" spans="1:20" ht="18" hidden="1">
      <c r="P49" s="643" t="e">
        <f>P48/2</f>
        <v>#REF!</v>
      </c>
      <c r="Q49" s="643" t="e">
        <f>Q48/2</f>
        <v>#REF!</v>
      </c>
      <c r="T49" s="460" t="e">
        <f t="shared" si="11"/>
        <v>#REF!</v>
      </c>
    </row>
    <row r="50" spans="1:20" ht="18" hidden="1">
      <c r="T50" s="460">
        <f t="shared" si="11"/>
        <v>0</v>
      </c>
    </row>
    <row r="51" spans="1:20" ht="18" hidden="1">
      <c r="T51" s="460">
        <f t="shared" si="11"/>
        <v>0</v>
      </c>
    </row>
    <row r="52" spans="1:20" ht="18" hidden="1">
      <c r="T52" s="460">
        <f t="shared" si="11"/>
        <v>0</v>
      </c>
    </row>
    <row r="53" spans="1:20" ht="18" hidden="1">
      <c r="T53" s="460">
        <f t="shared" si="11"/>
        <v>0</v>
      </c>
    </row>
    <row r="54" spans="1:20" ht="18" hidden="1">
      <c r="T54" s="460">
        <f t="shared" si="11"/>
        <v>0</v>
      </c>
    </row>
    <row r="55" spans="1:20" ht="18" hidden="1">
      <c r="T55" s="460">
        <f t="shared" si="11"/>
        <v>0</v>
      </c>
    </row>
    <row r="56" spans="1:20" s="675" customFormat="1" ht="101.25" customHeight="1">
      <c r="A56" s="702" t="s">
        <v>164</v>
      </c>
      <c r="B56" s="963" t="s">
        <v>174</v>
      </c>
      <c r="C56" s="964"/>
      <c r="D56" s="964"/>
      <c r="E56" s="964"/>
      <c r="F56" s="964"/>
      <c r="G56" s="964"/>
      <c r="H56" s="965"/>
      <c r="I56" s="703"/>
    </row>
    <row r="57" spans="1:20" ht="34.5" customHeight="1">
      <c r="B57" s="951"/>
      <c r="C57" s="951"/>
      <c r="D57" s="951"/>
      <c r="E57" s="951"/>
      <c r="F57" s="630"/>
      <c r="G57" s="951"/>
      <c r="H57" s="951"/>
      <c r="I57" s="951"/>
      <c r="J57" s="951"/>
      <c r="K57" s="630"/>
      <c r="L57" s="464"/>
      <c r="M57" s="464"/>
      <c r="N57" s="464"/>
    </row>
    <row r="58" spans="1:20" ht="23.25" customHeight="1">
      <c r="B58" s="919" t="s">
        <v>67</v>
      </c>
      <c r="C58" s="919"/>
      <c r="D58" s="919"/>
      <c r="E58" s="919"/>
      <c r="F58" s="919"/>
      <c r="G58" s="962"/>
      <c r="H58" s="962"/>
      <c r="I58" s="962"/>
      <c r="J58" s="962"/>
      <c r="K58" s="962"/>
      <c r="L58" s="469"/>
      <c r="M58" s="469"/>
      <c r="N58" s="470"/>
      <c r="O58" s="919" t="s">
        <v>68</v>
      </c>
      <c r="P58" s="919"/>
      <c r="Q58" s="919"/>
      <c r="R58" s="919"/>
    </row>
    <row r="59" spans="1:20" ht="18.75" customHeight="1">
      <c r="B59" s="919" t="s">
        <v>69</v>
      </c>
      <c r="C59" s="919"/>
      <c r="D59" s="919"/>
      <c r="E59" s="919"/>
      <c r="F59" s="919"/>
      <c r="G59" s="951"/>
      <c r="H59" s="951"/>
      <c r="I59" s="951"/>
      <c r="J59" s="951"/>
      <c r="K59" s="630"/>
      <c r="L59" s="469"/>
      <c r="M59" s="469"/>
      <c r="N59" s="470"/>
      <c r="O59" s="919" t="s">
        <v>87</v>
      </c>
      <c r="P59" s="919"/>
      <c r="Q59" s="919"/>
      <c r="R59" s="919"/>
    </row>
    <row r="60" spans="1:20" ht="18.75">
      <c r="B60" s="475"/>
      <c r="C60" s="471"/>
      <c r="D60" s="471"/>
      <c r="E60" s="641"/>
      <c r="F60" s="472"/>
      <c r="G60" s="470"/>
      <c r="H60" s="916" t="s">
        <v>70</v>
      </c>
      <c r="I60" s="916"/>
      <c r="J60" s="916"/>
      <c r="K60" s="916"/>
      <c r="L60" s="469"/>
      <c r="M60" s="469"/>
      <c r="N60" s="468"/>
      <c r="O60" s="469"/>
      <c r="P60" s="469"/>
      <c r="Q60" s="469"/>
      <c r="R60" s="473"/>
    </row>
    <row r="61" spans="1:20" ht="18.75">
      <c r="B61" s="475"/>
      <c r="C61" s="471"/>
      <c r="D61" s="471"/>
      <c r="E61" s="641"/>
      <c r="F61" s="472"/>
      <c r="G61" s="470"/>
      <c r="H61" s="916" t="s">
        <v>71</v>
      </c>
      <c r="I61" s="916"/>
      <c r="J61" s="916"/>
      <c r="K61" s="916"/>
      <c r="L61" s="469"/>
      <c r="M61" s="469"/>
      <c r="N61" s="468"/>
      <c r="O61" s="473"/>
      <c r="P61" s="473"/>
      <c r="Q61" s="473"/>
      <c r="R61" s="473"/>
    </row>
    <row r="66" spans="7:14" ht="18">
      <c r="G66" s="476"/>
      <c r="H66" s="476"/>
    </row>
    <row r="68" spans="7:14">
      <c r="J68" s="474"/>
    </row>
    <row r="69" spans="7:14" ht="20.25">
      <c r="M69" s="681">
        <v>35.270000000000003</v>
      </c>
      <c r="N69" s="681">
        <v>26.52000000000001</v>
      </c>
    </row>
    <row r="70" spans="7:14" ht="20.25">
      <c r="M70" s="681">
        <v>208.28</v>
      </c>
      <c r="N70" s="681">
        <v>159.19999999999999</v>
      </c>
    </row>
    <row r="72" spans="7:14" ht="18.75">
      <c r="M72" s="680">
        <v>246</v>
      </c>
      <c r="N72" s="680">
        <v>50</v>
      </c>
    </row>
    <row r="73" spans="7:14">
      <c r="J73" s="643">
        <v>113.52</v>
      </c>
    </row>
    <row r="76" spans="7:14">
      <c r="M76" s="643">
        <v>39.090000000000003</v>
      </c>
      <c r="N76" s="643">
        <v>7.24</v>
      </c>
    </row>
    <row r="77" spans="7:14">
      <c r="M77" s="643">
        <v>175.05</v>
      </c>
      <c r="N77" s="643">
        <v>98.38</v>
      </c>
    </row>
  </sheetData>
  <mergeCells count="30"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  <mergeCell ref="B59:F59"/>
    <mergeCell ref="O59:R59"/>
    <mergeCell ref="H60:K60"/>
    <mergeCell ref="H61:K61"/>
    <mergeCell ref="A28:Q28"/>
    <mergeCell ref="A29:Q29"/>
    <mergeCell ref="A30:Q30"/>
    <mergeCell ref="B57:E57"/>
    <mergeCell ref="B58:F58"/>
    <mergeCell ref="O58:R58"/>
    <mergeCell ref="G57:J57"/>
    <mergeCell ref="G58:K58"/>
    <mergeCell ref="G59:J59"/>
    <mergeCell ref="B56:H56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view="pageBreakPreview" topLeftCell="A13" zoomScale="80" zoomScaleSheetLayoutView="80" workbookViewId="0">
      <selection activeCell="I34" activeCellId="1" sqref="I34 L36"/>
    </sheetView>
  </sheetViews>
  <sheetFormatPr defaultRowHeight="12.75"/>
  <cols>
    <col min="1" max="1" width="5.140625" style="477" customWidth="1"/>
    <col min="2" max="2" width="18.5703125" style="478" customWidth="1"/>
    <col min="3" max="3" width="9.28515625" style="479" customWidth="1"/>
    <col min="4" max="4" width="10.28515625" style="479" customWidth="1"/>
    <col min="5" max="5" width="17.42578125" style="479" customWidth="1"/>
    <col min="6" max="6" width="11.42578125" style="479" customWidth="1"/>
    <col min="7" max="7" width="12.7109375" style="479" customWidth="1"/>
    <col min="8" max="8" width="16.42578125" style="479" customWidth="1"/>
    <col min="9" max="10" width="16.42578125" style="479" hidden="1" customWidth="1"/>
    <col min="11" max="11" width="16.140625" style="480" customWidth="1"/>
    <col min="12" max="12" width="13.28515625" style="480" customWidth="1"/>
    <col min="13" max="13" width="14" style="480" customWidth="1"/>
    <col min="14" max="14" width="12.5703125" style="480" customWidth="1"/>
    <col min="15" max="15" width="12.140625" style="480" customWidth="1"/>
    <col min="16" max="16" width="15.140625" style="480" customWidth="1"/>
    <col min="17" max="18" width="14.42578125" style="480" customWidth="1"/>
    <col min="19" max="19" width="14.140625" style="480" customWidth="1"/>
    <col min="20" max="20" width="21" style="480" hidden="1" customWidth="1"/>
    <col min="21" max="16384" width="9.140625" style="480"/>
  </cols>
  <sheetData>
    <row r="1" spans="1:22" hidden="1"/>
    <row r="2" spans="1:22" ht="9.75" hidden="1" customHeight="1"/>
    <row r="3" spans="1:22" ht="9.75" hidden="1" customHeight="1"/>
    <row r="4" spans="1:22" ht="9.75" hidden="1" customHeight="1"/>
    <row r="5" spans="1:22" ht="7.5" hidden="1" customHeight="1"/>
    <row r="6" spans="1:22" ht="35.25" customHeight="1">
      <c r="A6" s="921" t="s">
        <v>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  <c r="R6" s="921"/>
      <c r="S6" s="921"/>
    </row>
    <row r="7" spans="1:22" ht="16.5" customHeight="1">
      <c r="A7" s="922" t="s">
        <v>117</v>
      </c>
      <c r="B7" s="922"/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  <c r="R7" s="922"/>
      <c r="S7" s="922"/>
    </row>
    <row r="8" spans="1:22" s="643" customFormat="1" ht="18.75" customHeight="1">
      <c r="A8" s="903" t="s">
        <v>172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  <c r="R8" s="903"/>
      <c r="S8" s="903"/>
    </row>
    <row r="9" spans="1:22" s="643" customFormat="1" ht="12" hidden="1" customHeight="1">
      <c r="A9" s="639"/>
      <c r="B9" s="482"/>
      <c r="C9" s="483"/>
      <c r="D9" s="483"/>
      <c r="E9" s="483"/>
      <c r="F9" s="483"/>
      <c r="G9" s="483"/>
      <c r="H9" s="483"/>
      <c r="I9" s="483"/>
      <c r="J9" s="483"/>
      <c r="K9" s="639"/>
      <c r="L9" s="639"/>
      <c r="M9" s="639"/>
      <c r="N9" s="639"/>
      <c r="O9" s="639"/>
      <c r="P9" s="639"/>
      <c r="Q9" s="639"/>
      <c r="R9" s="639"/>
      <c r="S9" s="639"/>
    </row>
    <row r="10" spans="1:22" ht="12" customHeight="1">
      <c r="A10" s="923"/>
      <c r="B10" s="923"/>
      <c r="C10" s="923"/>
      <c r="D10" s="923"/>
      <c r="E10" s="484"/>
      <c r="F10" s="484"/>
      <c r="G10" s="484"/>
      <c r="H10" s="484"/>
      <c r="I10" s="484"/>
      <c r="J10" s="484"/>
      <c r="K10" s="638"/>
      <c r="L10" s="638"/>
      <c r="M10" s="638"/>
      <c r="N10" s="638"/>
      <c r="O10" s="638"/>
      <c r="P10" s="638"/>
      <c r="Q10" s="638"/>
      <c r="R10" s="638"/>
      <c r="S10" s="638"/>
    </row>
    <row r="11" spans="1:22" s="450" customFormat="1" ht="14.25" customHeight="1">
      <c r="A11" s="924" t="s">
        <v>2</v>
      </c>
      <c r="B11" s="925" t="s">
        <v>38</v>
      </c>
      <c r="C11" s="924" t="s">
        <v>4</v>
      </c>
      <c r="D11" s="924" t="s">
        <v>5</v>
      </c>
      <c r="E11" s="956" t="s">
        <v>6</v>
      </c>
      <c r="F11" s="967" t="s">
        <v>7</v>
      </c>
      <c r="G11" s="906" t="s">
        <v>39</v>
      </c>
      <c r="H11" s="906"/>
      <c r="I11" s="906"/>
      <c r="J11" s="906"/>
      <c r="K11" s="906"/>
      <c r="L11" s="906" t="s">
        <v>171</v>
      </c>
      <c r="M11" s="906"/>
      <c r="N11" s="906"/>
      <c r="O11" s="906"/>
      <c r="P11" s="906" t="s">
        <v>139</v>
      </c>
      <c r="Q11" s="906"/>
      <c r="R11" s="906"/>
      <c r="S11" s="906"/>
    </row>
    <row r="12" spans="1:22" s="450" customFormat="1" ht="106.5" customHeight="1">
      <c r="A12" s="924"/>
      <c r="B12" s="926"/>
      <c r="C12" s="924"/>
      <c r="D12" s="924"/>
      <c r="E12" s="956"/>
      <c r="F12" s="967"/>
      <c r="G12" s="647" t="s">
        <v>9</v>
      </c>
      <c r="H12" s="647" t="s">
        <v>10</v>
      </c>
      <c r="I12" s="647"/>
      <c r="J12" s="647"/>
      <c r="K12" s="642" t="s">
        <v>11</v>
      </c>
      <c r="L12" s="642" t="s">
        <v>12</v>
      </c>
      <c r="M12" s="642" t="s">
        <v>13</v>
      </c>
      <c r="N12" s="665" t="s">
        <v>78</v>
      </c>
      <c r="O12" s="665" t="s">
        <v>14</v>
      </c>
      <c r="P12" s="665" t="s">
        <v>140</v>
      </c>
      <c r="Q12" s="642" t="s">
        <v>16</v>
      </c>
      <c r="R12" s="665" t="s">
        <v>141</v>
      </c>
      <c r="S12" s="665" t="s">
        <v>142</v>
      </c>
    </row>
    <row r="13" spans="1:22" s="448" customFormat="1" ht="14.25" customHeight="1">
      <c r="A13" s="645">
        <v>1</v>
      </c>
      <c r="B13" s="645" t="s">
        <v>40</v>
      </c>
      <c r="C13" s="548">
        <v>3</v>
      </c>
      <c r="D13" s="548">
        <v>4</v>
      </c>
      <c r="E13" s="548">
        <v>5</v>
      </c>
      <c r="F13" s="663" t="s">
        <v>19</v>
      </c>
      <c r="G13" s="548">
        <v>6</v>
      </c>
      <c r="H13" s="548">
        <v>7</v>
      </c>
      <c r="I13" s="548"/>
      <c r="J13" s="548"/>
      <c r="K13" s="645" t="s">
        <v>20</v>
      </c>
      <c r="L13" s="645" t="s">
        <v>21</v>
      </c>
      <c r="M13" s="549" t="s">
        <v>22</v>
      </c>
      <c r="N13" s="663" t="s">
        <v>23</v>
      </c>
      <c r="O13" s="663" t="s">
        <v>24</v>
      </c>
      <c r="P13" s="663">
        <v>13</v>
      </c>
      <c r="Q13" s="645" t="s">
        <v>25</v>
      </c>
      <c r="R13" s="663">
        <v>15</v>
      </c>
      <c r="S13" s="663">
        <v>16</v>
      </c>
    </row>
    <row r="14" spans="1:22" s="330" customFormat="1" ht="24.95" customHeight="1">
      <c r="A14" s="228">
        <v>1</v>
      </c>
      <c r="B14" s="229" t="s">
        <v>41</v>
      </c>
      <c r="C14" s="682">
        <v>1</v>
      </c>
      <c r="D14" s="682">
        <v>1</v>
      </c>
      <c r="E14" s="683">
        <v>10.4</v>
      </c>
      <c r="F14" s="664" t="e">
        <f>E14+'Feb ANX II'!F14</f>
        <v>#REF!</v>
      </c>
      <c r="G14" s="683">
        <v>8.0500000000000007</v>
      </c>
      <c r="H14" s="683">
        <v>3.1</v>
      </c>
      <c r="I14" s="530"/>
      <c r="J14" s="530"/>
      <c r="K14" s="531">
        <f>G14+H14</f>
        <v>11.15</v>
      </c>
      <c r="L14" s="531">
        <f t="shared" ref="L14:L39" si="0">E14+K14</f>
        <v>21.55</v>
      </c>
      <c r="M14" s="531">
        <f t="shared" ref="M14:M39" si="1">L14/C14</f>
        <v>21.55</v>
      </c>
      <c r="N14" s="666">
        <f t="shared" ref="N14:N39" si="2">+(((C14*24)*31)-K14)*100/((C14*24)*31)</f>
        <v>98.501344086021504</v>
      </c>
      <c r="O14" s="666">
        <f t="shared" ref="O14:O39" si="3">+(((C14*24)*31)-L14)*100/((C14*24)*31)</f>
        <v>97.103494623655919</v>
      </c>
      <c r="P14" s="666">
        <f>L14+'Feb ANX II'!N14</f>
        <v>119.42946428571429</v>
      </c>
      <c r="Q14" s="532">
        <f t="shared" ref="Q14:Q39" si="4">P14/C14</f>
        <v>119.42946428571429</v>
      </c>
      <c r="R14" s="666">
        <f t="shared" ref="R14:R39" si="5">((C14*24*365)-(P14-E14))*100/(C14*24*365)</f>
        <v>98.755371412263543</v>
      </c>
      <c r="S14" s="666">
        <f t="shared" ref="S14:S39" si="6">((C14*24*365)-(P14))*100/(C14*24*365)</f>
        <v>98.636649951076322</v>
      </c>
      <c r="T14" s="265"/>
      <c r="U14" s="265">
        <f>N14-R14</f>
        <v>-0.2540273262420385</v>
      </c>
      <c r="V14" s="265">
        <f>O14-S14</f>
        <v>-1.5331553274204026</v>
      </c>
    </row>
    <row r="15" spans="1:22" s="330" customFormat="1" ht="24.95" customHeight="1">
      <c r="A15" s="228">
        <v>2</v>
      </c>
      <c r="B15" s="229" t="s">
        <v>42</v>
      </c>
      <c r="C15" s="682">
        <v>1</v>
      </c>
      <c r="D15" s="682">
        <v>1</v>
      </c>
      <c r="E15" s="683">
        <v>7.45</v>
      </c>
      <c r="F15" s="664" t="e">
        <f>E15+'Feb ANX II'!F15</f>
        <v>#REF!</v>
      </c>
      <c r="G15" s="683">
        <v>20.149999999999999</v>
      </c>
      <c r="H15" s="683">
        <v>1.45</v>
      </c>
      <c r="I15" s="530"/>
      <c r="J15" s="530"/>
      <c r="K15" s="531">
        <f t="shared" ref="K15:K39" si="7">G15+H15</f>
        <v>21.599999999999998</v>
      </c>
      <c r="L15" s="531">
        <f t="shared" si="0"/>
        <v>29.049999999999997</v>
      </c>
      <c r="M15" s="531">
        <f t="shared" si="1"/>
        <v>29.049999999999997</v>
      </c>
      <c r="N15" s="666">
        <f t="shared" si="2"/>
        <v>97.096774193548384</v>
      </c>
      <c r="O15" s="666">
        <f t="shared" si="3"/>
        <v>96.09543010752688</v>
      </c>
      <c r="P15" s="666">
        <f>L15+'Feb ANX II'!N15</f>
        <v>125.53065476190476</v>
      </c>
      <c r="Q15" s="532">
        <f t="shared" si="4"/>
        <v>125.53065476190476</v>
      </c>
      <c r="R15" s="666">
        <f t="shared" si="5"/>
        <v>98.65204732006957</v>
      </c>
      <c r="S15" s="666">
        <f t="shared" si="6"/>
        <v>98.567001657969129</v>
      </c>
      <c r="T15" s="265"/>
      <c r="U15" s="265">
        <f t="shared" ref="U15:V39" si="8">N15-R15</f>
        <v>-1.5552731265211861</v>
      </c>
      <c r="V15" s="265">
        <f t="shared" si="8"/>
        <v>-2.4715715504422491</v>
      </c>
    </row>
    <row r="16" spans="1:22" s="330" customFormat="1" ht="24.95" customHeight="1">
      <c r="A16" s="228">
        <v>3</v>
      </c>
      <c r="B16" s="229" t="s">
        <v>43</v>
      </c>
      <c r="C16" s="682">
        <v>11</v>
      </c>
      <c r="D16" s="682">
        <v>11</v>
      </c>
      <c r="E16" s="683">
        <v>1.1000000000000001</v>
      </c>
      <c r="F16" s="664" t="e">
        <f>E16+'Feb ANX II'!F16</f>
        <v>#REF!</v>
      </c>
      <c r="G16" s="683">
        <v>70.31</v>
      </c>
      <c r="H16" s="683">
        <v>8.1999999999999993</v>
      </c>
      <c r="I16" s="530"/>
      <c r="J16" s="530"/>
      <c r="K16" s="531">
        <f t="shared" si="7"/>
        <v>78.510000000000005</v>
      </c>
      <c r="L16" s="531">
        <f t="shared" si="0"/>
        <v>79.61</v>
      </c>
      <c r="M16" s="531">
        <f t="shared" si="1"/>
        <v>7.2372727272727273</v>
      </c>
      <c r="N16" s="666">
        <f t="shared" si="2"/>
        <v>99.040689149560123</v>
      </c>
      <c r="O16" s="666">
        <f t="shared" si="3"/>
        <v>99.027248289345067</v>
      </c>
      <c r="P16" s="666">
        <f>L16+'Feb ANX II'!N16</f>
        <v>178.01827922077922</v>
      </c>
      <c r="Q16" s="532">
        <f t="shared" si="4"/>
        <v>16.183479929161749</v>
      </c>
      <c r="R16" s="666">
        <f t="shared" si="5"/>
        <v>99.816398630945642</v>
      </c>
      <c r="S16" s="666">
        <f t="shared" si="6"/>
        <v>99.815257078434229</v>
      </c>
      <c r="T16" s="265"/>
      <c r="U16" s="265">
        <f t="shared" si="8"/>
        <v>-0.77570948138551898</v>
      </c>
      <c r="V16" s="265">
        <f t="shared" si="8"/>
        <v>-0.78800878908916161</v>
      </c>
    </row>
    <row r="17" spans="1:22" s="330" customFormat="1" ht="24.95" customHeight="1">
      <c r="A17" s="228">
        <v>4</v>
      </c>
      <c r="B17" s="229" t="s">
        <v>73</v>
      </c>
      <c r="C17" s="682">
        <v>2</v>
      </c>
      <c r="D17" s="682">
        <v>2</v>
      </c>
      <c r="E17" s="683">
        <v>1.25</v>
      </c>
      <c r="F17" s="664" t="e">
        <f>E17+'Feb ANX II'!F17</f>
        <v>#REF!</v>
      </c>
      <c r="G17" s="683">
        <v>38.15</v>
      </c>
      <c r="H17" s="683">
        <v>3</v>
      </c>
      <c r="I17" s="530"/>
      <c r="J17" s="530"/>
      <c r="K17" s="531">
        <f t="shared" si="7"/>
        <v>41.15</v>
      </c>
      <c r="L17" s="531">
        <f t="shared" si="0"/>
        <v>42.4</v>
      </c>
      <c r="M17" s="531">
        <f t="shared" si="1"/>
        <v>21.2</v>
      </c>
      <c r="N17" s="666">
        <f t="shared" si="2"/>
        <v>97.234543010752688</v>
      </c>
      <c r="O17" s="666">
        <f t="shared" si="3"/>
        <v>97.150537634408607</v>
      </c>
      <c r="P17" s="666">
        <f>L17+'Feb ANX II'!N17</f>
        <v>139.01830357142856</v>
      </c>
      <c r="Q17" s="532">
        <f t="shared" si="4"/>
        <v>69.50915178571428</v>
      </c>
      <c r="R17" s="666">
        <f t="shared" si="5"/>
        <v>99.213651235322885</v>
      </c>
      <c r="S17" s="666">
        <f t="shared" si="6"/>
        <v>99.206516532126543</v>
      </c>
      <c r="T17" s="265"/>
      <c r="U17" s="265">
        <f>N17-R17</f>
        <v>-1.9791082245701972</v>
      </c>
      <c r="V17" s="265">
        <f>O17-S17</f>
        <v>-2.0559788977179352</v>
      </c>
    </row>
    <row r="18" spans="1:22" s="330" customFormat="1" ht="24.95" customHeight="1">
      <c r="A18" s="228">
        <v>5</v>
      </c>
      <c r="B18" s="229" t="s">
        <v>79</v>
      </c>
      <c r="C18" s="682">
        <v>4</v>
      </c>
      <c r="D18" s="682">
        <v>4</v>
      </c>
      <c r="E18" s="683">
        <v>0.25</v>
      </c>
      <c r="F18" s="664" t="e">
        <f>E18+'Feb ANX II'!F18</f>
        <v>#REF!</v>
      </c>
      <c r="G18" s="683">
        <v>2.1</v>
      </c>
      <c r="H18" s="683">
        <v>2.25</v>
      </c>
      <c r="I18" s="530"/>
      <c r="J18" s="530"/>
      <c r="K18" s="531">
        <f t="shared" si="7"/>
        <v>4.3499999999999996</v>
      </c>
      <c r="L18" s="531">
        <f t="shared" si="0"/>
        <v>4.5999999999999996</v>
      </c>
      <c r="M18" s="531">
        <f t="shared" si="1"/>
        <v>1.1499999999999999</v>
      </c>
      <c r="N18" s="666">
        <f t="shared" si="2"/>
        <v>99.853830645161295</v>
      </c>
      <c r="O18" s="666">
        <f t="shared" si="3"/>
        <v>99.84543010752688</v>
      </c>
      <c r="P18" s="666">
        <f>L18+'Feb ANX II'!N18</f>
        <v>103.53415178571429</v>
      </c>
      <c r="Q18" s="532">
        <f t="shared" si="4"/>
        <v>25.883537946428572</v>
      </c>
      <c r="R18" s="666">
        <f t="shared" si="5"/>
        <v>99.705239292848972</v>
      </c>
      <c r="S18" s="666">
        <f t="shared" si="6"/>
        <v>99.704525822529348</v>
      </c>
      <c r="T18" s="265"/>
      <c r="U18" s="265">
        <f>N18-R18</f>
        <v>0.14859135231232301</v>
      </c>
      <c r="V18" s="265">
        <f>O18-S18</f>
        <v>0.14090428499753216</v>
      </c>
    </row>
    <row r="19" spans="1:22" s="330" customFormat="1" ht="24.95" customHeight="1">
      <c r="A19" s="228">
        <v>6</v>
      </c>
      <c r="B19" s="229" t="s">
        <v>80</v>
      </c>
      <c r="C19" s="682">
        <v>1</v>
      </c>
      <c r="D19" s="682">
        <v>1</v>
      </c>
      <c r="E19" s="683">
        <v>5.12</v>
      </c>
      <c r="F19" s="664" t="e">
        <f>E19+'Feb ANX II'!F19</f>
        <v>#REF!</v>
      </c>
      <c r="G19" s="683">
        <v>21.36</v>
      </c>
      <c r="H19" s="683">
        <v>13.05</v>
      </c>
      <c r="I19" s="530"/>
      <c r="J19" s="530"/>
      <c r="K19" s="531">
        <f t="shared" si="7"/>
        <v>34.409999999999997</v>
      </c>
      <c r="L19" s="531">
        <f t="shared" si="0"/>
        <v>39.529999999999994</v>
      </c>
      <c r="M19" s="531">
        <f t="shared" si="1"/>
        <v>39.529999999999994</v>
      </c>
      <c r="N19" s="666">
        <f t="shared" si="2"/>
        <v>95.375</v>
      </c>
      <c r="O19" s="666">
        <f t="shared" si="3"/>
        <v>94.686827956989248</v>
      </c>
      <c r="P19" s="666">
        <f>L19+'Feb ANX II'!N19</f>
        <v>134.36482142857142</v>
      </c>
      <c r="Q19" s="532">
        <f t="shared" si="4"/>
        <v>134.36482142857142</v>
      </c>
      <c r="R19" s="666">
        <f t="shared" si="5"/>
        <v>98.524602495107615</v>
      </c>
      <c r="S19" s="666">
        <f t="shared" si="6"/>
        <v>98.466155006523152</v>
      </c>
      <c r="T19" s="265"/>
      <c r="U19" s="265">
        <f t="shared" si="8"/>
        <v>-3.1496024951076151</v>
      </c>
      <c r="V19" s="265">
        <f t="shared" si="8"/>
        <v>-3.7793270495339044</v>
      </c>
    </row>
    <row r="20" spans="1:22" s="330" customFormat="1" ht="24.95" customHeight="1">
      <c r="A20" s="228">
        <v>7</v>
      </c>
      <c r="B20" s="229" t="s">
        <v>74</v>
      </c>
      <c r="C20" s="682">
        <v>2</v>
      </c>
      <c r="D20" s="682">
        <v>2</v>
      </c>
      <c r="E20" s="683">
        <v>12.55</v>
      </c>
      <c r="F20" s="664" t="e">
        <f>E20+'Feb ANX II'!F20</f>
        <v>#REF!</v>
      </c>
      <c r="G20" s="683">
        <v>46.52</v>
      </c>
      <c r="H20" s="683">
        <v>38.53</v>
      </c>
      <c r="I20" s="530"/>
      <c r="J20" s="530"/>
      <c r="K20" s="531">
        <f t="shared" si="7"/>
        <v>85.050000000000011</v>
      </c>
      <c r="L20" s="531">
        <f t="shared" si="0"/>
        <v>97.600000000000009</v>
      </c>
      <c r="M20" s="531">
        <f t="shared" si="1"/>
        <v>48.800000000000004</v>
      </c>
      <c r="N20" s="666">
        <f t="shared" si="2"/>
        <v>94.284274193548384</v>
      </c>
      <c r="O20" s="666">
        <f t="shared" si="3"/>
        <v>93.44086021505376</v>
      </c>
      <c r="P20" s="666">
        <f>L20+'Feb ANX II'!N20</f>
        <v>191.28526785714286</v>
      </c>
      <c r="Q20" s="532">
        <f t="shared" si="4"/>
        <v>95.642633928571428</v>
      </c>
      <c r="R20" s="666">
        <f t="shared" si="5"/>
        <v>98.979821530495755</v>
      </c>
      <c r="S20" s="666">
        <f t="shared" si="6"/>
        <v>98.908189110404436</v>
      </c>
      <c r="T20" s="265"/>
      <c r="U20" s="265">
        <f t="shared" si="8"/>
        <v>-4.6955473369473708</v>
      </c>
      <c r="V20" s="265">
        <f t="shared" si="8"/>
        <v>-5.4673288953506756</v>
      </c>
    </row>
    <row r="21" spans="1:22" s="330" customFormat="1" ht="24.95" customHeight="1">
      <c r="A21" s="228">
        <v>8</v>
      </c>
      <c r="B21" s="229" t="s">
        <v>44</v>
      </c>
      <c r="C21" s="682">
        <v>3</v>
      </c>
      <c r="D21" s="682">
        <v>3</v>
      </c>
      <c r="E21" s="683">
        <v>13.500551654613911</v>
      </c>
      <c r="F21" s="664" t="e">
        <f>E21+'Feb ANX II'!F21</f>
        <v>#REF!</v>
      </c>
      <c r="G21" s="683">
        <v>16.059999999999999</v>
      </c>
      <c r="H21" s="683">
        <v>2.08</v>
      </c>
      <c r="I21" s="530"/>
      <c r="J21" s="530"/>
      <c r="K21" s="531">
        <f t="shared" si="7"/>
        <v>18.14</v>
      </c>
      <c r="L21" s="531">
        <f t="shared" si="0"/>
        <v>31.640551654613912</v>
      </c>
      <c r="M21" s="531">
        <f t="shared" si="1"/>
        <v>10.54685055153797</v>
      </c>
      <c r="N21" s="666">
        <f t="shared" si="2"/>
        <v>99.187275985663078</v>
      </c>
      <c r="O21" s="666">
        <f t="shared" si="3"/>
        <v>98.582412560277163</v>
      </c>
      <c r="P21" s="666">
        <f>L21+'Feb ANX II'!N21</f>
        <v>130.87914292445518</v>
      </c>
      <c r="Q21" s="532">
        <f t="shared" si="4"/>
        <v>43.626380974818396</v>
      </c>
      <c r="R21" s="666">
        <f t="shared" si="5"/>
        <v>99.553353914498317</v>
      </c>
      <c r="S21" s="666">
        <f t="shared" si="6"/>
        <v>99.501981952342263</v>
      </c>
      <c r="T21" s="265"/>
      <c r="U21" s="265">
        <f t="shared" si="8"/>
        <v>-0.36607792883523871</v>
      </c>
      <c r="V21" s="265">
        <f t="shared" si="8"/>
        <v>-0.91956939206509958</v>
      </c>
    </row>
    <row r="22" spans="1:22" s="330" customFormat="1" ht="24.95" customHeight="1">
      <c r="A22" s="228">
        <v>9</v>
      </c>
      <c r="B22" s="229" t="s">
        <v>75</v>
      </c>
      <c r="C22" s="682">
        <v>5</v>
      </c>
      <c r="D22" s="682">
        <v>5</v>
      </c>
      <c r="E22" s="683">
        <v>16.05</v>
      </c>
      <c r="F22" s="664" t="e">
        <f>E22+'Feb ANX II'!F22</f>
        <v>#REF!</v>
      </c>
      <c r="G22" s="683">
        <v>26.07</v>
      </c>
      <c r="H22" s="683">
        <v>11.21</v>
      </c>
      <c r="I22" s="530"/>
      <c r="J22" s="530"/>
      <c r="K22" s="531">
        <f t="shared" si="7"/>
        <v>37.28</v>
      </c>
      <c r="L22" s="531">
        <f t="shared" si="0"/>
        <v>53.33</v>
      </c>
      <c r="M22" s="531">
        <f t="shared" si="1"/>
        <v>10.666</v>
      </c>
      <c r="N22" s="666">
        <f t="shared" si="2"/>
        <v>98.997849462365593</v>
      </c>
      <c r="O22" s="666">
        <f t="shared" si="3"/>
        <v>98.566397849462362</v>
      </c>
      <c r="P22" s="666">
        <f>L22+'Feb ANX II'!N22</f>
        <v>152.81482142857141</v>
      </c>
      <c r="Q22" s="532">
        <f t="shared" si="4"/>
        <v>30.56296428571428</v>
      </c>
      <c r="R22" s="666">
        <f t="shared" si="5"/>
        <v>99.687751549249839</v>
      </c>
      <c r="S22" s="666">
        <f t="shared" si="6"/>
        <v>99.651107713633394</v>
      </c>
      <c r="T22" s="265"/>
      <c r="U22" s="265">
        <f t="shared" si="8"/>
        <v>-0.68990208688424559</v>
      </c>
      <c r="V22" s="265">
        <f t="shared" si="8"/>
        <v>-1.0847098641710318</v>
      </c>
    </row>
    <row r="23" spans="1:22" s="330" customFormat="1" ht="24.95" customHeight="1">
      <c r="A23" s="228">
        <v>10</v>
      </c>
      <c r="B23" s="229" t="s">
        <v>76</v>
      </c>
      <c r="C23" s="682">
        <v>1</v>
      </c>
      <c r="D23" s="682">
        <v>1</v>
      </c>
      <c r="E23" s="683">
        <v>2.1416670994957752</v>
      </c>
      <c r="F23" s="664" t="e">
        <f>E23+'Feb ANX II'!F23</f>
        <v>#REF!</v>
      </c>
      <c r="G23" s="683">
        <v>5.0999999999999996</v>
      </c>
      <c r="H23" s="683">
        <v>0.2</v>
      </c>
      <c r="I23" s="530"/>
      <c r="J23" s="530"/>
      <c r="K23" s="531">
        <f t="shared" si="7"/>
        <v>5.3</v>
      </c>
      <c r="L23" s="531">
        <f t="shared" si="0"/>
        <v>7.441667099495775</v>
      </c>
      <c r="M23" s="531">
        <f t="shared" si="1"/>
        <v>7.441667099495775</v>
      </c>
      <c r="N23" s="666">
        <f t="shared" si="2"/>
        <v>99.287634408602145</v>
      </c>
      <c r="O23" s="666">
        <f t="shared" si="3"/>
        <v>98.999775927487121</v>
      </c>
      <c r="P23" s="666">
        <f>L23+'Feb ANX II'!N23</f>
        <v>106.73482186140053</v>
      </c>
      <c r="Q23" s="532">
        <f t="shared" si="4"/>
        <v>106.73482186140053</v>
      </c>
      <c r="R23" s="666">
        <f t="shared" si="5"/>
        <v>98.806014215046758</v>
      </c>
      <c r="S23" s="666">
        <f t="shared" si="6"/>
        <v>98.781565960486304</v>
      </c>
      <c r="T23" s="265"/>
      <c r="U23" s="265">
        <f t="shared" si="8"/>
        <v>0.48162019355538632</v>
      </c>
      <c r="V23" s="265">
        <f t="shared" si="8"/>
        <v>0.21820996700081707</v>
      </c>
    </row>
    <row r="24" spans="1:22" s="266" customFormat="1" ht="24.95" customHeight="1">
      <c r="A24" s="228">
        <v>11</v>
      </c>
      <c r="B24" s="229" t="s">
        <v>28</v>
      </c>
      <c r="C24" s="684">
        <v>7</v>
      </c>
      <c r="D24" s="684">
        <v>7</v>
      </c>
      <c r="E24" s="684">
        <v>15</v>
      </c>
      <c r="F24" s="664" t="e">
        <f>E24+'Feb ANX II'!F24</f>
        <v>#REF!</v>
      </c>
      <c r="G24" s="684">
        <v>124</v>
      </c>
      <c r="H24" s="684">
        <v>45</v>
      </c>
      <c r="I24" s="623">
        <v>120.25</v>
      </c>
      <c r="J24" s="623">
        <v>45.2</v>
      </c>
      <c r="K24" s="531">
        <f t="shared" si="7"/>
        <v>169</v>
      </c>
      <c r="L24" s="531">
        <f t="shared" si="0"/>
        <v>184</v>
      </c>
      <c r="M24" s="531">
        <f t="shared" si="1"/>
        <v>26.285714285714285</v>
      </c>
      <c r="N24" s="666">
        <f t="shared" si="2"/>
        <v>96.754992319508446</v>
      </c>
      <c r="O24" s="666">
        <f t="shared" si="3"/>
        <v>96.466973886328731</v>
      </c>
      <c r="P24" s="666">
        <f>L24+'Feb ANX II'!N24</f>
        <v>280.52104591836735</v>
      </c>
      <c r="Q24" s="532">
        <f t="shared" si="4"/>
        <v>40.074435131195337</v>
      </c>
      <c r="R24" s="666">
        <f t="shared" si="5"/>
        <v>99.566991118854588</v>
      </c>
      <c r="S24" s="666">
        <f t="shared" si="6"/>
        <v>99.542529279324256</v>
      </c>
      <c r="T24" s="265"/>
      <c r="U24" s="265">
        <f t="shared" si="8"/>
        <v>-2.8119987993461422</v>
      </c>
      <c r="V24" s="265">
        <f t="shared" si="8"/>
        <v>-3.0755553929955255</v>
      </c>
    </row>
    <row r="25" spans="1:22" s="266" customFormat="1" ht="24.95" customHeight="1">
      <c r="A25" s="228">
        <v>12</v>
      </c>
      <c r="B25" s="229" t="s">
        <v>45</v>
      </c>
      <c r="C25" s="684">
        <v>11</v>
      </c>
      <c r="D25" s="684">
        <v>11</v>
      </c>
      <c r="E25" s="684">
        <v>17</v>
      </c>
      <c r="F25" s="664" t="e">
        <f>E25+'Feb ANX II'!F25</f>
        <v>#REF!</v>
      </c>
      <c r="G25" s="684">
        <v>121</v>
      </c>
      <c r="H25" s="684">
        <v>49</v>
      </c>
      <c r="I25" s="533">
        <v>126.5</v>
      </c>
      <c r="J25" s="533">
        <v>48.45</v>
      </c>
      <c r="K25" s="531">
        <f>G25+H25</f>
        <v>170</v>
      </c>
      <c r="L25" s="531">
        <f t="shared" si="0"/>
        <v>187</v>
      </c>
      <c r="M25" s="531">
        <f t="shared" si="1"/>
        <v>17</v>
      </c>
      <c r="N25" s="666">
        <f t="shared" si="2"/>
        <v>97.922776148582599</v>
      </c>
      <c r="O25" s="666">
        <f t="shared" si="3"/>
        <v>97.715053763440864</v>
      </c>
      <c r="P25" s="666">
        <f>L25+'Feb ANX II'!N25</f>
        <v>284.67113095238096</v>
      </c>
      <c r="Q25" s="532">
        <f t="shared" si="4"/>
        <v>25.879193722943725</v>
      </c>
      <c r="R25" s="666">
        <f t="shared" si="5"/>
        <v>99.722217589298054</v>
      </c>
      <c r="S25" s="666">
        <f t="shared" si="6"/>
        <v>99.704575414121635</v>
      </c>
      <c r="T25" s="265"/>
      <c r="U25" s="265">
        <f t="shared" si="8"/>
        <v>-1.7994414407154551</v>
      </c>
      <c r="V25" s="265">
        <f t="shared" si="8"/>
        <v>-1.9895216506807714</v>
      </c>
    </row>
    <row r="26" spans="1:22" s="266" customFormat="1" ht="24.95" customHeight="1">
      <c r="A26" s="228">
        <v>13</v>
      </c>
      <c r="B26" s="229" t="s">
        <v>46</v>
      </c>
      <c r="C26" s="684">
        <v>8</v>
      </c>
      <c r="D26" s="684">
        <v>8</v>
      </c>
      <c r="E26" s="684">
        <v>15</v>
      </c>
      <c r="F26" s="664" t="e">
        <f>E26+'Feb ANX II'!F26</f>
        <v>#REF!</v>
      </c>
      <c r="G26" s="684">
        <v>127.22</v>
      </c>
      <c r="H26" s="684">
        <v>63.08</v>
      </c>
      <c r="I26" s="533">
        <v>120.57</v>
      </c>
      <c r="J26" s="533">
        <v>17.21</v>
      </c>
      <c r="K26" s="531">
        <f>G26+H26</f>
        <v>190.3</v>
      </c>
      <c r="L26" s="531">
        <f t="shared" si="0"/>
        <v>205.3</v>
      </c>
      <c r="M26" s="531">
        <f t="shared" si="1"/>
        <v>25.662500000000001</v>
      </c>
      <c r="N26" s="666">
        <f t="shared" si="2"/>
        <v>96.802755376344081</v>
      </c>
      <c r="O26" s="666">
        <f t="shared" si="3"/>
        <v>96.550739247311824</v>
      </c>
      <c r="P26" s="666">
        <f>L26+'Feb ANX II'!N26</f>
        <v>302.75200892857146</v>
      </c>
      <c r="Q26" s="532">
        <f t="shared" si="4"/>
        <v>37.844001116071432</v>
      </c>
      <c r="R26" s="666">
        <f t="shared" si="5"/>
        <v>99.589394964428422</v>
      </c>
      <c r="S26" s="666">
        <f t="shared" si="6"/>
        <v>99.56799085483938</v>
      </c>
      <c r="T26" s="265"/>
      <c r="U26" s="265">
        <f t="shared" si="8"/>
        <v>-2.7866395880843413</v>
      </c>
      <c r="V26" s="265">
        <f t="shared" si="8"/>
        <v>-3.0172516075275553</v>
      </c>
    </row>
    <row r="27" spans="1:22" s="266" customFormat="1" ht="24.95" customHeight="1">
      <c r="A27" s="228">
        <v>14</v>
      </c>
      <c r="B27" s="229" t="s">
        <v>77</v>
      </c>
      <c r="C27" s="688">
        <v>4</v>
      </c>
      <c r="D27" s="688">
        <v>4</v>
      </c>
      <c r="E27" s="685">
        <v>1.3</v>
      </c>
      <c r="F27" s="664" t="e">
        <f>E27+'Feb ANX II'!F27</f>
        <v>#REF!</v>
      </c>
      <c r="G27" s="693">
        <v>15.05</v>
      </c>
      <c r="H27" s="685">
        <v>28.55</v>
      </c>
      <c r="I27" s="535"/>
      <c r="J27" s="535"/>
      <c r="K27" s="531">
        <f t="shared" si="7"/>
        <v>43.6</v>
      </c>
      <c r="L27" s="531">
        <f t="shared" si="0"/>
        <v>44.9</v>
      </c>
      <c r="M27" s="531">
        <f t="shared" si="1"/>
        <v>11.225</v>
      </c>
      <c r="N27" s="666">
        <f t="shared" si="2"/>
        <v>98.534946236559136</v>
      </c>
      <c r="O27" s="666">
        <f t="shared" si="3"/>
        <v>98.491263440860209</v>
      </c>
      <c r="P27" s="666">
        <f>L27+'Feb ANX II'!N27</f>
        <v>143.06183035714287</v>
      </c>
      <c r="Q27" s="532">
        <f t="shared" si="4"/>
        <v>35.765457589285717</v>
      </c>
      <c r="R27" s="666">
        <f t="shared" si="5"/>
        <v>99.595428566332345</v>
      </c>
      <c r="S27" s="666">
        <f t="shared" si="6"/>
        <v>99.591718520670241</v>
      </c>
      <c r="T27" s="265"/>
      <c r="U27" s="265">
        <f>N27-R27</f>
        <v>-1.0604823297732082</v>
      </c>
      <c r="V27" s="265">
        <f>O27-S27</f>
        <v>-1.1004550798100325</v>
      </c>
    </row>
    <row r="28" spans="1:22" s="266" customFormat="1" ht="24.95" customHeight="1">
      <c r="A28" s="228">
        <v>15</v>
      </c>
      <c r="B28" s="229" t="s">
        <v>47</v>
      </c>
      <c r="C28" s="705">
        <v>30</v>
      </c>
      <c r="D28" s="705">
        <v>30</v>
      </c>
      <c r="E28" s="686">
        <v>169</v>
      </c>
      <c r="F28" s="664" t="e">
        <f>E28+'Feb ANX II'!F28</f>
        <v>#REF!</v>
      </c>
      <c r="G28" s="694">
        <v>60</v>
      </c>
      <c r="H28" s="686">
        <v>119</v>
      </c>
      <c r="I28" s="538"/>
      <c r="J28" s="538"/>
      <c r="K28" s="531">
        <f t="shared" si="7"/>
        <v>179</v>
      </c>
      <c r="L28" s="531">
        <f t="shared" si="0"/>
        <v>348</v>
      </c>
      <c r="M28" s="531">
        <f t="shared" si="1"/>
        <v>11.6</v>
      </c>
      <c r="N28" s="666">
        <f t="shared" si="2"/>
        <v>99.198028673835125</v>
      </c>
      <c r="O28" s="666">
        <f t="shared" si="3"/>
        <v>98.44086021505376</v>
      </c>
      <c r="P28" s="666">
        <f>L28+'Feb ANX II'!N28</f>
        <v>447.07738095238096</v>
      </c>
      <c r="Q28" s="532">
        <f t="shared" si="4"/>
        <v>14.902579365079365</v>
      </c>
      <c r="R28" s="666">
        <f t="shared" si="5"/>
        <v>99.894186689135324</v>
      </c>
      <c r="S28" s="666">
        <f t="shared" si="6"/>
        <v>99.829879230992262</v>
      </c>
      <c r="T28" s="265"/>
      <c r="U28" s="265">
        <f t="shared" si="8"/>
        <v>-0.69615801530019894</v>
      </c>
      <c r="V28" s="265">
        <f t="shared" si="8"/>
        <v>-1.3890190159385014</v>
      </c>
    </row>
    <row r="29" spans="1:22" s="266" customFormat="1" ht="24.95" customHeight="1">
      <c r="A29" s="228">
        <v>16</v>
      </c>
      <c r="B29" s="229" t="s">
        <v>48</v>
      </c>
      <c r="C29" s="706">
        <v>15</v>
      </c>
      <c r="D29" s="706">
        <v>15</v>
      </c>
      <c r="E29" s="685">
        <v>86.5</v>
      </c>
      <c r="F29" s="664" t="e">
        <f>E29+'Feb ANX II'!F29</f>
        <v>#REF!</v>
      </c>
      <c r="G29" s="693">
        <v>91.33</v>
      </c>
      <c r="H29" s="685">
        <v>43.2</v>
      </c>
      <c r="I29" s="535"/>
      <c r="J29" s="535"/>
      <c r="K29" s="531">
        <f t="shared" si="7"/>
        <v>134.53</v>
      </c>
      <c r="L29" s="531">
        <f t="shared" si="0"/>
        <v>221.03</v>
      </c>
      <c r="M29" s="531">
        <f t="shared" si="1"/>
        <v>14.735333333333333</v>
      </c>
      <c r="N29" s="666">
        <f t="shared" si="2"/>
        <v>98.794534050179209</v>
      </c>
      <c r="O29" s="666">
        <f t="shared" si="3"/>
        <v>98.019444444444446</v>
      </c>
      <c r="P29" s="666">
        <f>L29+'Feb ANX II'!N29</f>
        <v>318.69408730158733</v>
      </c>
      <c r="Q29" s="532">
        <f t="shared" si="4"/>
        <v>21.24627248677249</v>
      </c>
      <c r="R29" s="666">
        <f t="shared" si="5"/>
        <v>99.823292171003359</v>
      </c>
      <c r="S29" s="666">
        <f t="shared" si="6"/>
        <v>99.75746264284507</v>
      </c>
      <c r="T29" s="265"/>
      <c r="U29" s="265">
        <f t="shared" si="8"/>
        <v>-1.0287581208241505</v>
      </c>
      <c r="V29" s="265">
        <f t="shared" si="8"/>
        <v>-1.7380181984006242</v>
      </c>
    </row>
    <row r="30" spans="1:22" s="266" customFormat="1" ht="24.95" customHeight="1">
      <c r="A30" s="228">
        <v>17</v>
      </c>
      <c r="B30" s="229" t="s">
        <v>63</v>
      </c>
      <c r="C30" s="688">
        <v>12</v>
      </c>
      <c r="D30" s="688">
        <v>12</v>
      </c>
      <c r="E30" s="687">
        <v>26.51</v>
      </c>
      <c r="F30" s="664" t="e">
        <f>E30+'Feb ANX II'!F30</f>
        <v>#REF!</v>
      </c>
      <c r="G30" s="695">
        <v>211.27</v>
      </c>
      <c r="H30" s="687">
        <v>105.5</v>
      </c>
      <c r="I30" s="541"/>
      <c r="J30" s="541"/>
      <c r="K30" s="531">
        <f t="shared" si="7"/>
        <v>316.77</v>
      </c>
      <c r="L30" s="531">
        <f t="shared" si="0"/>
        <v>343.28</v>
      </c>
      <c r="M30" s="531">
        <f t="shared" si="1"/>
        <v>28.606666666666666</v>
      </c>
      <c r="N30" s="666">
        <f t="shared" si="2"/>
        <v>96.451948924731184</v>
      </c>
      <c r="O30" s="666">
        <f t="shared" si="3"/>
        <v>96.155017921146936</v>
      </c>
      <c r="P30" s="666">
        <f>L30+'Feb ANX II'!N30</f>
        <v>440.52417162698407</v>
      </c>
      <c r="Q30" s="532">
        <f t="shared" si="4"/>
        <v>36.710347635582004</v>
      </c>
      <c r="R30" s="666">
        <f t="shared" si="5"/>
        <v>99.606150902181341</v>
      </c>
      <c r="S30" s="666">
        <f t="shared" si="6"/>
        <v>99.58093210461665</v>
      </c>
      <c r="T30" s="265"/>
      <c r="U30" s="265">
        <f t="shared" si="8"/>
        <v>-3.1542019774501568</v>
      </c>
      <c r="V30" s="265">
        <f t="shared" si="8"/>
        <v>-3.4259141834697147</v>
      </c>
    </row>
    <row r="31" spans="1:22" s="266" customFormat="1" ht="24.95" customHeight="1">
      <c r="A31" s="228">
        <v>18</v>
      </c>
      <c r="B31" s="229" t="s">
        <v>50</v>
      </c>
      <c r="C31" s="689">
        <v>50</v>
      </c>
      <c r="D31" s="689">
        <v>50</v>
      </c>
      <c r="E31" s="684">
        <v>188.24999999999997</v>
      </c>
      <c r="F31" s="664" t="e">
        <f>E31+'Feb ANX II'!F31</f>
        <v>#REF!</v>
      </c>
      <c r="G31" s="683">
        <v>1590.23</v>
      </c>
      <c r="H31" s="683">
        <v>1849.2</v>
      </c>
      <c r="I31" s="530"/>
      <c r="J31" s="530"/>
      <c r="K31" s="531">
        <f>G31+H31</f>
        <v>3439.4300000000003</v>
      </c>
      <c r="L31" s="531">
        <f t="shared" si="0"/>
        <v>3627.6800000000003</v>
      </c>
      <c r="M31" s="531">
        <f t="shared" si="1"/>
        <v>72.553600000000003</v>
      </c>
      <c r="N31" s="666">
        <f t="shared" si="2"/>
        <v>90.754220430107523</v>
      </c>
      <c r="O31" s="666">
        <f t="shared" si="3"/>
        <v>90.248172043010754</v>
      </c>
      <c r="P31" s="666">
        <f>L31+'Feb ANX II'!N31</f>
        <v>3721.9654166666669</v>
      </c>
      <c r="Q31" s="532">
        <f t="shared" si="4"/>
        <v>74.439308333333344</v>
      </c>
      <c r="R31" s="666">
        <f t="shared" si="5"/>
        <v>99.193215658295287</v>
      </c>
      <c r="S31" s="666">
        <f t="shared" si="6"/>
        <v>99.150236206240493</v>
      </c>
      <c r="T31" s="265" t="str">
        <f>'[2]Annexure II'!B8</f>
        <v>Devanahalli</v>
      </c>
      <c r="U31" s="265">
        <f t="shared" si="8"/>
        <v>-8.438995228187764</v>
      </c>
      <c r="V31" s="265">
        <f t="shared" si="8"/>
        <v>-8.9020641632297384</v>
      </c>
    </row>
    <row r="32" spans="1:22" s="266" customFormat="1" ht="24.95" customHeight="1">
      <c r="A32" s="228">
        <v>19</v>
      </c>
      <c r="B32" s="229" t="s">
        <v>51</v>
      </c>
      <c r="C32" s="690">
        <v>59</v>
      </c>
      <c r="D32" s="690">
        <v>59</v>
      </c>
      <c r="E32" s="684">
        <v>417.31</v>
      </c>
      <c r="F32" s="664" t="e">
        <f>E32+'Feb ANX II'!F32</f>
        <v>#REF!</v>
      </c>
      <c r="G32" s="683">
        <v>2725.04</v>
      </c>
      <c r="H32" s="683">
        <v>2441.31</v>
      </c>
      <c r="I32" s="530"/>
      <c r="J32" s="530"/>
      <c r="K32" s="531">
        <f t="shared" si="7"/>
        <v>5166.3500000000004</v>
      </c>
      <c r="L32" s="531">
        <f t="shared" si="0"/>
        <v>5583.6600000000008</v>
      </c>
      <c r="M32" s="531">
        <f t="shared" si="1"/>
        <v>94.638305084745781</v>
      </c>
      <c r="N32" s="666">
        <f t="shared" si="2"/>
        <v>88.230476581009654</v>
      </c>
      <c r="O32" s="666">
        <f t="shared" si="3"/>
        <v>87.279797703663192</v>
      </c>
      <c r="P32" s="666">
        <f>L32+'Feb ANX II'!N32</f>
        <v>5679.712797605036</v>
      </c>
      <c r="Q32" s="532">
        <f t="shared" si="4"/>
        <v>96.266318603475185</v>
      </c>
      <c r="R32" s="666">
        <f t="shared" si="5"/>
        <v>98.981812011917611</v>
      </c>
      <c r="S32" s="666">
        <f t="shared" si="6"/>
        <v>98.901069422334757</v>
      </c>
      <c r="T32" s="265" t="str">
        <f>'[2]Annexure II'!B9</f>
        <v>Hosakote</v>
      </c>
      <c r="U32" s="265">
        <f t="shared" si="8"/>
        <v>-10.751335430907957</v>
      </c>
      <c r="V32" s="265">
        <f t="shared" si="8"/>
        <v>-11.621271718671565</v>
      </c>
    </row>
    <row r="33" spans="1:22" s="266" customFormat="1" ht="24.95" customHeight="1">
      <c r="A33" s="228">
        <v>20</v>
      </c>
      <c r="B33" s="229" t="s">
        <v>52</v>
      </c>
      <c r="C33" s="689">
        <v>48</v>
      </c>
      <c r="D33" s="689">
        <v>48</v>
      </c>
      <c r="E33" s="684">
        <v>237.09</v>
      </c>
      <c r="F33" s="664" t="e">
        <f>E33+'Feb ANX II'!F33</f>
        <v>#REF!</v>
      </c>
      <c r="G33" s="683">
        <v>466.3</v>
      </c>
      <c r="H33" s="683">
        <v>408.3</v>
      </c>
      <c r="I33" s="530"/>
      <c r="J33" s="530"/>
      <c r="K33" s="531">
        <f t="shared" si="7"/>
        <v>874.6</v>
      </c>
      <c r="L33" s="531">
        <f t="shared" si="0"/>
        <v>1111.69</v>
      </c>
      <c r="M33" s="531">
        <f t="shared" si="1"/>
        <v>23.160208333333333</v>
      </c>
      <c r="N33" s="666">
        <f t="shared" si="2"/>
        <v>97.550963261648747</v>
      </c>
      <c r="O33" s="666">
        <f t="shared" si="3"/>
        <v>96.887068772401435</v>
      </c>
      <c r="P33" s="666">
        <f>L33+'Feb ANX II'!N33</f>
        <v>1209.2952827380952</v>
      </c>
      <c r="Q33" s="532">
        <f t="shared" si="4"/>
        <v>25.193651723710317</v>
      </c>
      <c r="R33" s="666">
        <f t="shared" si="5"/>
        <v>99.768786795391449</v>
      </c>
      <c r="S33" s="666">
        <f t="shared" si="6"/>
        <v>99.712401236030701</v>
      </c>
      <c r="T33" s="265" t="str">
        <f>'[2]Annexure II'!B10</f>
        <v>Nelamangala</v>
      </c>
      <c r="U33" s="265">
        <f t="shared" si="8"/>
        <v>-2.2178235337427026</v>
      </c>
      <c r="V33" s="265">
        <f t="shared" si="8"/>
        <v>-2.825332463629266</v>
      </c>
    </row>
    <row r="34" spans="1:22" s="266" customFormat="1" ht="28.5" customHeight="1">
      <c r="A34" s="228">
        <v>21</v>
      </c>
      <c r="B34" s="229" t="s">
        <v>53</v>
      </c>
      <c r="C34" s="689">
        <v>36</v>
      </c>
      <c r="D34" s="689">
        <v>36</v>
      </c>
      <c r="E34" s="684">
        <v>208.2000000000001</v>
      </c>
      <c r="F34" s="664" t="e">
        <f>E34+'Feb ANX II'!F34</f>
        <v>#REF!</v>
      </c>
      <c r="G34" s="683">
        <v>405.25</v>
      </c>
      <c r="H34" s="683">
        <v>143.55000000000001</v>
      </c>
      <c r="I34" s="530"/>
      <c r="J34" s="530"/>
      <c r="K34" s="531">
        <f t="shared" si="7"/>
        <v>548.79999999999995</v>
      </c>
      <c r="L34" s="531">
        <f t="shared" si="0"/>
        <v>757</v>
      </c>
      <c r="M34" s="531">
        <f t="shared" si="1"/>
        <v>21.027777777777779</v>
      </c>
      <c r="N34" s="666">
        <f t="shared" si="2"/>
        <v>97.951015531660687</v>
      </c>
      <c r="O34" s="666">
        <f t="shared" si="3"/>
        <v>97.173685782556745</v>
      </c>
      <c r="P34" s="666">
        <f>L34+'Feb ANX II'!N34</f>
        <v>855.66443452380952</v>
      </c>
      <c r="Q34" s="532">
        <f t="shared" si="4"/>
        <v>23.768456514550266</v>
      </c>
      <c r="R34" s="666">
        <f t="shared" si="5"/>
        <v>99.794690374643636</v>
      </c>
      <c r="S34" s="666">
        <f t="shared" si="6"/>
        <v>99.728670587733447</v>
      </c>
      <c r="T34" s="265" t="str">
        <f>'[2]Annexure II'!B11</f>
        <v>Doddaballapura</v>
      </c>
      <c r="U34" s="265">
        <f t="shared" si="8"/>
        <v>-1.8436748429829493</v>
      </c>
      <c r="V34" s="265">
        <f t="shared" si="8"/>
        <v>-2.5549848051767015</v>
      </c>
    </row>
    <row r="35" spans="1:22" s="266" customFormat="1" ht="24.95" customHeight="1">
      <c r="A35" s="228">
        <v>22</v>
      </c>
      <c r="B35" s="229" t="s">
        <v>54</v>
      </c>
      <c r="C35" s="684">
        <v>26</v>
      </c>
      <c r="D35" s="684">
        <v>26</v>
      </c>
      <c r="E35" s="684">
        <v>97.18</v>
      </c>
      <c r="F35" s="664" t="e">
        <f>E35+'Feb ANX II'!F35</f>
        <v>#REF!</v>
      </c>
      <c r="G35" s="683">
        <v>202.2</v>
      </c>
      <c r="H35" s="683">
        <v>59</v>
      </c>
      <c r="I35" s="624">
        <v>230.41</v>
      </c>
      <c r="J35" s="624">
        <v>20.53</v>
      </c>
      <c r="K35" s="531">
        <f t="shared" si="7"/>
        <v>261.2</v>
      </c>
      <c r="L35" s="531">
        <f t="shared" si="0"/>
        <v>358.38</v>
      </c>
      <c r="M35" s="531">
        <f t="shared" si="1"/>
        <v>13.783846153846154</v>
      </c>
      <c r="N35" s="666">
        <f t="shared" si="2"/>
        <v>98.649710504549219</v>
      </c>
      <c r="O35" s="666">
        <f t="shared" si="3"/>
        <v>98.147332506203469</v>
      </c>
      <c r="P35" s="666">
        <f>L35+'Feb ANX II'!N35</f>
        <v>456.94604853479854</v>
      </c>
      <c r="Q35" s="532">
        <f t="shared" si="4"/>
        <v>17.574848020569174</v>
      </c>
      <c r="R35" s="666">
        <f t="shared" si="5"/>
        <v>99.842041601451172</v>
      </c>
      <c r="S35" s="666">
        <f t="shared" si="6"/>
        <v>99.799373881043721</v>
      </c>
      <c r="T35" s="265" t="str">
        <f>'[2]Annexure II'!B12</f>
        <v>Magadi</v>
      </c>
      <c r="U35" s="265">
        <f t="shared" si="8"/>
        <v>-1.1923310969019525</v>
      </c>
      <c r="V35" s="265">
        <f t="shared" si="8"/>
        <v>-1.6520413748402518</v>
      </c>
    </row>
    <row r="36" spans="1:22" s="266" customFormat="1" ht="24.95" customHeight="1">
      <c r="A36" s="228">
        <v>23</v>
      </c>
      <c r="B36" s="229" t="s">
        <v>49</v>
      </c>
      <c r="C36" s="691">
        <v>127</v>
      </c>
      <c r="D36" s="691">
        <v>127</v>
      </c>
      <c r="E36" s="683">
        <v>55.04375000000001</v>
      </c>
      <c r="F36" s="664" t="e">
        <f>E36+'Feb ANX II'!F36</f>
        <v>#REF!</v>
      </c>
      <c r="G36" s="683">
        <v>55.04375000000001</v>
      </c>
      <c r="H36" s="683">
        <v>24.485416666666666</v>
      </c>
      <c r="I36" s="530"/>
      <c r="J36" s="530"/>
      <c r="K36" s="531">
        <f>G36+H36</f>
        <v>79.529166666666669</v>
      </c>
      <c r="L36" s="531">
        <f t="shared" si="0"/>
        <v>134.57291666666669</v>
      </c>
      <c r="M36" s="531">
        <f t="shared" si="1"/>
        <v>1.0596292650918637</v>
      </c>
      <c r="N36" s="666">
        <f t="shared" si="2"/>
        <v>99.915831463607375</v>
      </c>
      <c r="O36" s="666">
        <f t="shared" si="3"/>
        <v>99.85757671168119</v>
      </c>
      <c r="P36" s="666">
        <f>L36+'Feb ANX II'!N36</f>
        <v>234.49110658042747</v>
      </c>
      <c r="Q36" s="532">
        <f t="shared" si="4"/>
        <v>1.8463866659876178</v>
      </c>
      <c r="R36" s="666">
        <f t="shared" si="5"/>
        <v>99.983870190506195</v>
      </c>
      <c r="S36" s="666">
        <f t="shared" si="6"/>
        <v>99.97892252664397</v>
      </c>
      <c r="T36" s="265" t="str">
        <f>'[2]Annexure II'!B7</f>
        <v>Anekal</v>
      </c>
      <c r="U36" s="265">
        <f>N36-R36</f>
        <v>-6.8038726898819846E-2</v>
      </c>
      <c r="V36" s="265">
        <f>O36-S36</f>
        <v>-0.12134581496277974</v>
      </c>
    </row>
    <row r="37" spans="1:22" s="266" customFormat="1" ht="24.95" customHeight="1">
      <c r="A37" s="228">
        <v>24</v>
      </c>
      <c r="B37" s="229" t="s">
        <v>32</v>
      </c>
      <c r="C37" s="692">
        <v>24</v>
      </c>
      <c r="D37" s="692">
        <v>24</v>
      </c>
      <c r="E37" s="683">
        <v>0.54</v>
      </c>
      <c r="F37" s="664" t="e">
        <f>E37+'Feb ANX II'!F37</f>
        <v>#REF!</v>
      </c>
      <c r="G37" s="683">
        <v>9.6819444444444454</v>
      </c>
      <c r="H37" s="683">
        <v>1.9215277777777777</v>
      </c>
      <c r="I37" s="530"/>
      <c r="J37" s="530"/>
      <c r="K37" s="531">
        <f t="shared" si="7"/>
        <v>11.603472222222223</v>
      </c>
      <c r="L37" s="531">
        <f t="shared" si="0"/>
        <v>12.143472222222222</v>
      </c>
      <c r="M37" s="531">
        <f t="shared" si="1"/>
        <v>0.50597800925925929</v>
      </c>
      <c r="N37" s="666">
        <f t="shared" si="2"/>
        <v>99.935016396604951</v>
      </c>
      <c r="O37" s="666">
        <f t="shared" si="3"/>
        <v>99.931992203056552</v>
      </c>
      <c r="P37" s="666">
        <f>L37+'Feb ANX II'!N37</f>
        <v>111.98862247850528</v>
      </c>
      <c r="Q37" s="532">
        <f t="shared" si="4"/>
        <v>4.6661926032710532</v>
      </c>
      <c r="R37" s="666">
        <f t="shared" si="5"/>
        <v>99.946989810464942</v>
      </c>
      <c r="S37" s="666">
        <f t="shared" si="6"/>
        <v>99.946732961149877</v>
      </c>
      <c r="T37" s="265" t="str">
        <f>'[2]Annexure II'!B13</f>
        <v>Ramanagara</v>
      </c>
      <c r="U37" s="265">
        <f t="shared" si="8"/>
        <v>-1.1973413859990956E-2</v>
      </c>
      <c r="V37" s="265">
        <f t="shared" si="8"/>
        <v>-1.4740758093324757E-2</v>
      </c>
    </row>
    <row r="38" spans="1:22" s="266" customFormat="1" ht="24.95" customHeight="1">
      <c r="A38" s="228">
        <v>25</v>
      </c>
      <c r="B38" s="229" t="s">
        <v>55</v>
      </c>
      <c r="C38" s="689">
        <v>7</v>
      </c>
      <c r="D38" s="692">
        <v>7</v>
      </c>
      <c r="E38" s="683">
        <v>0.42</v>
      </c>
      <c r="F38" s="664" t="e">
        <f>E38+'Feb ANX II'!F38</f>
        <v>#REF!</v>
      </c>
      <c r="G38" s="683">
        <v>19.659722222222221</v>
      </c>
      <c r="H38" s="683">
        <v>5.2625000000000002</v>
      </c>
      <c r="I38" s="530"/>
      <c r="J38" s="530"/>
      <c r="K38" s="531">
        <f t="shared" si="7"/>
        <v>24.922222222222221</v>
      </c>
      <c r="L38" s="531">
        <f t="shared" si="0"/>
        <v>25.342222222222222</v>
      </c>
      <c r="M38" s="531">
        <f t="shared" si="1"/>
        <v>3.6203174603174602</v>
      </c>
      <c r="N38" s="666">
        <f t="shared" si="2"/>
        <v>99.521462706946579</v>
      </c>
      <c r="O38" s="666">
        <f t="shared" si="3"/>
        <v>99.51339819081754</v>
      </c>
      <c r="P38" s="666">
        <f>L38+'Feb ANX II'!N38</f>
        <v>124.74613378684806</v>
      </c>
      <c r="Q38" s="532">
        <f t="shared" si="4"/>
        <v>17.820876255264007</v>
      </c>
      <c r="R38" s="666">
        <f t="shared" si="5"/>
        <v>99.79725027105863</v>
      </c>
      <c r="S38" s="666">
        <f t="shared" si="6"/>
        <v>99.79656533955179</v>
      </c>
      <c r="T38" s="265" t="str">
        <f>'[2]Annexure II'!B14</f>
        <v>Channapatna</v>
      </c>
      <c r="U38" s="265">
        <f t="shared" si="8"/>
        <v>-0.27578756411205063</v>
      </c>
      <c r="V38" s="265">
        <f t="shared" si="8"/>
        <v>-0.28316714873425042</v>
      </c>
    </row>
    <row r="39" spans="1:22" s="266" customFormat="1" ht="24.95" customHeight="1">
      <c r="A39" s="228">
        <v>26</v>
      </c>
      <c r="B39" s="229" t="s">
        <v>56</v>
      </c>
      <c r="C39" s="689">
        <v>22</v>
      </c>
      <c r="D39" s="692">
        <v>22</v>
      </c>
      <c r="E39" s="683">
        <v>5.0199999999999996</v>
      </c>
      <c r="F39" s="664" t="e">
        <f>E39+'Feb ANX II'!F39</f>
        <v>#REF!</v>
      </c>
      <c r="G39" s="683">
        <v>7.8076388888888886</v>
      </c>
      <c r="H39" s="683">
        <v>1.9708333333333337</v>
      </c>
      <c r="I39" s="530"/>
      <c r="J39" s="530"/>
      <c r="K39" s="531">
        <f t="shared" si="7"/>
        <v>9.7784722222222218</v>
      </c>
      <c r="L39" s="531">
        <f t="shared" si="0"/>
        <v>14.798472222222221</v>
      </c>
      <c r="M39" s="531">
        <f t="shared" si="1"/>
        <v>0.67265782828282827</v>
      </c>
      <c r="N39" s="666">
        <f t="shared" si="2"/>
        <v>99.940258600792873</v>
      </c>
      <c r="O39" s="666">
        <f t="shared" si="3"/>
        <v>99.909589001574886</v>
      </c>
      <c r="P39" s="666">
        <f>L39+'Feb ANX II'!N39</f>
        <v>114.75053939694564</v>
      </c>
      <c r="Q39" s="532">
        <f t="shared" si="4"/>
        <v>5.2159336089520743</v>
      </c>
      <c r="R39" s="666">
        <f t="shared" si="5"/>
        <v>99.943062194169286</v>
      </c>
      <c r="S39" s="666">
        <f t="shared" si="6"/>
        <v>99.940457378893228</v>
      </c>
      <c r="T39" s="265" t="str">
        <f>'[2]Annexure II'!B15</f>
        <v>Kanakapura</v>
      </c>
      <c r="U39" s="265">
        <f t="shared" si="8"/>
        <v>-2.803593376413005E-3</v>
      </c>
      <c r="V39" s="265">
        <f t="shared" si="8"/>
        <v>-3.08683773183418E-2</v>
      </c>
    </row>
    <row r="40" spans="1:22" s="646" customFormat="1" ht="24.95" customHeight="1">
      <c r="A40" s="954"/>
      <c r="B40" s="955"/>
      <c r="C40" s="955"/>
      <c r="D40" s="955"/>
      <c r="E40" s="955"/>
      <c r="F40" s="955"/>
      <c r="G40" s="955"/>
      <c r="H40" s="955"/>
      <c r="I40" s="955"/>
      <c r="J40" s="955"/>
      <c r="K40" s="955"/>
      <c r="L40" s="955"/>
      <c r="M40" s="955"/>
      <c r="N40" s="955"/>
      <c r="O40" s="955"/>
      <c r="P40" s="955"/>
      <c r="Q40" s="955"/>
      <c r="R40" s="955"/>
      <c r="S40" s="955"/>
      <c r="T40" s="635"/>
      <c r="U40" s="635"/>
      <c r="V40" s="635"/>
    </row>
    <row r="41" spans="1:22" ht="18.75" customHeight="1" thickBot="1">
      <c r="B41" s="495"/>
      <c r="C41" s="496"/>
      <c r="D41" s="496"/>
      <c r="E41" s="496"/>
      <c r="F41" s="496"/>
      <c r="G41" s="496"/>
      <c r="H41" s="496"/>
      <c r="I41" s="496"/>
      <c r="J41" s="496"/>
      <c r="K41" s="497"/>
      <c r="L41" s="497"/>
      <c r="M41" s="497"/>
      <c r="N41" s="498"/>
      <c r="O41" s="498"/>
      <c r="P41" s="497"/>
      <c r="Q41" s="497"/>
      <c r="R41" s="498"/>
      <c r="S41" s="498"/>
    </row>
    <row r="42" spans="1:22" s="499" customFormat="1" ht="63" customHeight="1" thickBot="1">
      <c r="A42" s="928" t="s">
        <v>100</v>
      </c>
      <c r="B42" s="929"/>
      <c r="C42" s="929"/>
      <c r="D42" s="929"/>
      <c r="E42" s="929"/>
      <c r="F42" s="929"/>
      <c r="G42" s="929"/>
      <c r="H42" s="929"/>
      <c r="I42" s="929"/>
      <c r="J42" s="929"/>
      <c r="K42" s="929"/>
      <c r="L42" s="929"/>
      <c r="M42" s="929"/>
      <c r="N42" s="929"/>
      <c r="O42" s="929"/>
      <c r="P42" s="929"/>
      <c r="Q42" s="929"/>
      <c r="R42" s="929"/>
      <c r="S42" s="930"/>
    </row>
    <row r="43" spans="1:22" s="499" customFormat="1" ht="80.25" customHeight="1">
      <c r="A43" s="928" t="s">
        <v>101</v>
      </c>
      <c r="B43" s="929"/>
      <c r="C43" s="929"/>
      <c r="D43" s="929"/>
      <c r="E43" s="929"/>
      <c r="F43" s="929"/>
      <c r="G43" s="929"/>
      <c r="H43" s="929"/>
      <c r="I43" s="929"/>
      <c r="J43" s="929"/>
      <c r="K43" s="929"/>
      <c r="L43" s="929"/>
      <c r="M43" s="929"/>
      <c r="N43" s="929"/>
      <c r="O43" s="929"/>
      <c r="P43" s="929"/>
      <c r="Q43" s="929"/>
      <c r="R43" s="929"/>
      <c r="S43" s="930"/>
    </row>
    <row r="44" spans="1:22" ht="20.25" hidden="1" customHeight="1">
      <c r="A44" s="895" t="s">
        <v>36</v>
      </c>
      <c r="B44" s="896"/>
      <c r="C44" s="896"/>
      <c r="D44" s="896"/>
      <c r="E44" s="896"/>
      <c r="F44" s="896"/>
      <c r="G44" s="896"/>
      <c r="H44" s="896"/>
      <c r="I44" s="896"/>
      <c r="J44" s="896"/>
      <c r="K44" s="896"/>
      <c r="L44" s="896"/>
      <c r="M44" s="896"/>
      <c r="N44" s="896"/>
      <c r="O44" s="896"/>
      <c r="P44" s="896"/>
      <c r="Q44" s="896"/>
      <c r="R44" s="896"/>
      <c r="S44" s="897"/>
    </row>
    <row r="45" spans="1:22" ht="27" hidden="1" customHeight="1" thickBot="1">
      <c r="A45" s="898"/>
      <c r="B45" s="899"/>
      <c r="C45" s="899"/>
      <c r="D45" s="899"/>
      <c r="E45" s="899"/>
      <c r="F45" s="899"/>
      <c r="G45" s="899"/>
      <c r="H45" s="899"/>
      <c r="I45" s="899"/>
      <c r="J45" s="899"/>
      <c r="K45" s="899"/>
      <c r="L45" s="899"/>
      <c r="M45" s="899"/>
      <c r="N45" s="899"/>
      <c r="O45" s="899"/>
      <c r="P45" s="899"/>
      <c r="Q45" s="899"/>
      <c r="R45" s="899"/>
      <c r="S45" s="900"/>
    </row>
    <row r="46" spans="1:22" hidden="1"/>
    <row r="47" spans="1:22">
      <c r="K47" s="480">
        <v>1848.8000000000002</v>
      </c>
    </row>
    <row r="48" spans="1:22">
      <c r="B48" s="478" t="s">
        <v>50</v>
      </c>
      <c r="K48" s="480">
        <v>2441.3100000000004</v>
      </c>
    </row>
    <row r="49" spans="2:19">
      <c r="B49" s="478" t="s">
        <v>51</v>
      </c>
      <c r="G49" s="479">
        <v>114.07000000000002</v>
      </c>
      <c r="H49" s="479">
        <v>34.450000000000003</v>
      </c>
      <c r="I49" s="479">
        <v>242.8</v>
      </c>
      <c r="J49" s="479">
        <v>77.849999999999994</v>
      </c>
      <c r="K49" s="480">
        <v>407.85000000000008</v>
      </c>
    </row>
    <row r="50" spans="2:19">
      <c r="B50" s="478" t="s">
        <v>52</v>
      </c>
      <c r="K50" s="480">
        <v>143.55000000000001</v>
      </c>
    </row>
    <row r="51" spans="2:19">
      <c r="B51" s="478" t="s">
        <v>53</v>
      </c>
    </row>
    <row r="52" spans="2:19">
      <c r="B52" s="478" t="s">
        <v>152</v>
      </c>
      <c r="E52" s="625"/>
    </row>
    <row r="53" spans="2:19">
      <c r="C53" s="479" t="e">
        <f>su</f>
        <v>#NAME?</v>
      </c>
      <c r="R53" s="500"/>
      <c r="S53" s="500"/>
    </row>
    <row r="54" spans="2:19">
      <c r="C54" s="496"/>
      <c r="P54" s="500"/>
    </row>
    <row r="55" spans="2:19">
      <c r="K55" s="480">
        <v>56.6</v>
      </c>
      <c r="P55" s="500"/>
    </row>
    <row r="56" spans="2:19">
      <c r="K56" s="480">
        <v>1.9708333333333337</v>
      </c>
    </row>
    <row r="57" spans="2:19">
      <c r="H57" s="479">
        <f>4667/89</f>
        <v>52.438202247191015</v>
      </c>
    </row>
    <row r="58" spans="2:19">
      <c r="E58" s="479">
        <f>2362/24</f>
        <v>98.416666666666671</v>
      </c>
    </row>
    <row r="63" spans="2:19">
      <c r="C63" s="479">
        <v>2</v>
      </c>
      <c r="D63" s="479">
        <v>2</v>
      </c>
      <c r="E63" s="479">
        <v>8</v>
      </c>
    </row>
    <row r="64" spans="2:19">
      <c r="C64" s="479">
        <v>5</v>
      </c>
      <c r="D64" s="479">
        <v>5</v>
      </c>
      <c r="E64" s="479">
        <v>12</v>
      </c>
    </row>
    <row r="65" spans="3:20">
      <c r="C65" s="479">
        <v>7</v>
      </c>
      <c r="D65" s="479">
        <v>7</v>
      </c>
      <c r="E65" s="479">
        <v>18</v>
      </c>
    </row>
    <row r="66" spans="3:20">
      <c r="C66" s="479">
        <v>2</v>
      </c>
      <c r="D66" s="479">
        <v>2</v>
      </c>
      <c r="E66" s="479">
        <v>22</v>
      </c>
    </row>
    <row r="67" spans="3:20">
      <c r="C67" s="479">
        <v>2</v>
      </c>
      <c r="D67" s="479">
        <v>2</v>
      </c>
      <c r="E67" s="479">
        <v>25</v>
      </c>
    </row>
    <row r="68" spans="3:20">
      <c r="C68" s="479">
        <v>2</v>
      </c>
      <c r="D68" s="479">
        <v>2</v>
      </c>
      <c r="E68" s="479">
        <v>42</v>
      </c>
    </row>
    <row r="69" spans="3:20" ht="20.25">
      <c r="C69" s="479">
        <v>4</v>
      </c>
      <c r="D69" s="479">
        <v>4</v>
      </c>
      <c r="E69" s="479">
        <v>105</v>
      </c>
      <c r="K69" s="499">
        <f>20000</f>
        <v>20000</v>
      </c>
    </row>
    <row r="70" spans="3:20" ht="20.25">
      <c r="C70" s="479">
        <v>1</v>
      </c>
      <c r="D70" s="479">
        <v>1</v>
      </c>
      <c r="E70" s="479">
        <v>54</v>
      </c>
      <c r="K70" s="499">
        <v>5000</v>
      </c>
    </row>
    <row r="71" spans="3:20" ht="20.25">
      <c r="C71" s="479">
        <v>1</v>
      </c>
      <c r="D71" s="479">
        <v>1</v>
      </c>
      <c r="E71" s="479">
        <v>91</v>
      </c>
      <c r="K71" s="499">
        <v>5000</v>
      </c>
    </row>
    <row r="72" spans="3:20" ht="20.25">
      <c r="K72" s="499">
        <v>8000</v>
      </c>
    </row>
    <row r="73" spans="3:20" ht="20.25">
      <c r="K73" s="499">
        <f>SUM(K70:K72)</f>
        <v>18000</v>
      </c>
    </row>
    <row r="74" spans="3:20" ht="20.25">
      <c r="K74" s="499">
        <f>K69-K73</f>
        <v>2000</v>
      </c>
    </row>
    <row r="75" spans="3:20" ht="20.25">
      <c r="K75" s="499"/>
    </row>
    <row r="76" spans="3:20" ht="20.25">
      <c r="K76" s="499"/>
      <c r="N76" s="500">
        <f>N14+N15+N16+N18+N17+N19+N20+N21+N22+N23+N24+N25+N26+N27+N28+N29+N30+N36+N31+N32+N33+N34+N35+N37+N38+N39</f>
        <v>2535.7681523418905</v>
      </c>
      <c r="O76" s="500">
        <f>O14+O15+O16+O18+O17+O19+O20+O21+O22+O23+O24+O25+O26+O27+O28+O29+O30+O36+O31+O32+O33+O34+O35+O37+O38+O39</f>
        <v>2524.2863811052857</v>
      </c>
      <c r="R76" s="500">
        <f>R14+R15+R16+R18+R17+R19+R20+R21+R22+R23+R24+R25+R26+R27+R28+R29+R30+R36+R31+R32+R33+R34+R35+R37+R38+R39</f>
        <v>2586.7436325049803</v>
      </c>
      <c r="S76" s="500">
        <f>S14+S15+S16+S18+S17+S19+S20+S21+S22+S23+S24+S25+S26+S27+S28+S29+S30+S36+S31+S32+S33+S34+S35+S37+S38+S39</f>
        <v>2585.7684683725565</v>
      </c>
      <c r="T76" s="500" t="e">
        <f>T14+T15+T16+T18+T17+T19+T20+T23+T24+T25+T26+T27+T28+T29+T30+T36+T31+T32+T33+T34+T35+T37+T38+T39</f>
        <v>#VALUE!</v>
      </c>
    </row>
    <row r="77" spans="3:20">
      <c r="N77" s="480">
        <f>N76/26</f>
        <v>97.52954432084195</v>
      </c>
      <c r="O77" s="480">
        <f>O76/26</f>
        <v>97.087937734818681</v>
      </c>
      <c r="R77" s="480">
        <f>R76/26</f>
        <v>99.490139711730009</v>
      </c>
      <c r="S77" s="480">
        <f>S76/26</f>
        <v>99.452633398944485</v>
      </c>
    </row>
  </sheetData>
  <mergeCells count="17">
    <mergeCell ref="A6:S6"/>
    <mergeCell ref="A7:S7"/>
    <mergeCell ref="A8:S8"/>
    <mergeCell ref="A10:D10"/>
    <mergeCell ref="A11:A12"/>
    <mergeCell ref="B11:B12"/>
    <mergeCell ref="C11:C12"/>
    <mergeCell ref="D11:D12"/>
    <mergeCell ref="E11:E12"/>
    <mergeCell ref="F11:F12"/>
    <mergeCell ref="A44:S45"/>
    <mergeCell ref="G11:K11"/>
    <mergeCell ref="L11:O11"/>
    <mergeCell ref="P11:S11"/>
    <mergeCell ref="A40:S40"/>
    <mergeCell ref="A42:S42"/>
    <mergeCell ref="A43:S43"/>
  </mergeCells>
  <printOptions horizontalCentered="1"/>
  <pageMargins left="0" right="0" top="0.5" bottom="0" header="0.19" footer="0.5"/>
  <pageSetup paperSize="9" scale="61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view="pageBreakPreview" topLeftCell="A9" zoomScale="85" zoomScaleSheetLayoutView="85" workbookViewId="0">
      <selection activeCell="I34" activeCellId="1" sqref="I34 L36"/>
    </sheetView>
  </sheetViews>
  <sheetFormatPr defaultRowHeight="15"/>
  <cols>
    <col min="1" max="1" width="7.140625" style="501" customWidth="1"/>
    <col min="2" max="2" width="17.140625" style="501" customWidth="1"/>
    <col min="3" max="3" width="10.140625" style="501" customWidth="1"/>
    <col min="4" max="4" width="8.85546875" style="501" customWidth="1"/>
    <col min="5" max="5" width="11.28515625" style="501" customWidth="1"/>
    <col min="6" max="6" width="15.5703125" style="501" customWidth="1"/>
    <col min="7" max="7" width="14.5703125" style="507" customWidth="1"/>
    <col min="8" max="8" width="13.7109375" style="507" customWidth="1"/>
    <col min="9" max="9" width="15.42578125" style="501" customWidth="1"/>
    <col min="10" max="10" width="16.42578125" style="501" customWidth="1"/>
    <col min="11" max="11" width="12.28515625" style="501" customWidth="1"/>
    <col min="12" max="12" width="13.42578125" style="501" customWidth="1"/>
    <col min="13" max="13" width="14" style="501" customWidth="1"/>
    <col min="14" max="14" width="17.28515625" style="501" customWidth="1"/>
    <col min="15" max="15" width="13.140625" style="501" customWidth="1"/>
    <col min="16" max="16" width="11.42578125" style="501" customWidth="1"/>
    <col min="17" max="17" width="13.28515625" style="501" customWidth="1"/>
    <col min="18" max="18" width="18.28515625" style="501" bestFit="1" customWidth="1"/>
    <col min="19" max="19" width="19" style="501" bestFit="1" customWidth="1"/>
    <col min="20" max="20" width="9.28515625" style="501" bestFit="1" customWidth="1"/>
    <col min="21" max="16384" width="9.140625" style="501"/>
  </cols>
  <sheetData>
    <row r="1" spans="1:20" ht="24.75" customHeight="1">
      <c r="A1" s="921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</row>
    <row r="2" spans="1:20" ht="17.25" customHeight="1">
      <c r="A2" s="922" t="s">
        <v>57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</row>
    <row r="3" spans="1:20" s="473" customFormat="1" ht="18.75" customHeight="1">
      <c r="A3" s="903" t="s">
        <v>173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</row>
    <row r="4" spans="1:20" ht="14.25" customHeight="1">
      <c r="A4" s="931"/>
      <c r="B4" s="931"/>
      <c r="C4" s="931"/>
      <c r="D4" s="931"/>
      <c r="E4" s="638"/>
      <c r="F4" s="638"/>
      <c r="G4" s="484"/>
      <c r="H4" s="484"/>
      <c r="I4" s="638"/>
      <c r="J4" s="638"/>
      <c r="K4" s="638"/>
      <c r="L4" s="638"/>
      <c r="M4" s="638"/>
      <c r="N4" s="638"/>
      <c r="O4" s="638"/>
      <c r="P4" s="638"/>
      <c r="Q4" s="638"/>
    </row>
    <row r="5" spans="1:20" s="451" customFormat="1" ht="23.25" customHeight="1">
      <c r="A5" s="932" t="s">
        <v>2</v>
      </c>
      <c r="B5" s="932" t="s">
        <v>58</v>
      </c>
      <c r="C5" s="932" t="s">
        <v>4</v>
      </c>
      <c r="D5" s="932" t="s">
        <v>5</v>
      </c>
      <c r="E5" s="960" t="s">
        <v>6</v>
      </c>
      <c r="F5" s="968" t="s">
        <v>7</v>
      </c>
      <c r="G5" s="939" t="s">
        <v>39</v>
      </c>
      <c r="H5" s="939"/>
      <c r="I5" s="939"/>
      <c r="J5" s="939" t="s">
        <v>171</v>
      </c>
      <c r="K5" s="939"/>
      <c r="L5" s="939"/>
      <c r="M5" s="939"/>
      <c r="N5" s="939" t="s">
        <v>139</v>
      </c>
      <c r="O5" s="939"/>
      <c r="P5" s="939"/>
      <c r="Q5" s="939"/>
    </row>
    <row r="6" spans="1:20" s="451" customFormat="1" ht="117.75" customHeight="1">
      <c r="A6" s="932"/>
      <c r="B6" s="932"/>
      <c r="C6" s="932"/>
      <c r="D6" s="932"/>
      <c r="E6" s="960"/>
      <c r="F6" s="968"/>
      <c r="G6" s="648" t="s">
        <v>9</v>
      </c>
      <c r="H6" s="648" t="s">
        <v>10</v>
      </c>
      <c r="I6" s="644" t="s">
        <v>11</v>
      </c>
      <c r="J6" s="644" t="s">
        <v>12</v>
      </c>
      <c r="K6" s="644" t="s">
        <v>13</v>
      </c>
      <c r="L6" s="668" t="s">
        <v>78</v>
      </c>
      <c r="M6" s="668" t="s">
        <v>14</v>
      </c>
      <c r="N6" s="668" t="s">
        <v>145</v>
      </c>
      <c r="O6" s="644" t="s">
        <v>143</v>
      </c>
      <c r="P6" s="668" t="s">
        <v>141</v>
      </c>
      <c r="Q6" s="668" t="s">
        <v>142</v>
      </c>
    </row>
    <row r="7" spans="1:20" ht="18" customHeight="1">
      <c r="A7" s="487">
        <v>1</v>
      </c>
      <c r="B7" s="487" t="s">
        <v>40</v>
      </c>
      <c r="C7" s="487">
        <v>3</v>
      </c>
      <c r="D7" s="487">
        <v>4</v>
      </c>
      <c r="E7" s="487">
        <v>5</v>
      </c>
      <c r="F7" s="667" t="s">
        <v>19</v>
      </c>
      <c r="G7" s="488">
        <v>6</v>
      </c>
      <c r="H7" s="488">
        <v>7</v>
      </c>
      <c r="I7" s="487" t="s">
        <v>20</v>
      </c>
      <c r="J7" s="487" t="s">
        <v>21</v>
      </c>
      <c r="K7" s="489" t="s">
        <v>22</v>
      </c>
      <c r="L7" s="667" t="s">
        <v>23</v>
      </c>
      <c r="M7" s="667" t="s">
        <v>24</v>
      </c>
      <c r="N7" s="667">
        <v>13</v>
      </c>
      <c r="O7" s="487" t="s">
        <v>25</v>
      </c>
      <c r="P7" s="667">
        <v>15</v>
      </c>
      <c r="Q7" s="667">
        <v>16</v>
      </c>
    </row>
    <row r="8" spans="1:20" s="504" customFormat="1" ht="24.95" customHeight="1">
      <c r="A8" s="228">
        <v>1</v>
      </c>
      <c r="B8" s="229" t="s">
        <v>60</v>
      </c>
      <c r="C8" s="696">
        <v>236</v>
      </c>
      <c r="D8" s="696">
        <v>233</v>
      </c>
      <c r="E8" s="699">
        <v>276.44</v>
      </c>
      <c r="F8" s="664">
        <f>E8+'Feb ANX III'!F8</f>
        <v>1968.53</v>
      </c>
      <c r="G8" s="649">
        <v>4222.37</v>
      </c>
      <c r="H8" s="649">
        <v>2121.15</v>
      </c>
      <c r="I8" s="531">
        <f>G8+H8</f>
        <v>6343.52</v>
      </c>
      <c r="J8" s="531">
        <f t="shared" ref="J8:J30" si="0">E8+I8</f>
        <v>6619.96</v>
      </c>
      <c r="K8" s="531">
        <f t="shared" ref="K8:K30" si="1">J8/C8</f>
        <v>28.050677966101695</v>
      </c>
      <c r="L8" s="666">
        <f t="shared" ref="L8:L30" si="2">+(((C8*18)*31)-I8)*100/((C8*18)*31)</f>
        <v>95.182917198226107</v>
      </c>
      <c r="M8" s="666">
        <f t="shared" ref="M8:M30" si="3">+(((C8*18)*31)-J8)*100/((C8*18)*31)</f>
        <v>94.972996780268517</v>
      </c>
      <c r="N8" s="666" t="e">
        <f>J8+'Feb ANX III'!N8</f>
        <v>#REF!</v>
      </c>
      <c r="O8" s="532" t="e">
        <f t="shared" ref="O8:O30" si="4">N8/C8</f>
        <v>#REF!</v>
      </c>
      <c r="P8" s="666" t="e">
        <f t="shared" ref="P8:P30" si="5">((C8*18*365)-(N8-E8))*100/(C8*18*365)</f>
        <v>#REF!</v>
      </c>
      <c r="Q8" s="666" t="e">
        <f t="shared" ref="Q8:Q30" si="6">((C8*18*365)-(N8))*100/(C8*18*365)</f>
        <v>#REF!</v>
      </c>
      <c r="R8" s="428" t="e">
        <f>L8-P8</f>
        <v>#REF!</v>
      </c>
      <c r="S8" s="428" t="e">
        <f>M8-Q8</f>
        <v>#REF!</v>
      </c>
    </row>
    <row r="9" spans="1:20" s="504" customFormat="1" ht="24.95" customHeight="1">
      <c r="A9" s="228">
        <v>2</v>
      </c>
      <c r="B9" s="229" t="s">
        <v>43</v>
      </c>
      <c r="C9" s="696">
        <v>172</v>
      </c>
      <c r="D9" s="696">
        <v>172</v>
      </c>
      <c r="E9" s="699">
        <v>118.27</v>
      </c>
      <c r="F9" s="664">
        <f>E9+'Feb ANX III'!F9</f>
        <v>907.92999999999984</v>
      </c>
      <c r="G9" s="649">
        <v>4020.2400000000002</v>
      </c>
      <c r="H9" s="649">
        <v>1173.3499999999999</v>
      </c>
      <c r="I9" s="531">
        <f t="shared" ref="I9:I30" si="7">G9+H9</f>
        <v>5193.59</v>
      </c>
      <c r="J9" s="531">
        <f t="shared" si="0"/>
        <v>5311.8600000000006</v>
      </c>
      <c r="K9" s="531">
        <f t="shared" si="1"/>
        <v>30.882906976744188</v>
      </c>
      <c r="L9" s="666">
        <f t="shared" si="2"/>
        <v>94.588657581061938</v>
      </c>
      <c r="M9" s="666">
        <f t="shared" si="3"/>
        <v>94.465428857214306</v>
      </c>
      <c r="N9" s="666" t="e">
        <f>J9+'Feb ANX III'!N9</f>
        <v>#REF!</v>
      </c>
      <c r="O9" s="532" t="e">
        <f t="shared" si="4"/>
        <v>#REF!</v>
      </c>
      <c r="P9" s="666" t="e">
        <f t="shared" si="5"/>
        <v>#REF!</v>
      </c>
      <c r="Q9" s="666" t="e">
        <f t="shared" si="6"/>
        <v>#REF!</v>
      </c>
      <c r="R9" s="428" t="e">
        <f t="shared" ref="R9:S58" si="8">L9-P9</f>
        <v>#REF!</v>
      </c>
      <c r="S9" s="428" t="e">
        <f t="shared" si="8"/>
        <v>#REF!</v>
      </c>
    </row>
    <row r="10" spans="1:20" s="504" customFormat="1" ht="24.95" customHeight="1">
      <c r="A10" s="228">
        <v>3</v>
      </c>
      <c r="B10" s="229" t="s">
        <v>27</v>
      </c>
      <c r="C10" s="696">
        <v>178</v>
      </c>
      <c r="D10" s="696">
        <v>178</v>
      </c>
      <c r="E10" s="699">
        <v>138.25</v>
      </c>
      <c r="F10" s="664">
        <f>E10+'Feb ANX III'!F10</f>
        <v>1701.31</v>
      </c>
      <c r="G10" s="649">
        <v>3445.16</v>
      </c>
      <c r="H10" s="649">
        <v>3760.16</v>
      </c>
      <c r="I10" s="531">
        <f t="shared" si="7"/>
        <v>7205.32</v>
      </c>
      <c r="J10" s="531">
        <f t="shared" si="0"/>
        <v>7343.57</v>
      </c>
      <c r="K10" s="531">
        <f t="shared" si="1"/>
        <v>41.256011235955057</v>
      </c>
      <c r="L10" s="666">
        <f t="shared" si="2"/>
        <v>92.74564052998268</v>
      </c>
      <c r="M10" s="666">
        <f t="shared" si="3"/>
        <v>92.60644959929121</v>
      </c>
      <c r="N10" s="666" t="e">
        <f>J10+'Feb ANX III'!N10</f>
        <v>#REF!</v>
      </c>
      <c r="O10" s="532" t="e">
        <f t="shared" si="4"/>
        <v>#REF!</v>
      </c>
      <c r="P10" s="666" t="e">
        <f t="shared" si="5"/>
        <v>#REF!</v>
      </c>
      <c r="Q10" s="666" t="e">
        <f t="shared" si="6"/>
        <v>#REF!</v>
      </c>
      <c r="R10" s="428" t="e">
        <f t="shared" si="8"/>
        <v>#REF!</v>
      </c>
      <c r="S10" s="428" t="e">
        <f t="shared" si="8"/>
        <v>#REF!</v>
      </c>
    </row>
    <row r="11" spans="1:20" s="504" customFormat="1" ht="24.95" customHeight="1">
      <c r="A11" s="228">
        <v>4</v>
      </c>
      <c r="B11" s="229" t="s">
        <v>44</v>
      </c>
      <c r="C11" s="696">
        <v>194</v>
      </c>
      <c r="D11" s="696">
        <v>194</v>
      </c>
      <c r="E11" s="699">
        <v>52.012711213249027</v>
      </c>
      <c r="F11" s="664">
        <f>E11+'Feb ANX III'!F11</f>
        <v>564.65732349934285</v>
      </c>
      <c r="G11" s="649">
        <v>2117.02</v>
      </c>
      <c r="H11" s="649">
        <v>562</v>
      </c>
      <c r="I11" s="531">
        <f t="shared" si="7"/>
        <v>2679.02</v>
      </c>
      <c r="J11" s="531">
        <f t="shared" si="0"/>
        <v>2731.0327112132491</v>
      </c>
      <c r="K11" s="531">
        <f t="shared" si="1"/>
        <v>14.07748820213015</v>
      </c>
      <c r="L11" s="666">
        <f t="shared" si="2"/>
        <v>97.525200458190156</v>
      </c>
      <c r="M11" s="666">
        <f t="shared" si="3"/>
        <v>97.477152651948003</v>
      </c>
      <c r="N11" s="666" t="e">
        <f>J11+'Feb ANX III'!N11</f>
        <v>#REF!</v>
      </c>
      <c r="O11" s="532" t="e">
        <f t="shared" si="4"/>
        <v>#REF!</v>
      </c>
      <c r="P11" s="666" t="e">
        <f t="shared" si="5"/>
        <v>#REF!</v>
      </c>
      <c r="Q11" s="666" t="e">
        <f t="shared" si="6"/>
        <v>#REF!</v>
      </c>
      <c r="R11" s="428" t="e">
        <f t="shared" si="8"/>
        <v>#REF!</v>
      </c>
      <c r="S11" s="428" t="e">
        <f t="shared" si="8"/>
        <v>#REF!</v>
      </c>
    </row>
    <row r="12" spans="1:20" s="429" customFormat="1" ht="25.5" customHeight="1">
      <c r="A12" s="228">
        <v>5</v>
      </c>
      <c r="B12" s="229" t="s">
        <v>28</v>
      </c>
      <c r="C12" s="696">
        <v>385</v>
      </c>
      <c r="D12" s="696">
        <v>385</v>
      </c>
      <c r="E12" s="699">
        <v>56</v>
      </c>
      <c r="F12" s="664">
        <f>E12+'Feb ANX III'!F12</f>
        <v>985.6</v>
      </c>
      <c r="G12" s="653">
        <v>5176</v>
      </c>
      <c r="H12" s="653">
        <v>6453</v>
      </c>
      <c r="I12" s="531">
        <f t="shared" si="7"/>
        <v>11629</v>
      </c>
      <c r="J12" s="531">
        <f t="shared" si="0"/>
        <v>11685</v>
      </c>
      <c r="K12" s="531">
        <f t="shared" si="1"/>
        <v>30.350649350649352</v>
      </c>
      <c r="L12" s="666">
        <f t="shared" si="2"/>
        <v>94.586882651398781</v>
      </c>
      <c r="M12" s="666">
        <f t="shared" si="3"/>
        <v>94.56081552855747</v>
      </c>
      <c r="N12" s="666" t="e">
        <f>J12+'Feb ANX III'!N12</f>
        <v>#REF!</v>
      </c>
      <c r="O12" s="532" t="e">
        <f t="shared" si="4"/>
        <v>#REF!</v>
      </c>
      <c r="P12" s="666" t="e">
        <f t="shared" si="5"/>
        <v>#REF!</v>
      </c>
      <c r="Q12" s="666" t="e">
        <f t="shared" si="6"/>
        <v>#REF!</v>
      </c>
      <c r="R12" s="428" t="e">
        <f t="shared" si="8"/>
        <v>#REF!</v>
      </c>
      <c r="S12" s="428" t="e">
        <f t="shared" si="8"/>
        <v>#REF!</v>
      </c>
      <c r="T12" s="429">
        <f>E12/60</f>
        <v>0.93333333333333335</v>
      </c>
    </row>
    <row r="13" spans="1:20" s="429" customFormat="1" ht="25.5" customHeight="1">
      <c r="A13" s="228">
        <v>6</v>
      </c>
      <c r="B13" s="505" t="s">
        <v>45</v>
      </c>
      <c r="C13" s="696">
        <v>187</v>
      </c>
      <c r="D13" s="696">
        <v>187</v>
      </c>
      <c r="E13" s="699">
        <v>58</v>
      </c>
      <c r="F13" s="664">
        <f>E13+'Feb ANX III'!F13</f>
        <v>981.44999999999993</v>
      </c>
      <c r="G13" s="653">
        <v>2232</v>
      </c>
      <c r="H13" s="653">
        <v>3736</v>
      </c>
      <c r="I13" s="531">
        <f t="shared" si="7"/>
        <v>5968</v>
      </c>
      <c r="J13" s="531">
        <f t="shared" si="0"/>
        <v>6026</v>
      </c>
      <c r="K13" s="531">
        <f t="shared" si="1"/>
        <v>32.224598930481285</v>
      </c>
      <c r="L13" s="666">
        <f t="shared" si="2"/>
        <v>94.280566576581762</v>
      </c>
      <c r="M13" s="666">
        <f t="shared" si="3"/>
        <v>94.224982270523071</v>
      </c>
      <c r="N13" s="666" t="e">
        <f>J13+'Feb ANX III'!N13</f>
        <v>#REF!</v>
      </c>
      <c r="O13" s="532" t="e">
        <f t="shared" si="4"/>
        <v>#REF!</v>
      </c>
      <c r="P13" s="666" t="e">
        <f t="shared" si="5"/>
        <v>#REF!</v>
      </c>
      <c r="Q13" s="666" t="e">
        <f t="shared" si="6"/>
        <v>#REF!</v>
      </c>
      <c r="R13" s="428" t="e">
        <f t="shared" si="8"/>
        <v>#REF!</v>
      </c>
      <c r="S13" s="428" t="e">
        <f t="shared" si="8"/>
        <v>#REF!</v>
      </c>
      <c r="T13" s="429">
        <f>E13/60</f>
        <v>0.96666666666666667</v>
      </c>
    </row>
    <row r="14" spans="1:20" s="429" customFormat="1" ht="25.5" customHeight="1">
      <c r="A14" s="228">
        <v>7</v>
      </c>
      <c r="B14" s="505" t="s">
        <v>88</v>
      </c>
      <c r="C14" s="696">
        <v>299</v>
      </c>
      <c r="D14" s="696">
        <v>299</v>
      </c>
      <c r="E14" s="699">
        <v>59</v>
      </c>
      <c r="F14" s="664">
        <f>E14+'Feb ANX III'!F14</f>
        <v>861.41</v>
      </c>
      <c r="G14" s="653">
        <v>5480.18</v>
      </c>
      <c r="H14" s="653">
        <v>2295.3200000000002</v>
      </c>
      <c r="I14" s="531">
        <f t="shared" si="7"/>
        <v>7775.5</v>
      </c>
      <c r="J14" s="531">
        <f t="shared" si="0"/>
        <v>7834.5</v>
      </c>
      <c r="K14" s="531">
        <f t="shared" si="1"/>
        <v>26.202341137123746</v>
      </c>
      <c r="L14" s="666">
        <f t="shared" si="2"/>
        <v>95.339602737919705</v>
      </c>
      <c r="M14" s="666">
        <f t="shared" si="3"/>
        <v>95.304239939583553</v>
      </c>
      <c r="N14" s="666" t="e">
        <f>J14+'Feb ANX III'!N14</f>
        <v>#REF!</v>
      </c>
      <c r="O14" s="532" t="e">
        <f t="shared" si="4"/>
        <v>#REF!</v>
      </c>
      <c r="P14" s="666" t="e">
        <f t="shared" si="5"/>
        <v>#REF!</v>
      </c>
      <c r="Q14" s="666" t="e">
        <f t="shared" si="6"/>
        <v>#REF!</v>
      </c>
      <c r="R14" s="428" t="e">
        <f t="shared" si="8"/>
        <v>#REF!</v>
      </c>
      <c r="S14" s="428" t="e">
        <f t="shared" si="8"/>
        <v>#REF!</v>
      </c>
      <c r="T14" s="429">
        <f>E14/60</f>
        <v>0.98333333333333328</v>
      </c>
    </row>
    <row r="15" spans="1:20" s="429" customFormat="1" ht="25.5" customHeight="1">
      <c r="A15" s="228">
        <v>8</v>
      </c>
      <c r="B15" s="505" t="s">
        <v>30</v>
      </c>
      <c r="C15" s="698">
        <v>134</v>
      </c>
      <c r="D15" s="698">
        <v>134</v>
      </c>
      <c r="E15" s="687">
        <v>60.3</v>
      </c>
      <c r="F15" s="664" t="e">
        <f>E15+'Feb ANX III'!F15</f>
        <v>#REF!</v>
      </c>
      <c r="G15" s="622">
        <v>1021.39</v>
      </c>
      <c r="H15" s="622">
        <v>992.93</v>
      </c>
      <c r="I15" s="531">
        <f t="shared" si="7"/>
        <v>2014.32</v>
      </c>
      <c r="J15" s="531">
        <f t="shared" si="0"/>
        <v>2074.62</v>
      </c>
      <c r="K15" s="531">
        <f t="shared" si="1"/>
        <v>15.482238805970148</v>
      </c>
      <c r="L15" s="666">
        <f t="shared" si="2"/>
        <v>97.306050393195306</v>
      </c>
      <c r="M15" s="666">
        <f t="shared" si="3"/>
        <v>97.225405231904986</v>
      </c>
      <c r="N15" s="666" t="e">
        <f>J15+'Feb ANX III'!N15</f>
        <v>#REF!</v>
      </c>
      <c r="O15" s="532" t="e">
        <f t="shared" si="4"/>
        <v>#REF!</v>
      </c>
      <c r="P15" s="666" t="e">
        <f t="shared" si="5"/>
        <v>#REF!</v>
      </c>
      <c r="Q15" s="666" t="e">
        <f t="shared" si="6"/>
        <v>#REF!</v>
      </c>
      <c r="R15" s="428" t="e">
        <f t="shared" si="8"/>
        <v>#REF!</v>
      </c>
      <c r="S15" s="428" t="e">
        <f t="shared" si="8"/>
        <v>#REF!</v>
      </c>
    </row>
    <row r="16" spans="1:20" s="429" customFormat="1" ht="25.5" customHeight="1">
      <c r="A16" s="228">
        <v>9</v>
      </c>
      <c r="B16" s="505" t="s">
        <v>47</v>
      </c>
      <c r="C16" s="698">
        <v>172</v>
      </c>
      <c r="D16" s="698">
        <v>133</v>
      </c>
      <c r="E16" s="687">
        <v>387</v>
      </c>
      <c r="F16" s="664" t="e">
        <f>E16+'Feb ANX III'!F16</f>
        <v>#REF!</v>
      </c>
      <c r="G16" s="622">
        <v>110</v>
      </c>
      <c r="H16" s="622">
        <v>506</v>
      </c>
      <c r="I16" s="531">
        <f t="shared" si="7"/>
        <v>616</v>
      </c>
      <c r="J16" s="531">
        <f t="shared" si="0"/>
        <v>1003</v>
      </c>
      <c r="K16" s="531">
        <f t="shared" si="1"/>
        <v>5.8313953488372094</v>
      </c>
      <c r="L16" s="666">
        <f t="shared" si="2"/>
        <v>99.358172876552473</v>
      </c>
      <c r="M16" s="666">
        <f t="shared" si="3"/>
        <v>98.954947070100857</v>
      </c>
      <c r="N16" s="666" t="e">
        <f>J16+'Feb ANX III'!N16</f>
        <v>#REF!</v>
      </c>
      <c r="O16" s="532" t="e">
        <f t="shared" si="4"/>
        <v>#REF!</v>
      </c>
      <c r="P16" s="666" t="e">
        <f t="shared" si="5"/>
        <v>#REF!</v>
      </c>
      <c r="Q16" s="666" t="e">
        <f t="shared" si="6"/>
        <v>#REF!</v>
      </c>
      <c r="R16" s="428" t="e">
        <f t="shared" si="8"/>
        <v>#REF!</v>
      </c>
      <c r="S16" s="428" t="e">
        <f t="shared" si="8"/>
        <v>#REF!</v>
      </c>
      <c r="T16" s="429">
        <f>E16/60</f>
        <v>6.45</v>
      </c>
    </row>
    <row r="17" spans="1:20" s="429" customFormat="1" ht="25.5" customHeight="1">
      <c r="A17" s="228">
        <v>10</v>
      </c>
      <c r="B17" s="505" t="s">
        <v>48</v>
      </c>
      <c r="C17" s="698">
        <v>182</v>
      </c>
      <c r="D17" s="698">
        <v>182</v>
      </c>
      <c r="E17" s="687">
        <v>1233.5</v>
      </c>
      <c r="F17" s="664" t="e">
        <f>E17+'Feb ANX III'!F17</f>
        <v>#REF!</v>
      </c>
      <c r="G17" s="622">
        <v>1910.25</v>
      </c>
      <c r="H17" s="622">
        <v>2140.29</v>
      </c>
      <c r="I17" s="531">
        <f t="shared" si="7"/>
        <v>4050.54</v>
      </c>
      <c r="J17" s="531">
        <f t="shared" si="0"/>
        <v>5284.04</v>
      </c>
      <c r="K17" s="531">
        <f t="shared" si="1"/>
        <v>29.033186813186813</v>
      </c>
      <c r="L17" s="666">
        <f t="shared" si="2"/>
        <v>96.011520737327189</v>
      </c>
      <c r="M17" s="666">
        <f t="shared" si="3"/>
        <v>94.796919925952182</v>
      </c>
      <c r="N17" s="666" t="e">
        <f>J17+'Feb ANX III'!N17</f>
        <v>#REF!</v>
      </c>
      <c r="O17" s="532" t="e">
        <f t="shared" si="4"/>
        <v>#REF!</v>
      </c>
      <c r="P17" s="666" t="e">
        <f t="shared" si="5"/>
        <v>#REF!</v>
      </c>
      <c r="Q17" s="666" t="e">
        <f t="shared" si="6"/>
        <v>#REF!</v>
      </c>
      <c r="R17" s="428" t="e">
        <f t="shared" si="8"/>
        <v>#REF!</v>
      </c>
      <c r="S17" s="428" t="e">
        <f t="shared" si="8"/>
        <v>#REF!</v>
      </c>
      <c r="T17" s="429">
        <f>E17/60</f>
        <v>20.558333333333334</v>
      </c>
    </row>
    <row r="18" spans="1:20" s="429" customFormat="1" ht="25.5" customHeight="1">
      <c r="A18" s="228">
        <v>11</v>
      </c>
      <c r="B18" s="505" t="s">
        <v>63</v>
      </c>
      <c r="C18" s="698">
        <v>121</v>
      </c>
      <c r="D18" s="698">
        <v>121</v>
      </c>
      <c r="E18" s="687">
        <v>58.11</v>
      </c>
      <c r="F18" s="664" t="e">
        <f>E18+'Feb ANX III'!F18</f>
        <v>#REF!</v>
      </c>
      <c r="G18" s="622">
        <v>1491.3</v>
      </c>
      <c r="H18" s="622">
        <v>680.3</v>
      </c>
      <c r="I18" s="531">
        <f t="shared" si="7"/>
        <v>2171.6</v>
      </c>
      <c r="J18" s="531">
        <f t="shared" si="0"/>
        <v>2229.71</v>
      </c>
      <c r="K18" s="531">
        <f t="shared" si="1"/>
        <v>18.427355371900827</v>
      </c>
      <c r="L18" s="666">
        <f t="shared" si="2"/>
        <v>96.783672502147581</v>
      </c>
      <c r="M18" s="666">
        <f t="shared" si="3"/>
        <v>96.697606564175473</v>
      </c>
      <c r="N18" s="666" t="e">
        <f>J18+'Feb ANX III'!N18</f>
        <v>#REF!</v>
      </c>
      <c r="O18" s="532" t="e">
        <f t="shared" si="4"/>
        <v>#REF!</v>
      </c>
      <c r="P18" s="666" t="e">
        <f t="shared" si="5"/>
        <v>#REF!</v>
      </c>
      <c r="Q18" s="666" t="e">
        <f t="shared" si="6"/>
        <v>#REF!</v>
      </c>
      <c r="R18" s="428" t="e">
        <f t="shared" si="8"/>
        <v>#REF!</v>
      </c>
      <c r="S18" s="428" t="e">
        <f t="shared" si="8"/>
        <v>#REF!</v>
      </c>
    </row>
    <row r="19" spans="1:20" s="565" customFormat="1" ht="25.5" customHeight="1">
      <c r="A19" s="565">
        <v>12</v>
      </c>
      <c r="B19" s="565" t="s">
        <v>50</v>
      </c>
      <c r="C19" s="697">
        <v>34</v>
      </c>
      <c r="D19" s="697">
        <v>34</v>
      </c>
      <c r="E19" s="700">
        <v>175.15</v>
      </c>
      <c r="F19" s="664" t="e">
        <f>E19+'Feb ANX III'!F19</f>
        <v>#REF!</v>
      </c>
      <c r="G19" s="650">
        <v>496.07</v>
      </c>
      <c r="H19" s="650">
        <v>493.32</v>
      </c>
      <c r="I19" s="655">
        <f t="shared" si="7"/>
        <v>989.39</v>
      </c>
      <c r="J19" s="655">
        <f t="shared" si="0"/>
        <v>1164.54</v>
      </c>
      <c r="K19" s="568">
        <f t="shared" si="1"/>
        <v>34.251176470588234</v>
      </c>
      <c r="L19" s="666">
        <f t="shared" si="2"/>
        <v>94.784998945814891</v>
      </c>
      <c r="M19" s="666">
        <f t="shared" si="3"/>
        <v>93.861796331435798</v>
      </c>
      <c r="N19" s="666" t="e">
        <f>J19+'Feb ANX III'!N19</f>
        <v>#REF!</v>
      </c>
      <c r="O19" s="568" t="e">
        <f t="shared" si="4"/>
        <v>#REF!</v>
      </c>
      <c r="P19" s="666" t="e">
        <f t="shared" si="5"/>
        <v>#REF!</v>
      </c>
      <c r="Q19" s="666" t="e">
        <f t="shared" si="6"/>
        <v>#REF!</v>
      </c>
      <c r="R19" s="570" t="e">
        <f t="shared" si="8"/>
        <v>#REF!</v>
      </c>
      <c r="S19" s="565" t="e">
        <f t="shared" si="8"/>
        <v>#REF!</v>
      </c>
    </row>
    <row r="20" spans="1:20" s="565" customFormat="1" ht="25.5" customHeight="1">
      <c r="A20" s="565">
        <v>13</v>
      </c>
      <c r="B20" s="565" t="s">
        <v>51</v>
      </c>
      <c r="C20" s="697">
        <v>31</v>
      </c>
      <c r="D20" s="697">
        <v>31</v>
      </c>
      <c r="E20" s="701">
        <v>237.54</v>
      </c>
      <c r="F20" s="664" t="e">
        <f>E20+'Feb ANX III'!F20</f>
        <v>#REF!</v>
      </c>
      <c r="G20" s="650">
        <v>604.4666666666667</v>
      </c>
      <c r="H20" s="650">
        <v>683.02</v>
      </c>
      <c r="I20" s="566">
        <f t="shared" si="7"/>
        <v>1287.4866666666667</v>
      </c>
      <c r="J20" s="566">
        <f t="shared" si="0"/>
        <v>1525.0266666666666</v>
      </c>
      <c r="K20" s="568">
        <f t="shared" si="1"/>
        <v>49.194408602150538</v>
      </c>
      <c r="L20" s="666">
        <f t="shared" si="2"/>
        <v>92.557020079392601</v>
      </c>
      <c r="M20" s="666">
        <f t="shared" si="3"/>
        <v>91.18379774155008</v>
      </c>
      <c r="N20" s="666" t="e">
        <f>J20+'Feb ANX III'!N20</f>
        <v>#REF!</v>
      </c>
      <c r="O20" s="568" t="e">
        <f t="shared" si="4"/>
        <v>#REF!</v>
      </c>
      <c r="P20" s="666" t="e">
        <f t="shared" si="5"/>
        <v>#REF!</v>
      </c>
      <c r="Q20" s="666" t="e">
        <f t="shared" si="6"/>
        <v>#REF!</v>
      </c>
      <c r="R20" s="570" t="e">
        <f t="shared" si="8"/>
        <v>#REF!</v>
      </c>
      <c r="S20" s="565" t="e">
        <f t="shared" si="8"/>
        <v>#REF!</v>
      </c>
    </row>
    <row r="21" spans="1:20" s="429" customFormat="1" ht="25.5" customHeight="1">
      <c r="A21" s="228">
        <v>12</v>
      </c>
      <c r="B21" s="505" t="s">
        <v>99</v>
      </c>
      <c r="C21" s="684">
        <v>65</v>
      </c>
      <c r="D21" s="684">
        <v>65</v>
      </c>
      <c r="E21" s="684">
        <v>412.29</v>
      </c>
      <c r="F21" s="664" t="e">
        <f>E21+'Feb ANX III'!F21</f>
        <v>#REF!</v>
      </c>
      <c r="G21" s="555">
        <v>1100.1333333333334</v>
      </c>
      <c r="H21" s="555">
        <v>1175.5333333333333</v>
      </c>
      <c r="I21" s="531">
        <f t="shared" si="7"/>
        <v>2275.666666666667</v>
      </c>
      <c r="J21" s="531">
        <f t="shared" si="0"/>
        <v>2687.9566666666669</v>
      </c>
      <c r="K21" s="531">
        <f t="shared" si="1"/>
        <v>41.353179487179489</v>
      </c>
      <c r="L21" s="666">
        <f t="shared" si="2"/>
        <v>93.725760499954049</v>
      </c>
      <c r="M21" s="666">
        <f t="shared" si="3"/>
        <v>92.589035934197227</v>
      </c>
      <c r="N21" s="666" t="e">
        <f>J21+'Feb ANX III'!N21</f>
        <v>#REF!</v>
      </c>
      <c r="O21" s="531" t="e">
        <f t="shared" si="4"/>
        <v>#REF!</v>
      </c>
      <c r="P21" s="666" t="e">
        <f t="shared" si="5"/>
        <v>#REF!</v>
      </c>
      <c r="Q21" s="666" t="e">
        <f t="shared" si="6"/>
        <v>#REF!</v>
      </c>
      <c r="R21" s="428"/>
      <c r="S21" s="428"/>
    </row>
    <row r="22" spans="1:20" s="573" customFormat="1" ht="25.5" customHeight="1">
      <c r="A22" s="571">
        <v>14</v>
      </c>
      <c r="B22" s="565" t="s">
        <v>52</v>
      </c>
      <c r="C22" s="697">
        <v>14</v>
      </c>
      <c r="D22" s="697">
        <v>14</v>
      </c>
      <c r="E22" s="700">
        <v>65.70999999999998</v>
      </c>
      <c r="F22" s="664" t="e">
        <f>E22+'Feb ANX III'!F22</f>
        <v>#REF!</v>
      </c>
      <c r="G22" s="628">
        <v>123.29</v>
      </c>
      <c r="H22" s="628">
        <v>108.31</v>
      </c>
      <c r="I22" s="566">
        <f t="shared" si="7"/>
        <v>231.60000000000002</v>
      </c>
      <c r="J22" s="566">
        <f t="shared" si="0"/>
        <v>297.31</v>
      </c>
      <c r="K22" s="568">
        <f t="shared" si="1"/>
        <v>21.236428571428572</v>
      </c>
      <c r="L22" s="666">
        <f t="shared" si="2"/>
        <v>97.035330261136707</v>
      </c>
      <c r="M22" s="666">
        <f t="shared" si="3"/>
        <v>96.194188428059391</v>
      </c>
      <c r="N22" s="666" t="e">
        <f>J22+'Feb ANX III'!N22</f>
        <v>#REF!</v>
      </c>
      <c r="O22" s="568" t="e">
        <f t="shared" si="4"/>
        <v>#REF!</v>
      </c>
      <c r="P22" s="666" t="e">
        <f t="shared" si="5"/>
        <v>#REF!</v>
      </c>
      <c r="Q22" s="666" t="e">
        <f t="shared" si="6"/>
        <v>#REF!</v>
      </c>
      <c r="R22" s="572" t="e">
        <f t="shared" si="8"/>
        <v>#REF!</v>
      </c>
      <c r="S22" s="572" t="e">
        <f t="shared" si="8"/>
        <v>#REF!</v>
      </c>
    </row>
    <row r="23" spans="1:20" s="573" customFormat="1" ht="30" customHeight="1">
      <c r="A23" s="571">
        <v>15</v>
      </c>
      <c r="B23" s="565" t="s">
        <v>53</v>
      </c>
      <c r="C23" s="697">
        <v>35</v>
      </c>
      <c r="D23" s="697">
        <v>35</v>
      </c>
      <c r="E23" s="700">
        <v>35.700000000000003</v>
      </c>
      <c r="F23" s="664" t="e">
        <f>E23+'Feb ANX III'!F23</f>
        <v>#REF!</v>
      </c>
      <c r="G23" s="628">
        <v>176.29999999999998</v>
      </c>
      <c r="H23" s="628">
        <v>545.1</v>
      </c>
      <c r="I23" s="566">
        <f t="shared" si="7"/>
        <v>721.4</v>
      </c>
      <c r="J23" s="566">
        <f t="shared" si="0"/>
        <v>757.1</v>
      </c>
      <c r="K23" s="568">
        <f t="shared" si="1"/>
        <v>21.631428571428572</v>
      </c>
      <c r="L23" s="666">
        <f t="shared" si="2"/>
        <v>96.306195596518165</v>
      </c>
      <c r="M23" s="666">
        <f t="shared" si="3"/>
        <v>96.123399897593458</v>
      </c>
      <c r="N23" s="666" t="e">
        <f>J23+'Feb ANX III'!N23</f>
        <v>#REF!</v>
      </c>
      <c r="O23" s="568" t="e">
        <f t="shared" si="4"/>
        <v>#REF!</v>
      </c>
      <c r="P23" s="666" t="e">
        <f t="shared" si="5"/>
        <v>#REF!</v>
      </c>
      <c r="Q23" s="666" t="e">
        <f t="shared" si="6"/>
        <v>#REF!</v>
      </c>
      <c r="R23" s="572" t="e">
        <f t="shared" si="8"/>
        <v>#REF!</v>
      </c>
      <c r="S23" s="572" t="e">
        <f t="shared" si="8"/>
        <v>#REF!</v>
      </c>
    </row>
    <row r="24" spans="1:20" s="573" customFormat="1" ht="25.5" customHeight="1">
      <c r="A24" s="571">
        <v>16</v>
      </c>
      <c r="B24" s="565" t="s">
        <v>54</v>
      </c>
      <c r="C24" s="697">
        <v>40</v>
      </c>
      <c r="D24" s="697">
        <v>40</v>
      </c>
      <c r="E24" s="700">
        <v>371.44</v>
      </c>
      <c r="F24" s="664" t="e">
        <f>E24+'Feb ANX III'!F24</f>
        <v>#REF!</v>
      </c>
      <c r="G24" s="628">
        <v>224.34</v>
      </c>
      <c r="H24" s="628">
        <v>177.35</v>
      </c>
      <c r="I24" s="566">
        <f t="shared" si="7"/>
        <v>401.69</v>
      </c>
      <c r="J24" s="566">
        <f t="shared" si="0"/>
        <v>773.13</v>
      </c>
      <c r="K24" s="568">
        <f t="shared" si="1"/>
        <v>19.328250000000001</v>
      </c>
      <c r="L24" s="666">
        <f t="shared" si="2"/>
        <v>98.200313620071682</v>
      </c>
      <c r="M24" s="666">
        <f t="shared" si="3"/>
        <v>96.53615591397849</v>
      </c>
      <c r="N24" s="666" t="e">
        <f>J24+'Feb ANX III'!N24</f>
        <v>#REF!</v>
      </c>
      <c r="O24" s="568" t="e">
        <f t="shared" si="4"/>
        <v>#REF!</v>
      </c>
      <c r="P24" s="666" t="e">
        <f t="shared" si="5"/>
        <v>#REF!</v>
      </c>
      <c r="Q24" s="666" t="e">
        <f t="shared" si="6"/>
        <v>#REF!</v>
      </c>
      <c r="R24" s="572" t="e">
        <f t="shared" si="8"/>
        <v>#REF!</v>
      </c>
      <c r="S24" s="572" t="e">
        <f t="shared" si="8"/>
        <v>#REF!</v>
      </c>
    </row>
    <row r="25" spans="1:20" s="429" customFormat="1" ht="25.5" customHeight="1">
      <c r="A25" s="228">
        <v>13</v>
      </c>
      <c r="B25" s="505" t="s">
        <v>52</v>
      </c>
      <c r="C25" s="684">
        <v>89</v>
      </c>
      <c r="D25" s="684">
        <v>89</v>
      </c>
      <c r="E25" s="704">
        <v>473.25</v>
      </c>
      <c r="F25" s="664" t="e">
        <f>E25+'Feb ANX III'!F25</f>
        <v>#REF!</v>
      </c>
      <c r="G25" s="612">
        <v>523.53</v>
      </c>
      <c r="H25" s="612">
        <v>830.36</v>
      </c>
      <c r="I25" s="531">
        <f>G25+H25</f>
        <v>1353.8899999999999</v>
      </c>
      <c r="J25" s="531">
        <f t="shared" si="0"/>
        <v>1827.1399999999999</v>
      </c>
      <c r="K25" s="531">
        <f t="shared" si="1"/>
        <v>20.529662921348311</v>
      </c>
      <c r="L25" s="666">
        <f t="shared" si="2"/>
        <v>97.273790825983653</v>
      </c>
      <c r="M25" s="666">
        <f t="shared" si="3"/>
        <v>96.320848938826472</v>
      </c>
      <c r="N25" s="666" t="e">
        <f>J25+'Feb ANX III'!N25</f>
        <v>#REF!</v>
      </c>
      <c r="O25" s="531" t="e">
        <f t="shared" si="4"/>
        <v>#REF!</v>
      </c>
      <c r="P25" s="666" t="e">
        <f t="shared" si="5"/>
        <v>#REF!</v>
      </c>
      <c r="Q25" s="666" t="e">
        <f t="shared" si="6"/>
        <v>#REF!</v>
      </c>
      <c r="R25" s="428"/>
      <c r="S25" s="428"/>
    </row>
    <row r="26" spans="1:20" s="429" customFormat="1" ht="25.5" customHeight="1">
      <c r="A26" s="228">
        <v>14</v>
      </c>
      <c r="B26" s="505" t="s">
        <v>94</v>
      </c>
      <c r="C26" s="684">
        <v>19</v>
      </c>
      <c r="D26" s="684">
        <v>19</v>
      </c>
      <c r="E26" s="683">
        <v>0.14000000000000001</v>
      </c>
      <c r="F26" s="664" t="e">
        <f>E26+'Feb ANX III'!F26</f>
        <v>#REF!</v>
      </c>
      <c r="G26" s="555">
        <v>6.1090277777777775</v>
      </c>
      <c r="H26" s="555">
        <v>3.2180555555555559</v>
      </c>
      <c r="I26" s="531">
        <f t="shared" si="7"/>
        <v>9.3270833333333343</v>
      </c>
      <c r="J26" s="531">
        <f t="shared" si="0"/>
        <v>9.4670833333333348</v>
      </c>
      <c r="K26" s="531">
        <f t="shared" si="1"/>
        <v>0.49826754385964922</v>
      </c>
      <c r="L26" s="666">
        <f t="shared" si="2"/>
        <v>99.912025246808781</v>
      </c>
      <c r="M26" s="666">
        <f t="shared" si="3"/>
        <v>99.910704741243791</v>
      </c>
      <c r="N26" s="666" t="e">
        <f>J26+'Feb ANX III'!N26</f>
        <v>#REF!</v>
      </c>
      <c r="O26" s="532" t="e">
        <f t="shared" si="4"/>
        <v>#REF!</v>
      </c>
      <c r="P26" s="666" t="e">
        <f t="shared" si="5"/>
        <v>#REF!</v>
      </c>
      <c r="Q26" s="666" t="e">
        <f t="shared" si="6"/>
        <v>#REF!</v>
      </c>
      <c r="R26" s="428" t="e">
        <f>L26-P26</f>
        <v>#REF!</v>
      </c>
      <c r="S26" s="428" t="e">
        <f>M26-Q26</f>
        <v>#REF!</v>
      </c>
    </row>
    <row r="27" spans="1:20" s="573" customFormat="1" ht="25.5" customHeight="1">
      <c r="A27" s="571">
        <v>18</v>
      </c>
      <c r="B27" s="565" t="s">
        <v>32</v>
      </c>
      <c r="C27" s="697">
        <v>34</v>
      </c>
      <c r="D27" s="697">
        <v>34</v>
      </c>
      <c r="E27" s="700">
        <v>1.74</v>
      </c>
      <c r="F27" s="664" t="e">
        <f>E27+'Feb ANX III'!F27</f>
        <v>#REF!</v>
      </c>
      <c r="G27" s="650">
        <v>33.299999999999997</v>
      </c>
      <c r="H27" s="650">
        <v>20.487500000000001</v>
      </c>
      <c r="I27" s="654">
        <f t="shared" si="7"/>
        <v>53.787499999999994</v>
      </c>
      <c r="J27" s="654">
        <f t="shared" si="0"/>
        <v>55.527499999999996</v>
      </c>
      <c r="K27" s="568">
        <f t="shared" si="1"/>
        <v>1.6331617647058823</v>
      </c>
      <c r="L27" s="666">
        <f t="shared" si="2"/>
        <v>99.716490090659931</v>
      </c>
      <c r="M27" s="666">
        <f t="shared" si="3"/>
        <v>99.707318680160242</v>
      </c>
      <c r="N27" s="666" t="e">
        <f>J27+'Feb ANX III'!N27</f>
        <v>#REF!</v>
      </c>
      <c r="O27" s="568" t="e">
        <f t="shared" si="4"/>
        <v>#REF!</v>
      </c>
      <c r="P27" s="666" t="e">
        <f t="shared" si="5"/>
        <v>#REF!</v>
      </c>
      <c r="Q27" s="666" t="e">
        <f t="shared" si="6"/>
        <v>#REF!</v>
      </c>
      <c r="R27" s="572" t="e">
        <f t="shared" si="8"/>
        <v>#REF!</v>
      </c>
      <c r="S27" s="572" t="e">
        <f t="shared" si="8"/>
        <v>#REF!</v>
      </c>
    </row>
    <row r="28" spans="1:20" s="573" customFormat="1" ht="25.5" customHeight="1">
      <c r="A28" s="571">
        <v>19</v>
      </c>
      <c r="B28" s="565" t="s">
        <v>55</v>
      </c>
      <c r="C28" s="697">
        <v>47</v>
      </c>
      <c r="D28" s="697">
        <v>47</v>
      </c>
      <c r="E28" s="697">
        <v>1.33</v>
      </c>
      <c r="F28" s="664" t="e">
        <f>E28+'Feb ANX III'!F28</f>
        <v>#REF!</v>
      </c>
      <c r="G28" s="650">
        <v>41</v>
      </c>
      <c r="H28" s="650">
        <v>39.136805555555554</v>
      </c>
      <c r="I28" s="654">
        <v>142.23638888888888</v>
      </c>
      <c r="J28" s="654">
        <f t="shared" si="0"/>
        <v>143.56638888888889</v>
      </c>
      <c r="K28" s="568">
        <f t="shared" si="1"/>
        <v>3.0546040189125296</v>
      </c>
      <c r="L28" s="666">
        <f t="shared" si="2"/>
        <v>99.457651228212882</v>
      </c>
      <c r="M28" s="666">
        <f t="shared" si="3"/>
        <v>99.45257992492607</v>
      </c>
      <c r="N28" s="666" t="e">
        <f>J28+'Feb ANX III'!N28</f>
        <v>#REF!</v>
      </c>
      <c r="O28" s="568" t="e">
        <f t="shared" si="4"/>
        <v>#REF!</v>
      </c>
      <c r="P28" s="666" t="e">
        <f t="shared" si="5"/>
        <v>#REF!</v>
      </c>
      <c r="Q28" s="666" t="e">
        <f t="shared" si="6"/>
        <v>#REF!</v>
      </c>
      <c r="R28" s="572" t="e">
        <f t="shared" si="8"/>
        <v>#REF!</v>
      </c>
      <c r="S28" s="572" t="e">
        <f t="shared" si="8"/>
        <v>#REF!</v>
      </c>
    </row>
    <row r="29" spans="1:20" s="429" customFormat="1" ht="25.5" customHeight="1">
      <c r="A29" s="228">
        <v>15</v>
      </c>
      <c r="B29" s="505" t="s">
        <v>32</v>
      </c>
      <c r="C29" s="684">
        <v>81</v>
      </c>
      <c r="D29" s="684">
        <v>81</v>
      </c>
      <c r="E29" s="684">
        <v>3.07</v>
      </c>
      <c r="F29" s="664" t="e">
        <f>E29+'Feb ANX III'!F29</f>
        <v>#REF!</v>
      </c>
      <c r="G29" s="555">
        <v>74.631249999999994</v>
      </c>
      <c r="H29" s="555">
        <v>59.624305555555551</v>
      </c>
      <c r="I29" s="531">
        <f t="shared" si="7"/>
        <v>134.25555555555553</v>
      </c>
      <c r="J29" s="531">
        <f t="shared" si="0"/>
        <v>137.32555555555552</v>
      </c>
      <c r="K29" s="531">
        <f t="shared" si="1"/>
        <v>1.6953772290809324</v>
      </c>
      <c r="L29" s="666">
        <f t="shared" si="2"/>
        <v>99.702961291305897</v>
      </c>
      <c r="M29" s="666">
        <f t="shared" si="3"/>
        <v>99.696168955361827</v>
      </c>
      <c r="N29" s="666" t="e">
        <f>J29+'Feb ANX III'!N29</f>
        <v>#REF!</v>
      </c>
      <c r="O29" s="531" t="e">
        <f t="shared" si="4"/>
        <v>#REF!</v>
      </c>
      <c r="P29" s="666" t="e">
        <f t="shared" si="5"/>
        <v>#REF!</v>
      </c>
      <c r="Q29" s="666" t="e">
        <f t="shared" si="6"/>
        <v>#REF!</v>
      </c>
      <c r="R29" s="428"/>
      <c r="S29" s="428"/>
    </row>
    <row r="30" spans="1:20" s="429" customFormat="1" ht="30.75" customHeight="1">
      <c r="A30" s="228">
        <v>16</v>
      </c>
      <c r="B30" s="505" t="s">
        <v>56</v>
      </c>
      <c r="C30" s="684">
        <v>64</v>
      </c>
      <c r="D30" s="684">
        <v>64</v>
      </c>
      <c r="E30" s="683">
        <v>6.58</v>
      </c>
      <c r="F30" s="664" t="e">
        <f>E30+'Feb ANX III'!F30</f>
        <v>#REF!</v>
      </c>
      <c r="G30" s="555">
        <v>63.5</v>
      </c>
      <c r="H30" s="555">
        <v>24.1</v>
      </c>
      <c r="I30" s="531">
        <f t="shared" si="7"/>
        <v>87.6</v>
      </c>
      <c r="J30" s="531">
        <f t="shared" si="0"/>
        <v>94.179999999999993</v>
      </c>
      <c r="K30" s="531">
        <f t="shared" si="1"/>
        <v>1.4715624999999999</v>
      </c>
      <c r="L30" s="666">
        <f t="shared" si="2"/>
        <v>99.754704301075265</v>
      </c>
      <c r="M30" s="666">
        <f t="shared" si="3"/>
        <v>99.736279121863802</v>
      </c>
      <c r="N30" s="666" t="e">
        <f>J30+'Feb ANX III'!N30</f>
        <v>#REF!</v>
      </c>
      <c r="O30" s="531" t="e">
        <f t="shared" si="4"/>
        <v>#REF!</v>
      </c>
      <c r="P30" s="666" t="e">
        <f t="shared" si="5"/>
        <v>#REF!</v>
      </c>
      <c r="Q30" s="666" t="e">
        <f t="shared" si="6"/>
        <v>#REF!</v>
      </c>
      <c r="R30" s="428" t="e">
        <f t="shared" si="8"/>
        <v>#REF!</v>
      </c>
      <c r="S30" s="428" t="e">
        <f t="shared" si="8"/>
        <v>#REF!</v>
      </c>
    </row>
    <row r="31" spans="1:20" s="429" customFormat="1" ht="80.25" customHeight="1">
      <c r="A31" s="959" t="s">
        <v>175</v>
      </c>
      <c r="B31" s="959"/>
      <c r="C31" s="959"/>
      <c r="D31" s="959"/>
      <c r="E31" s="959"/>
      <c r="F31" s="959"/>
      <c r="G31" s="959"/>
      <c r="H31" s="959"/>
      <c r="I31" s="959"/>
      <c r="J31" s="959"/>
      <c r="K31" s="959"/>
      <c r="L31" s="959"/>
      <c r="M31" s="959"/>
      <c r="N31" s="959"/>
      <c r="O31" s="959"/>
      <c r="P31" s="959"/>
      <c r="Q31" s="959"/>
      <c r="R31" s="959"/>
      <c r="S31" s="959"/>
    </row>
    <row r="32" spans="1:20" s="429" customFormat="1" ht="67.5" customHeight="1">
      <c r="A32" s="634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29"/>
      <c r="P32" s="629"/>
      <c r="Q32" s="629"/>
      <c r="R32" s="634"/>
      <c r="S32" s="634"/>
    </row>
    <row r="33" spans="1:19" s="429" customFormat="1" ht="74.25" customHeight="1">
      <c r="A33" s="426"/>
      <c r="B33" s="949" t="s">
        <v>147</v>
      </c>
      <c r="C33" s="949"/>
      <c r="D33" s="949"/>
      <c r="E33" s="949"/>
      <c r="F33" s="949"/>
      <c r="G33" s="949"/>
      <c r="H33" s="949"/>
      <c r="I33" s="949"/>
      <c r="J33" s="949"/>
      <c r="K33" s="949"/>
      <c r="L33" s="949"/>
      <c r="M33" s="949"/>
      <c r="N33" s="949"/>
      <c r="O33" s="949"/>
      <c r="P33" s="949"/>
      <c r="Q33" s="950"/>
      <c r="R33" s="428"/>
      <c r="S33" s="428"/>
    </row>
    <row r="34" spans="1:19" s="429" customFormat="1" ht="21.75" customHeight="1" thickBot="1">
      <c r="A34" s="426"/>
      <c r="B34" s="430" t="s">
        <v>66</v>
      </c>
      <c r="C34" s="430"/>
      <c r="D34" s="430"/>
      <c r="E34" s="430"/>
      <c r="F34" s="430"/>
      <c r="G34" s="433"/>
      <c r="H34" s="433"/>
      <c r="I34" s="430"/>
      <c r="J34" s="430"/>
      <c r="K34" s="430"/>
      <c r="L34" s="431"/>
      <c r="M34" s="431"/>
      <c r="N34" s="431"/>
      <c r="O34" s="427"/>
      <c r="P34" s="431"/>
      <c r="Q34" s="432"/>
      <c r="R34" s="428"/>
      <c r="S34" s="428"/>
    </row>
    <row r="35" spans="1:19" ht="45.75" customHeight="1">
      <c r="A35" s="933" t="s">
        <v>33</v>
      </c>
      <c r="B35" s="934"/>
      <c r="C35" s="934"/>
      <c r="D35" s="934"/>
      <c r="E35" s="934"/>
      <c r="F35" s="934"/>
      <c r="G35" s="934"/>
      <c r="H35" s="934"/>
      <c r="I35" s="934"/>
      <c r="J35" s="934"/>
      <c r="K35" s="934"/>
      <c r="L35" s="934"/>
      <c r="M35" s="934"/>
      <c r="N35" s="934"/>
      <c r="O35" s="934"/>
      <c r="P35" s="934"/>
      <c r="Q35" s="935"/>
      <c r="R35" s="506">
        <f t="shared" si="8"/>
        <v>0</v>
      </c>
    </row>
    <row r="36" spans="1:19" ht="33" customHeight="1" thickBot="1">
      <c r="A36" s="936"/>
      <c r="B36" s="937"/>
      <c r="C36" s="937"/>
      <c r="D36" s="937"/>
      <c r="E36" s="937"/>
      <c r="F36" s="937"/>
      <c r="G36" s="937"/>
      <c r="H36" s="937"/>
      <c r="I36" s="937"/>
      <c r="J36" s="937"/>
      <c r="K36" s="937"/>
      <c r="L36" s="937"/>
      <c r="M36" s="937"/>
      <c r="N36" s="937"/>
      <c r="O36" s="937"/>
      <c r="P36" s="937"/>
      <c r="Q36" s="938"/>
      <c r="R36" s="506">
        <f t="shared" si="8"/>
        <v>0</v>
      </c>
    </row>
    <row r="37" spans="1:19" ht="28.5" customHeight="1">
      <c r="A37" s="940" t="s">
        <v>34</v>
      </c>
      <c r="B37" s="941"/>
      <c r="C37" s="941"/>
      <c r="D37" s="941"/>
      <c r="E37" s="941"/>
      <c r="F37" s="941"/>
      <c r="G37" s="941"/>
      <c r="H37" s="941"/>
      <c r="I37" s="941"/>
      <c r="J37" s="941"/>
      <c r="K37" s="941"/>
      <c r="L37" s="941"/>
      <c r="M37" s="941"/>
      <c r="N37" s="941"/>
      <c r="O37" s="941"/>
      <c r="P37" s="941"/>
      <c r="Q37" s="942"/>
      <c r="R37" s="506">
        <f t="shared" si="8"/>
        <v>0</v>
      </c>
    </row>
    <row r="38" spans="1:19" ht="17.25" customHeight="1">
      <c r="A38" s="943"/>
      <c r="B38" s="944"/>
      <c r="C38" s="944"/>
      <c r="D38" s="944"/>
      <c r="E38" s="944"/>
      <c r="F38" s="944"/>
      <c r="G38" s="944"/>
      <c r="H38" s="944"/>
      <c r="I38" s="944"/>
      <c r="J38" s="944"/>
      <c r="K38" s="944"/>
      <c r="L38" s="944"/>
      <c r="M38" s="944"/>
      <c r="N38" s="944"/>
      <c r="O38" s="944"/>
      <c r="P38" s="944"/>
      <c r="Q38" s="945"/>
      <c r="R38" s="506">
        <f t="shared" si="8"/>
        <v>0</v>
      </c>
    </row>
    <row r="39" spans="1:19" ht="13.5" customHeight="1" thickBot="1">
      <c r="A39" s="946"/>
      <c r="B39" s="947"/>
      <c r="C39" s="947"/>
      <c r="D39" s="947"/>
      <c r="E39" s="947"/>
      <c r="F39" s="947"/>
      <c r="G39" s="947"/>
      <c r="H39" s="947"/>
      <c r="I39" s="947"/>
      <c r="J39" s="947"/>
      <c r="K39" s="947"/>
      <c r="L39" s="947"/>
      <c r="M39" s="947"/>
      <c r="N39" s="947"/>
      <c r="O39" s="947"/>
      <c r="P39" s="947"/>
      <c r="Q39" s="948"/>
      <c r="R39" s="506">
        <f t="shared" si="8"/>
        <v>0</v>
      </c>
    </row>
    <row r="40" spans="1:19" ht="30.75" customHeight="1">
      <c r="A40" s="933" t="s">
        <v>35</v>
      </c>
      <c r="B40" s="934"/>
      <c r="C40" s="934"/>
      <c r="D40" s="934"/>
      <c r="E40" s="934"/>
      <c r="F40" s="934"/>
      <c r="G40" s="934"/>
      <c r="H40" s="934"/>
      <c r="I40" s="934"/>
      <c r="J40" s="934"/>
      <c r="K40" s="934"/>
      <c r="L40" s="934"/>
      <c r="M40" s="934"/>
      <c r="N40" s="934"/>
      <c r="O40" s="934"/>
      <c r="P40" s="934"/>
      <c r="Q40" s="935"/>
      <c r="R40" s="506">
        <f t="shared" si="8"/>
        <v>0</v>
      </c>
    </row>
    <row r="41" spans="1:19" ht="20.25" customHeight="1" thickBot="1">
      <c r="A41" s="936"/>
      <c r="B41" s="937"/>
      <c r="C41" s="937"/>
      <c r="D41" s="937"/>
      <c r="E41" s="937"/>
      <c r="F41" s="937"/>
      <c r="G41" s="937"/>
      <c r="H41" s="937"/>
      <c r="I41" s="937"/>
      <c r="J41" s="937"/>
      <c r="K41" s="937"/>
      <c r="L41" s="937"/>
      <c r="M41" s="937"/>
      <c r="N41" s="937"/>
      <c r="O41" s="937"/>
      <c r="P41" s="937"/>
      <c r="Q41" s="938"/>
      <c r="R41" s="506">
        <f t="shared" si="8"/>
        <v>0</v>
      </c>
    </row>
    <row r="42" spans="1:19" ht="18.75" customHeight="1">
      <c r="A42" s="933" t="s">
        <v>36</v>
      </c>
      <c r="B42" s="934"/>
      <c r="C42" s="934"/>
      <c r="D42" s="934"/>
      <c r="E42" s="934"/>
      <c r="F42" s="934"/>
      <c r="G42" s="934"/>
      <c r="H42" s="934"/>
      <c r="I42" s="934"/>
      <c r="J42" s="934"/>
      <c r="K42" s="934"/>
      <c r="L42" s="934"/>
      <c r="M42" s="934"/>
      <c r="N42" s="934"/>
      <c r="O42" s="934"/>
      <c r="P42" s="934"/>
      <c r="Q42" s="935"/>
      <c r="R42" s="506">
        <f t="shared" si="8"/>
        <v>0</v>
      </c>
    </row>
    <row r="43" spans="1:19" ht="29.25" customHeight="1" thickBot="1">
      <c r="A43" s="936"/>
      <c r="B43" s="937"/>
      <c r="C43" s="937"/>
      <c r="D43" s="937"/>
      <c r="E43" s="937"/>
      <c r="F43" s="937"/>
      <c r="G43" s="937"/>
      <c r="H43" s="937"/>
      <c r="I43" s="937"/>
      <c r="J43" s="937"/>
      <c r="K43" s="937"/>
      <c r="L43" s="937"/>
      <c r="M43" s="937"/>
      <c r="N43" s="937"/>
      <c r="O43" s="937"/>
      <c r="P43" s="937"/>
      <c r="Q43" s="938"/>
      <c r="R43" s="506">
        <f t="shared" si="8"/>
        <v>0</v>
      </c>
    </row>
    <row r="44" spans="1:19">
      <c r="R44" s="506">
        <f t="shared" si="8"/>
        <v>0</v>
      </c>
    </row>
    <row r="45" spans="1:19">
      <c r="R45" s="506">
        <f t="shared" si="8"/>
        <v>0</v>
      </c>
    </row>
    <row r="46" spans="1:19">
      <c r="D46" s="501">
        <v>123.89999999999999</v>
      </c>
      <c r="F46" s="501">
        <v>41.65902777777778</v>
      </c>
      <c r="G46" s="507">
        <v>85.796527777777783</v>
      </c>
      <c r="R46" s="506">
        <f t="shared" si="8"/>
        <v>0</v>
      </c>
    </row>
    <row r="47" spans="1:19" ht="15" customHeight="1">
      <c r="D47" s="501">
        <v>8.75</v>
      </c>
      <c r="F47" s="501">
        <v>75.739999999999995</v>
      </c>
      <c r="G47" s="507">
        <v>23.58</v>
      </c>
      <c r="I47" s="501">
        <v>114.35000000000001</v>
      </c>
      <c r="J47" s="501">
        <v>410.2299999999999</v>
      </c>
      <c r="P47" s="506"/>
      <c r="Q47" s="506"/>
      <c r="R47" s="506">
        <f t="shared" si="8"/>
        <v>0</v>
      </c>
    </row>
    <row r="48" spans="1:19" ht="15" customHeight="1">
      <c r="P48" s="506">
        <f>98.57</f>
        <v>98.57</v>
      </c>
      <c r="Q48" s="506">
        <f>97.92</f>
        <v>97.92</v>
      </c>
      <c r="R48" s="506">
        <f t="shared" si="8"/>
        <v>-98.57</v>
      </c>
    </row>
    <row r="49" spans="1:18" ht="15" customHeight="1">
      <c r="H49" s="507">
        <v>3.42</v>
      </c>
      <c r="R49" s="506">
        <f t="shared" si="8"/>
        <v>0</v>
      </c>
    </row>
    <row r="50" spans="1:18" ht="15" customHeight="1">
      <c r="C50" s="508"/>
      <c r="H50" s="507">
        <v>0.47</v>
      </c>
      <c r="R50" s="506">
        <f t="shared" si="8"/>
        <v>0</v>
      </c>
    </row>
    <row r="51" spans="1:18" s="480" customFormat="1" ht="12.75">
      <c r="A51" s="477"/>
      <c r="B51" s="478" t="s">
        <v>166</v>
      </c>
      <c r="C51" s="479"/>
      <c r="D51" s="479"/>
      <c r="E51" s="479"/>
      <c r="F51" s="479"/>
      <c r="G51" s="479"/>
      <c r="H51" s="479"/>
      <c r="I51" s="479"/>
      <c r="J51" s="479"/>
    </row>
    <row r="52" spans="1:18" ht="15" customHeight="1">
      <c r="K52" s="501">
        <f>85+86+94</f>
        <v>265</v>
      </c>
      <c r="R52" s="506">
        <f t="shared" si="8"/>
        <v>0</v>
      </c>
    </row>
    <row r="53" spans="1:18" ht="15" customHeight="1">
      <c r="K53" s="501">
        <f>K52/3</f>
        <v>88.333333333333329</v>
      </c>
      <c r="R53" s="506">
        <f t="shared" si="8"/>
        <v>0</v>
      </c>
    </row>
    <row r="54" spans="1:18" ht="15" customHeight="1">
      <c r="R54" s="506">
        <f t="shared" si="8"/>
        <v>0</v>
      </c>
    </row>
    <row r="55" spans="1:18" ht="11.25" customHeight="1">
      <c r="R55" s="506">
        <f t="shared" si="8"/>
        <v>0</v>
      </c>
    </row>
    <row r="56" spans="1:18" ht="11.25" customHeight="1">
      <c r="R56" s="506">
        <f t="shared" si="8"/>
        <v>0</v>
      </c>
    </row>
    <row r="57" spans="1:18" ht="11.25" customHeight="1">
      <c r="R57" s="506">
        <f t="shared" si="8"/>
        <v>0</v>
      </c>
    </row>
    <row r="58" spans="1:18" ht="11.25" customHeight="1">
      <c r="R58" s="506">
        <f t="shared" si="8"/>
        <v>0</v>
      </c>
    </row>
    <row r="59" spans="1:18" ht="11.25" customHeight="1"/>
    <row r="60" spans="1:18" ht="11.25" customHeight="1">
      <c r="C60" s="508" t="e">
        <f>C8:C30</f>
        <v>#VALUE!</v>
      </c>
      <c r="L60" s="506">
        <f>L8+L9+L10+L11+L12+L13+L14+L15+L16+L17+L18+L26+L19+L20+L22+L23+L24+L27+L28+L30</f>
        <v>1931.4336136122745</v>
      </c>
      <c r="M60" s="506">
        <f>M8+M9+M10+M11+M12+M13+M14+M15+M16+M17+M18+M26+M19+M20+M22+M23+M24+M27+M28+M30</f>
        <v>1923.9931652003304</v>
      </c>
    </row>
    <row r="61" spans="1:18" ht="11.25" customHeight="1">
      <c r="C61" s="508">
        <f>C8+C9+C10+C11+C12+C13+C14+C15+C16+C17+C18+C19+C20+C22+C23+C24+C26+C27+C28+C30</f>
        <v>2578</v>
      </c>
      <c r="L61" s="501">
        <f>L60/20</f>
        <v>96.571680680613724</v>
      </c>
      <c r="M61" s="501">
        <f>M60/20</f>
        <v>96.19965826001652</v>
      </c>
    </row>
    <row r="62" spans="1:18">
      <c r="F62" s="501">
        <f>1013.5+118.24</f>
        <v>1131.74</v>
      </c>
      <c r="P62" s="506" t="e">
        <f>P8+P9+P10+P11+P12+P13+P14+P15+P16+P17+P18+P26+P19+P20+P22+P23+P24+P27+P28+P30</f>
        <v>#REF!</v>
      </c>
      <c r="Q62" s="506" t="e">
        <f>Q8+Q9+Q10+Q11+Q12+Q13+Q14+Q15+Q16+Q17+Q18+Q26+Q19+Q20+Q22+Q23+Q24+Q27+Q28+Q30</f>
        <v>#REF!</v>
      </c>
    </row>
    <row r="63" spans="1:18">
      <c r="C63" s="508">
        <f>C30+C29+C26+C25+C21+C18+C17+C16+C15+C14+C13+C12+C11+C10+C9+C8</f>
        <v>2578</v>
      </c>
    </row>
    <row r="64" spans="1:18">
      <c r="C64" s="501">
        <v>1420</v>
      </c>
      <c r="K64" s="506">
        <f>3258+J21</f>
        <v>5945.9566666666669</v>
      </c>
      <c r="P64" s="501" t="e">
        <f>P62/20</f>
        <v>#REF!</v>
      </c>
      <c r="Q64" s="501" t="e">
        <f>Q62/20</f>
        <v>#REF!</v>
      </c>
    </row>
    <row r="65" spans="1:16">
      <c r="C65" s="501">
        <v>529</v>
      </c>
    </row>
    <row r="66" spans="1:16">
      <c r="C66" s="508">
        <f>SUM(C63:C65)</f>
        <v>4527</v>
      </c>
    </row>
    <row r="67" spans="1:16">
      <c r="G67" s="507">
        <f>71.34+67.53</f>
        <v>138.87</v>
      </c>
    </row>
    <row r="73" spans="1:16" s="632" customFormat="1" ht="39.75" customHeight="1">
      <c r="A73" s="958" t="s">
        <v>165</v>
      </c>
      <c r="B73" s="958"/>
      <c r="C73" s="958"/>
      <c r="D73" s="958"/>
      <c r="E73" s="958"/>
      <c r="F73" s="958"/>
      <c r="G73" s="958"/>
      <c r="H73" s="958"/>
      <c r="I73" s="958"/>
      <c r="P73" s="633"/>
    </row>
  </sheetData>
  <mergeCells count="20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A37:Q39"/>
    <mergeCell ref="A40:Q41"/>
    <mergeCell ref="A42:Q43"/>
    <mergeCell ref="A73:I73"/>
    <mergeCell ref="G5:I5"/>
    <mergeCell ref="J5:M5"/>
    <mergeCell ref="N5:Q5"/>
    <mergeCell ref="A31:S31"/>
    <mergeCell ref="B33:Q33"/>
    <mergeCell ref="A35:Q36"/>
  </mergeCells>
  <printOptions horizontalCentered="1"/>
  <pageMargins left="0" right="0" top="0.5" bottom="0" header="0.19" footer="0.5"/>
  <pageSetup paperSize="9" scale="59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view="pageBreakPreview" zoomScale="70" zoomScaleSheetLayoutView="70" workbookViewId="0">
      <selection activeCell="H59" sqref="H59"/>
    </sheetView>
  </sheetViews>
  <sheetFormatPr defaultRowHeight="12.75"/>
  <cols>
    <col min="1" max="1" width="8.28515625" style="2" customWidth="1"/>
    <col min="2" max="2" width="19.140625" style="2" customWidth="1"/>
    <col min="3" max="3" width="9.5703125" style="808" customWidth="1"/>
    <col min="4" max="4" width="9.42578125" style="808" customWidth="1"/>
    <col min="5" max="5" width="16.140625" style="808" customWidth="1"/>
    <col min="6" max="6" width="15.7109375" style="808" customWidth="1"/>
    <col min="7" max="7" width="17.42578125" style="808" customWidth="1"/>
    <col min="8" max="8" width="16.42578125" style="808" customWidth="1"/>
    <col min="9" max="9" width="18.5703125" style="2" customWidth="1"/>
    <col min="10" max="10" width="14.7109375" style="2" customWidth="1"/>
    <col min="11" max="11" width="12.140625" style="2" customWidth="1"/>
    <col min="12" max="12" width="11.8554687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0" style="2" hidden="1" customWidth="1"/>
    <col min="22" max="22" width="12.28515625" style="2" hidden="1" customWidth="1"/>
    <col min="23" max="24" width="0" style="2" hidden="1" customWidth="1"/>
    <col min="25" max="25" width="14.42578125" style="2" customWidth="1"/>
    <col min="26" max="26" width="11.28515625" style="2" customWidth="1"/>
    <col min="27" max="28" width="11.85546875" style="2" customWidth="1"/>
    <col min="29" max="16384" width="9.140625" style="2"/>
  </cols>
  <sheetData>
    <row r="1" spans="1:28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v>30</v>
      </c>
      <c r="Y1" s="27"/>
      <c r="Z1" s="27"/>
    </row>
    <row r="2" spans="1:28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v>31</v>
      </c>
      <c r="Y2" s="28"/>
      <c r="Z2" s="28"/>
    </row>
    <row r="3" spans="1:28" ht="18" customHeight="1">
      <c r="A3" s="826" t="s">
        <v>196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v>30</v>
      </c>
      <c r="Y3" s="28"/>
      <c r="Z3" s="28"/>
    </row>
    <row r="4" spans="1:28" ht="15" customHeight="1">
      <c r="A4" s="76"/>
      <c r="B4" s="76"/>
      <c r="C4" s="444"/>
      <c r="D4" s="444"/>
      <c r="E4" s="444"/>
      <c r="F4" s="444"/>
      <c r="G4" s="444"/>
      <c r="H4" s="444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v>31</v>
      </c>
      <c r="Y4" s="28"/>
      <c r="Z4" s="28"/>
    </row>
    <row r="5" spans="1:28" s="5" customFormat="1" ht="28.5" customHeight="1">
      <c r="A5" s="821" t="s">
        <v>2</v>
      </c>
      <c r="B5" s="821" t="s">
        <v>3</v>
      </c>
      <c r="C5" s="904" t="s">
        <v>4</v>
      </c>
      <c r="D5" s="904" t="s">
        <v>5</v>
      </c>
      <c r="E5" s="904" t="s">
        <v>6</v>
      </c>
      <c r="F5" s="904" t="s">
        <v>7</v>
      </c>
      <c r="G5" s="905" t="s">
        <v>8</v>
      </c>
      <c r="H5" s="906"/>
      <c r="I5" s="906"/>
      <c r="J5" s="823" t="s">
        <v>195</v>
      </c>
      <c r="K5" s="823"/>
      <c r="L5" s="823"/>
      <c r="M5" s="823"/>
      <c r="N5" s="823" t="s">
        <v>176</v>
      </c>
      <c r="O5" s="823"/>
      <c r="P5" s="823"/>
      <c r="Q5" s="823"/>
      <c r="V5" s="35">
        <v>42583</v>
      </c>
      <c r="W5" s="36">
        <v>31</v>
      </c>
      <c r="X5" s="763">
        <v>31</v>
      </c>
      <c r="Y5" s="970" t="s">
        <v>197</v>
      </c>
      <c r="Z5" s="971"/>
      <c r="AA5" s="971"/>
      <c r="AB5" s="972"/>
    </row>
    <row r="6" spans="1:28" s="3" customFormat="1" ht="114" customHeight="1">
      <c r="A6" s="821"/>
      <c r="B6" s="821"/>
      <c r="C6" s="904"/>
      <c r="D6" s="904"/>
      <c r="E6" s="904"/>
      <c r="F6" s="904"/>
      <c r="G6" s="804" t="s">
        <v>9</v>
      </c>
      <c r="H6" s="804" t="s">
        <v>10</v>
      </c>
      <c r="I6" s="804" t="s">
        <v>11</v>
      </c>
      <c r="J6" s="802" t="s">
        <v>187</v>
      </c>
      <c r="K6" s="802" t="s">
        <v>13</v>
      </c>
      <c r="L6" s="802" t="s">
        <v>78</v>
      </c>
      <c r="M6" s="802" t="s">
        <v>14</v>
      </c>
      <c r="N6" s="802" t="s">
        <v>15</v>
      </c>
      <c r="O6" s="802" t="s">
        <v>16</v>
      </c>
      <c r="P6" s="802" t="s">
        <v>180</v>
      </c>
      <c r="Q6" s="802" t="s">
        <v>181</v>
      </c>
      <c r="V6" s="35">
        <v>42614</v>
      </c>
      <c r="W6" s="36">
        <v>30</v>
      </c>
      <c r="X6" s="763">
        <v>30</v>
      </c>
      <c r="Y6" s="802" t="s">
        <v>189</v>
      </c>
      <c r="Z6" s="802" t="s">
        <v>12</v>
      </c>
      <c r="AA6" s="802" t="s">
        <v>183</v>
      </c>
      <c r="AB6" s="802" t="s">
        <v>186</v>
      </c>
    </row>
    <row r="7" spans="1:28" s="1" customFormat="1" ht="24" customHeight="1">
      <c r="A7" s="91">
        <v>1</v>
      </c>
      <c r="B7" s="91">
        <v>2</v>
      </c>
      <c r="C7" s="734">
        <v>3</v>
      </c>
      <c r="D7" s="734">
        <v>4</v>
      </c>
      <c r="E7" s="734">
        <v>5</v>
      </c>
      <c r="F7" s="734" t="s">
        <v>19</v>
      </c>
      <c r="G7" s="734">
        <v>6</v>
      </c>
      <c r="H7" s="734">
        <v>7</v>
      </c>
      <c r="I7" s="734" t="s">
        <v>20</v>
      </c>
      <c r="J7" s="91" t="s">
        <v>21</v>
      </c>
      <c r="K7" s="92" t="s">
        <v>22</v>
      </c>
      <c r="L7" s="91" t="s">
        <v>23</v>
      </c>
      <c r="M7" s="91" t="s">
        <v>24</v>
      </c>
      <c r="N7" s="91">
        <v>13</v>
      </c>
      <c r="O7" s="91" t="s">
        <v>25</v>
      </c>
      <c r="P7" s="91">
        <v>15</v>
      </c>
      <c r="Q7" s="91">
        <v>16</v>
      </c>
      <c r="V7" s="38">
        <v>42644</v>
      </c>
      <c r="W7" s="37">
        <v>31</v>
      </c>
      <c r="X7" s="764">
        <v>31</v>
      </c>
      <c r="Y7" s="91">
        <v>17</v>
      </c>
      <c r="Z7" s="91">
        <v>18</v>
      </c>
      <c r="AA7" s="91" t="s">
        <v>184</v>
      </c>
      <c r="AB7" s="91" t="s">
        <v>185</v>
      </c>
    </row>
    <row r="8" spans="1:28" s="10" customFormat="1" ht="42" customHeight="1">
      <c r="A8" s="78">
        <v>1</v>
      </c>
      <c r="B8" s="73" t="s">
        <v>26</v>
      </c>
      <c r="C8" s="735">
        <v>35</v>
      </c>
      <c r="D8" s="735">
        <v>32</v>
      </c>
      <c r="E8" s="733">
        <v>0.49583333333333335</v>
      </c>
      <c r="F8" s="733">
        <v>0.82833333333333337</v>
      </c>
      <c r="G8" s="733">
        <v>7.8583333333333316</v>
      </c>
      <c r="H8" s="733">
        <v>1.66625</v>
      </c>
      <c r="I8" s="733">
        <v>9.5245833333333323</v>
      </c>
      <c r="J8" s="733">
        <v>10.020416666666666</v>
      </c>
      <c r="K8" s="733">
        <v>0.28629761904761902</v>
      </c>
      <c r="L8" s="743">
        <v>99.9634232590886</v>
      </c>
      <c r="M8" s="743">
        <v>99.961519137224784</v>
      </c>
      <c r="N8" s="733">
        <v>141.36791666666667</v>
      </c>
      <c r="O8" s="733">
        <v>4.0390833333333331</v>
      </c>
      <c r="P8" s="743">
        <v>99.93901641414142</v>
      </c>
      <c r="Q8" s="743">
        <v>99.938801767676765</v>
      </c>
      <c r="R8" s="8"/>
      <c r="S8" s="43">
        <v>2.4406844947179707E-2</v>
      </c>
      <c r="T8" s="43">
        <v>2.2717369548018951E-2</v>
      </c>
      <c r="V8" s="39">
        <v>42675</v>
      </c>
      <c r="W8" s="40">
        <v>30</v>
      </c>
      <c r="X8" s="765">
        <v>30</v>
      </c>
      <c r="Y8" s="774">
        <v>513</v>
      </c>
      <c r="Z8" s="774">
        <v>240.48999999999998</v>
      </c>
      <c r="AA8" s="743">
        <v>14.657142857142857</v>
      </c>
      <c r="AB8" s="743">
        <v>6.871142857142857</v>
      </c>
    </row>
    <row r="9" spans="1:28" s="10" customFormat="1" ht="42" customHeight="1">
      <c r="A9" s="78">
        <v>2</v>
      </c>
      <c r="B9" s="73" t="s">
        <v>27</v>
      </c>
      <c r="C9" s="735">
        <v>11</v>
      </c>
      <c r="D9" s="735">
        <v>11</v>
      </c>
      <c r="E9" s="733">
        <v>0.28472222222222221</v>
      </c>
      <c r="F9" s="733">
        <v>2.4986111111111113</v>
      </c>
      <c r="G9" s="733">
        <v>9.0743055555555561</v>
      </c>
      <c r="H9" s="733">
        <v>5.8159722222222223</v>
      </c>
      <c r="I9" s="733">
        <v>14.890277777777779</v>
      </c>
      <c r="J9" s="733">
        <v>15.175000000000001</v>
      </c>
      <c r="K9" s="733">
        <v>1.3795454545454546</v>
      </c>
      <c r="L9" s="743">
        <v>99.818056234386887</v>
      </c>
      <c r="M9" s="743">
        <v>99.814577223851416</v>
      </c>
      <c r="N9" s="733">
        <v>133.47083333333333</v>
      </c>
      <c r="O9" s="733">
        <v>12.13371212121212</v>
      </c>
      <c r="P9" s="743">
        <v>99.816548056320784</v>
      </c>
      <c r="Q9" s="743">
        <v>99.816155876951328</v>
      </c>
      <c r="R9" s="8"/>
      <c r="S9" s="43">
        <v>1.5081780661034827E-3</v>
      </c>
      <c r="T9" s="43">
        <v>-1.5786530999122306E-3</v>
      </c>
      <c r="V9" s="39">
        <v>42705</v>
      </c>
      <c r="W9" s="40">
        <v>31</v>
      </c>
      <c r="X9" s="765">
        <v>31</v>
      </c>
      <c r="Y9" s="774">
        <v>562</v>
      </c>
      <c r="Z9" s="774">
        <v>364.20000000000005</v>
      </c>
      <c r="AA9" s="743">
        <v>51.090909090909093</v>
      </c>
      <c r="AB9" s="743">
        <v>33.109090909090916</v>
      </c>
    </row>
    <row r="10" spans="1:28" s="11" customFormat="1" ht="42" customHeight="1">
      <c r="A10" s="78">
        <v>3</v>
      </c>
      <c r="B10" s="73" t="s">
        <v>28</v>
      </c>
      <c r="C10" s="735">
        <v>30</v>
      </c>
      <c r="D10" s="735">
        <v>30</v>
      </c>
      <c r="E10" s="713">
        <v>0.33333333333333331</v>
      </c>
      <c r="F10" s="733">
        <v>5.4649999999999999</v>
      </c>
      <c r="G10" s="733">
        <v>7.25875</v>
      </c>
      <c r="H10" s="733">
        <v>6.0129166666666665</v>
      </c>
      <c r="I10" s="733">
        <v>13.271666666666667</v>
      </c>
      <c r="J10" s="733">
        <v>13.605</v>
      </c>
      <c r="K10" s="733">
        <v>0.45350000000000001</v>
      </c>
      <c r="L10" s="743">
        <v>99.940539127837496</v>
      </c>
      <c r="M10" s="743">
        <v>99.93904569892473</v>
      </c>
      <c r="N10" s="733">
        <v>148.07249999999999</v>
      </c>
      <c r="O10" s="733">
        <v>4.9357499999999996</v>
      </c>
      <c r="P10" s="743">
        <v>99.925384259259246</v>
      </c>
      <c r="Q10" s="743">
        <v>99.925215909090909</v>
      </c>
      <c r="R10" s="9"/>
      <c r="S10" s="43">
        <v>1.5154868578250102E-2</v>
      </c>
      <c r="T10" s="43">
        <v>1.3829789833820882E-2</v>
      </c>
      <c r="V10" s="38">
        <v>42370</v>
      </c>
      <c r="W10" s="37">
        <v>31</v>
      </c>
      <c r="X10" s="764">
        <v>31</v>
      </c>
      <c r="Y10" s="774">
        <v>609</v>
      </c>
      <c r="Z10" s="774">
        <v>326.52</v>
      </c>
      <c r="AA10" s="743">
        <v>20.3</v>
      </c>
      <c r="AB10" s="743">
        <v>10.883999999999999</v>
      </c>
    </row>
    <row r="11" spans="1:28" s="745" customFormat="1" ht="42" customHeight="1">
      <c r="A11" s="741">
        <v>4</v>
      </c>
      <c r="B11" s="742" t="s">
        <v>29</v>
      </c>
      <c r="C11" s="735">
        <v>1380</v>
      </c>
      <c r="D11" s="735">
        <v>1141</v>
      </c>
      <c r="E11" s="740">
        <v>19.945833333333333</v>
      </c>
      <c r="F11" s="733">
        <v>315.87152777777777</v>
      </c>
      <c r="G11" s="733">
        <v>148.32986111111111</v>
      </c>
      <c r="H11" s="733">
        <v>302.36792824074075</v>
      </c>
      <c r="I11" s="733">
        <v>450.69778935185184</v>
      </c>
      <c r="J11" s="733">
        <v>470.64362268518516</v>
      </c>
      <c r="K11" s="733">
        <v>0.34104610339506169</v>
      </c>
      <c r="L11" s="743">
        <v>99.95610314502963</v>
      </c>
      <c r="M11" s="743">
        <v>99.954160469973772</v>
      </c>
      <c r="N11" s="733">
        <v>4938.7861574074068</v>
      </c>
      <c r="O11" s="733">
        <v>3.5788305488459469</v>
      </c>
      <c r="P11" s="743">
        <v>99.945994287175296</v>
      </c>
      <c r="Q11" s="743">
        <v>99.945775294714466</v>
      </c>
      <c r="R11" s="744"/>
      <c r="S11" s="460">
        <v>1.0108857854334019E-2</v>
      </c>
      <c r="T11" s="460">
        <v>8.3851752593062656E-3</v>
      </c>
      <c r="V11" s="746">
        <v>42401</v>
      </c>
      <c r="W11" s="747">
        <v>29</v>
      </c>
      <c r="X11" s="766">
        <v>29</v>
      </c>
      <c r="Y11" s="774">
        <v>15054</v>
      </c>
      <c r="Z11" s="774">
        <v>11295.446944444444</v>
      </c>
      <c r="AA11" s="743">
        <v>10.908695652173913</v>
      </c>
      <c r="AB11" s="743">
        <v>8.1851064814814816</v>
      </c>
    </row>
    <row r="12" spans="1:28" s="14" customFormat="1" ht="42" customHeight="1">
      <c r="A12" s="78">
        <v>5</v>
      </c>
      <c r="B12" s="74" t="s">
        <v>32</v>
      </c>
      <c r="C12" s="735">
        <v>4</v>
      </c>
      <c r="D12" s="735">
        <v>4</v>
      </c>
      <c r="E12" s="740">
        <v>5.5555555555555552E-2</v>
      </c>
      <c r="F12" s="733">
        <v>3.3740740740740738</v>
      </c>
      <c r="G12" s="733">
        <v>2.3119444444444444</v>
      </c>
      <c r="H12" s="733">
        <v>0.57569444444444451</v>
      </c>
      <c r="I12" s="733">
        <v>2.8876388888888886</v>
      </c>
      <c r="J12" s="733">
        <v>2.943194444444444</v>
      </c>
      <c r="K12" s="733">
        <v>0.735798611111111</v>
      </c>
      <c r="L12" s="743">
        <v>99.902969123357238</v>
      </c>
      <c r="M12" s="743">
        <v>99.901102337216244</v>
      </c>
      <c r="N12" s="733">
        <v>20.44824074074074</v>
      </c>
      <c r="O12" s="733">
        <v>5.112060185185185</v>
      </c>
      <c r="P12" s="743">
        <v>99.922754980359144</v>
      </c>
      <c r="Q12" s="743">
        <v>99.922544542648708</v>
      </c>
      <c r="R12" s="9"/>
      <c r="S12" s="43">
        <v>-1.9785857001906493E-2</v>
      </c>
      <c r="T12" s="43">
        <v>-2.1442205432464334E-2</v>
      </c>
      <c r="V12" s="38">
        <v>42430</v>
      </c>
      <c r="W12" s="37">
        <v>31</v>
      </c>
      <c r="X12" s="764">
        <v>31</v>
      </c>
      <c r="Y12" s="774">
        <v>103</v>
      </c>
      <c r="Z12" s="774">
        <v>70.636666666666656</v>
      </c>
      <c r="AA12" s="743">
        <v>25.75</v>
      </c>
      <c r="AB12" s="743">
        <v>17.659166666666664</v>
      </c>
    </row>
    <row r="13" spans="1:28" s="14" customFormat="1" ht="42" customHeight="1">
      <c r="A13" s="78">
        <v>6</v>
      </c>
      <c r="B13" s="74" t="s">
        <v>30</v>
      </c>
      <c r="C13" s="735">
        <v>13</v>
      </c>
      <c r="D13" s="735">
        <v>13</v>
      </c>
      <c r="E13" s="733">
        <v>9.8611111111111108E-2</v>
      </c>
      <c r="F13" s="733">
        <v>0.75972222222222219</v>
      </c>
      <c r="G13" s="733">
        <v>1.1131944444444444</v>
      </c>
      <c r="H13" s="733">
        <v>0.10972222222222222</v>
      </c>
      <c r="I13" s="733">
        <v>1.2229166666666667</v>
      </c>
      <c r="J13" s="733">
        <v>1.3215277777777779</v>
      </c>
      <c r="K13" s="733">
        <v>0.10165598290598291</v>
      </c>
      <c r="L13" s="743">
        <v>99.987356113868202</v>
      </c>
      <c r="M13" s="743">
        <v>99.986336561437369</v>
      </c>
      <c r="N13" s="733">
        <v>11.770138888888889</v>
      </c>
      <c r="O13" s="733">
        <v>0.90539529914529915</v>
      </c>
      <c r="P13" s="743">
        <v>99.986396820771816</v>
      </c>
      <c r="Q13" s="743">
        <v>99.986281889406897</v>
      </c>
      <c r="R13" s="9"/>
      <c r="S13" s="43">
        <v>0.69063182602610595</v>
      </c>
      <c r="T13" s="43">
        <v>0.65000527979917422</v>
      </c>
      <c r="V13" s="37"/>
      <c r="W13" s="37">
        <v>366</v>
      </c>
      <c r="X13" s="764">
        <v>0</v>
      </c>
      <c r="Y13" s="774">
        <v>481</v>
      </c>
      <c r="Z13" s="774">
        <v>31.716666666666669</v>
      </c>
      <c r="AA13" s="743">
        <v>37</v>
      </c>
      <c r="AB13" s="743">
        <v>2.43974358974359</v>
      </c>
    </row>
    <row r="14" spans="1:28" s="14" customFormat="1" ht="42" customHeight="1">
      <c r="A14" s="78">
        <v>7</v>
      </c>
      <c r="B14" s="74" t="s">
        <v>31</v>
      </c>
      <c r="C14" s="735">
        <v>9</v>
      </c>
      <c r="D14" s="735">
        <v>9</v>
      </c>
      <c r="E14" s="748">
        <v>3.0659722222222219</v>
      </c>
      <c r="F14" s="733">
        <v>70.750694444444463</v>
      </c>
      <c r="G14" s="733">
        <v>5.1736111111111116</v>
      </c>
      <c r="H14" s="733">
        <v>1.4722222222222223</v>
      </c>
      <c r="I14" s="733">
        <v>6.6458333333333339</v>
      </c>
      <c r="J14" s="733">
        <v>9.7118055555555554</v>
      </c>
      <c r="K14" s="733">
        <v>1.0790895061728394</v>
      </c>
      <c r="L14" s="743">
        <v>99.900749203504589</v>
      </c>
      <c r="M14" s="743">
        <v>99.854961087879985</v>
      </c>
      <c r="N14" s="733">
        <v>472.25624999999997</v>
      </c>
      <c r="O14" s="733">
        <v>52.472916666666663</v>
      </c>
      <c r="P14" s="743">
        <v>99.210117377478483</v>
      </c>
      <c r="Q14" s="743">
        <v>99.204955808080811</v>
      </c>
      <c r="R14" s="15"/>
      <c r="S14" s="43">
        <v>0.69063182602610595</v>
      </c>
      <c r="T14" s="43">
        <v>0.65000527979917422</v>
      </c>
      <c r="V14" s="34"/>
      <c r="W14" s="34"/>
      <c r="X14" s="34"/>
      <c r="Y14" s="774">
        <v>249</v>
      </c>
      <c r="Z14" s="774">
        <v>233.08333333333331</v>
      </c>
      <c r="AA14" s="743">
        <v>27.666666666666668</v>
      </c>
      <c r="AB14" s="743">
        <v>25.898148148148145</v>
      </c>
    </row>
    <row r="15" spans="1:28" ht="27.75" hidden="1" customHeight="1" thickBot="1">
      <c r="A15" s="16"/>
      <c r="B15" s="17"/>
      <c r="C15" s="458">
        <v>1478</v>
      </c>
      <c r="D15" s="458">
        <v>1236</v>
      </c>
      <c r="E15" s="458">
        <v>27.24722222222222</v>
      </c>
      <c r="F15" s="733">
        <v>266.96518518518519</v>
      </c>
      <c r="G15" s="458">
        <v>185.18041666666667</v>
      </c>
      <c r="H15" s="458">
        <v>319.38320601851854</v>
      </c>
      <c r="I15" s="18">
        <v>504.56362268518512</v>
      </c>
      <c r="J15" s="18">
        <v>531.81084490740739</v>
      </c>
      <c r="K15" s="18">
        <v>5.3543668004449252</v>
      </c>
      <c r="L15" s="743">
        <v>99.954115229214409</v>
      </c>
      <c r="M15" s="743">
        <v>99.951637380059211</v>
      </c>
      <c r="N15" s="733">
        <v>5607.0539004629627</v>
      </c>
      <c r="O15" s="18">
        <v>134.7452695219099</v>
      </c>
      <c r="P15" s="743">
        <v>99.942799373864744</v>
      </c>
      <c r="Q15" s="743">
        <v>99.942520052687257</v>
      </c>
      <c r="T15" s="43">
        <v>9.1173273719533654E-3</v>
      </c>
    </row>
    <row r="16" spans="1:28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v>0</v>
      </c>
    </row>
    <row r="25" spans="1:20" ht="27.75" hidden="1" customHeight="1">
      <c r="A25" s="16"/>
      <c r="B25" s="17"/>
      <c r="C25" s="461"/>
      <c r="D25" s="461"/>
      <c r="E25" s="462"/>
      <c r="F25" s="462"/>
      <c r="G25" s="462"/>
      <c r="H25" s="462"/>
      <c r="I25" s="20"/>
      <c r="J25" s="20"/>
      <c r="K25" s="20"/>
      <c r="L25" s="20"/>
      <c r="M25" s="20"/>
      <c r="N25" s="20"/>
      <c r="O25" s="20"/>
      <c r="P25" s="20"/>
      <c r="Q25" s="20"/>
      <c r="T25" s="43">
        <v>0</v>
      </c>
    </row>
    <row r="26" spans="1:20" ht="27.75" hidden="1" customHeight="1">
      <c r="A26" s="16"/>
      <c r="B26" s="17"/>
      <c r="C26" s="461"/>
      <c r="D26" s="461"/>
      <c r="E26" s="462"/>
      <c r="F26" s="462"/>
      <c r="G26" s="462"/>
      <c r="H26" s="462"/>
      <c r="I26" s="20"/>
      <c r="J26" s="20"/>
      <c r="K26" s="20"/>
      <c r="L26" s="20"/>
      <c r="M26" s="20"/>
      <c r="N26" s="20"/>
      <c r="O26" s="20"/>
      <c r="P26" s="20"/>
      <c r="Q26" s="20"/>
      <c r="T26" s="43">
        <v>0</v>
      </c>
    </row>
    <row r="27" spans="1:20" ht="18" hidden="1">
      <c r="T27" s="43"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v>0</v>
      </c>
    </row>
    <row r="30" spans="1:20" ht="33" hidden="1" customHeight="1">
      <c r="A30" s="862"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v>0</v>
      </c>
    </row>
    <row r="31" spans="1:20" ht="24.75" hidden="1" customHeight="1">
      <c r="P31" s="21">
        <v>299.80231724051498</v>
      </c>
      <c r="Q31" s="21">
        <v>299.77910579891102</v>
      </c>
      <c r="R31" s="21" t="e">
        <v>#VALUE!</v>
      </c>
      <c r="T31" s="43">
        <v>-299.77910579891102</v>
      </c>
    </row>
    <row r="32" spans="1:20" ht="24.75" hidden="1" customHeight="1">
      <c r="P32" s="21">
        <v>99.934105746838327</v>
      </c>
      <c r="Q32" s="21">
        <v>99.926368599637001</v>
      </c>
      <c r="T32" s="43">
        <v>-99.926368599637001</v>
      </c>
    </row>
    <row r="33" spans="3:20" ht="24.75" hidden="1" customHeight="1">
      <c r="P33" s="21"/>
      <c r="Q33" s="21"/>
      <c r="T33" s="43">
        <v>0</v>
      </c>
    </row>
    <row r="34" spans="3:20" ht="24.75" hidden="1" customHeight="1">
      <c r="P34" s="22">
        <v>199.15611166465379</v>
      </c>
      <c r="Q34" s="22">
        <v>199.15073110279528</v>
      </c>
      <c r="T34" s="43">
        <v>-199.15073110279528</v>
      </c>
    </row>
    <row r="35" spans="3:20" ht="20.25" hidden="1" customHeight="1">
      <c r="P35" s="22">
        <v>99.578055832326896</v>
      </c>
      <c r="Q35" s="22">
        <v>99.575365551397638</v>
      </c>
      <c r="T35" s="43">
        <v>-99.575365551397638</v>
      </c>
    </row>
    <row r="36" spans="3:20" ht="18" hidden="1">
      <c r="T36" s="43">
        <v>0</v>
      </c>
    </row>
    <row r="37" spans="3:20" ht="18" hidden="1">
      <c r="T37" s="43">
        <v>0</v>
      </c>
    </row>
    <row r="38" spans="3:20" ht="18" hidden="1">
      <c r="N38" s="23"/>
      <c r="O38" s="23"/>
      <c r="P38" s="24"/>
      <c r="Q38" s="24"/>
      <c r="R38" s="21"/>
      <c r="T38" s="43">
        <v>0</v>
      </c>
    </row>
    <row r="39" spans="3:20" ht="18" hidden="1">
      <c r="N39" s="23"/>
      <c r="O39" s="23"/>
      <c r="P39" s="23"/>
      <c r="Q39" s="23"/>
      <c r="T39" s="43">
        <v>0</v>
      </c>
    </row>
    <row r="40" spans="3:20" ht="18" hidden="1">
      <c r="N40" s="23"/>
      <c r="O40" s="23"/>
      <c r="P40" s="23"/>
      <c r="Q40" s="23"/>
      <c r="T40" s="43">
        <v>0</v>
      </c>
    </row>
    <row r="41" spans="3:20" ht="18" hidden="1">
      <c r="N41" s="23"/>
      <c r="O41" s="23"/>
      <c r="P41" s="23"/>
      <c r="Q41" s="23"/>
      <c r="T41" s="43">
        <v>0</v>
      </c>
    </row>
    <row r="42" spans="3:20" ht="18" hidden="1">
      <c r="N42" s="23"/>
      <c r="O42" s="23"/>
      <c r="P42" s="23"/>
      <c r="Q42" s="23"/>
      <c r="T42" s="43">
        <v>0</v>
      </c>
    </row>
    <row r="43" spans="3:20" ht="18" hidden="1">
      <c r="N43" s="23"/>
      <c r="O43" s="23"/>
      <c r="P43" s="23"/>
      <c r="Q43" s="23"/>
      <c r="T43" s="43">
        <v>0</v>
      </c>
    </row>
    <row r="44" spans="3:20" ht="18" hidden="1">
      <c r="N44" s="23"/>
      <c r="O44" s="23"/>
      <c r="P44" s="23"/>
      <c r="Q44" s="23"/>
      <c r="T44" s="43">
        <v>0</v>
      </c>
    </row>
    <row r="45" spans="3:20" s="25" customFormat="1" ht="18" hidden="1">
      <c r="C45" s="736"/>
      <c r="D45" s="736"/>
      <c r="E45" s="736"/>
      <c r="F45" s="736"/>
      <c r="G45" s="736"/>
      <c r="H45" s="736"/>
      <c r="T45" s="43">
        <v>0</v>
      </c>
    </row>
    <row r="46" spans="3:20" s="25" customFormat="1" ht="18" hidden="1">
      <c r="C46" s="736"/>
      <c r="D46" s="736"/>
      <c r="E46" s="736"/>
      <c r="F46" s="736"/>
      <c r="G46" s="736"/>
      <c r="H46" s="736"/>
      <c r="P46" s="26"/>
      <c r="Q46" s="26"/>
      <c r="T46" s="43">
        <v>0</v>
      </c>
    </row>
    <row r="47" spans="3:20" s="25" customFormat="1" ht="18" hidden="1">
      <c r="C47" s="736"/>
      <c r="D47" s="736"/>
      <c r="E47" s="736"/>
      <c r="F47" s="736"/>
      <c r="G47" s="736"/>
      <c r="H47" s="736"/>
      <c r="P47" s="26"/>
      <c r="Q47" s="26"/>
      <c r="T47" s="43">
        <v>0</v>
      </c>
    </row>
    <row r="48" spans="3:20" s="25" customFormat="1" ht="18" hidden="1">
      <c r="C48" s="736"/>
      <c r="D48" s="736"/>
      <c r="E48" s="736"/>
      <c r="F48" s="736"/>
      <c r="G48" s="736"/>
      <c r="H48" s="736"/>
      <c r="P48" s="26">
        <v>199.84813923961838</v>
      </c>
      <c r="Q48" s="26">
        <v>199.84776045173962</v>
      </c>
      <c r="T48" s="43">
        <v>-199.84776045173962</v>
      </c>
    </row>
    <row r="49" spans="1:28" s="25" customFormat="1" ht="18" hidden="1">
      <c r="C49" s="736"/>
      <c r="D49" s="736"/>
      <c r="E49" s="736"/>
      <c r="F49" s="736"/>
      <c r="G49" s="736"/>
      <c r="H49" s="736"/>
      <c r="P49" s="25">
        <v>99.924069619809188</v>
      </c>
      <c r="Q49" s="25">
        <v>99.923880225869809</v>
      </c>
      <c r="T49" s="43">
        <v>-99.923880225869809</v>
      </c>
    </row>
    <row r="50" spans="1:28" s="25" customFormat="1" ht="18" hidden="1">
      <c r="C50" s="736"/>
      <c r="D50" s="736"/>
      <c r="E50" s="736"/>
      <c r="F50" s="736"/>
      <c r="G50" s="736"/>
      <c r="H50" s="736"/>
      <c r="T50" s="43">
        <v>0</v>
      </c>
    </row>
    <row r="51" spans="1:28" s="25" customFormat="1" ht="18" hidden="1">
      <c r="C51" s="736"/>
      <c r="D51" s="736"/>
      <c r="E51" s="736"/>
      <c r="F51" s="736"/>
      <c r="G51" s="736"/>
      <c r="H51" s="736"/>
      <c r="T51" s="43">
        <v>0</v>
      </c>
    </row>
    <row r="52" spans="1:28" ht="18" hidden="1">
      <c r="T52" s="43">
        <v>0</v>
      </c>
    </row>
    <row r="53" spans="1:28" ht="18" hidden="1">
      <c r="T53" s="43">
        <v>0</v>
      </c>
    </row>
    <row r="54" spans="1:28" ht="18" hidden="1">
      <c r="T54" s="43">
        <v>0</v>
      </c>
    </row>
    <row r="55" spans="1:28" ht="18" hidden="1">
      <c r="T55" s="43">
        <v>0</v>
      </c>
    </row>
    <row r="56" spans="1:28" s="813" customFormat="1" ht="23.25" customHeight="1">
      <c r="A56" s="762" t="s">
        <v>153</v>
      </c>
      <c r="B56" s="969" t="s">
        <v>201</v>
      </c>
      <c r="C56" s="969"/>
      <c r="D56" s="969"/>
      <c r="E56" s="969"/>
      <c r="F56" s="969"/>
      <c r="G56" s="969"/>
      <c r="H56" s="969"/>
      <c r="I56" s="969"/>
      <c r="J56" s="969"/>
      <c r="K56" s="969"/>
      <c r="L56" s="969"/>
      <c r="M56" s="969"/>
      <c r="N56" s="969"/>
      <c r="O56" s="969"/>
      <c r="P56" s="969"/>
      <c r="Q56" s="969"/>
      <c r="R56" s="969"/>
      <c r="S56" s="969"/>
      <c r="T56" s="969"/>
      <c r="U56" s="969"/>
      <c r="V56" s="969"/>
      <c r="W56" s="969"/>
      <c r="X56" s="969"/>
      <c r="Y56" s="969"/>
      <c r="Z56" s="969"/>
      <c r="AA56" s="969"/>
      <c r="AB56" s="969"/>
    </row>
    <row r="57" spans="1:28" s="749" customFormat="1" ht="17.25" customHeight="1">
      <c r="A57" s="772"/>
      <c r="B57" s="773"/>
      <c r="C57" s="773"/>
      <c r="D57" s="773"/>
      <c r="E57" s="773"/>
      <c r="F57" s="773"/>
      <c r="G57" s="773"/>
      <c r="H57" s="773"/>
      <c r="I57" s="773"/>
      <c r="J57" s="773"/>
      <c r="K57" s="773"/>
      <c r="L57" s="773"/>
      <c r="M57" s="773"/>
      <c r="N57" s="773"/>
      <c r="O57" s="773"/>
      <c r="P57" s="773"/>
      <c r="Q57" s="773"/>
      <c r="R57" s="773"/>
      <c r="S57" s="773"/>
      <c r="T57" s="773"/>
      <c r="U57" s="773"/>
      <c r="V57" s="773"/>
      <c r="W57" s="773"/>
      <c r="X57" s="773"/>
      <c r="Y57" s="773"/>
      <c r="Z57" s="773"/>
      <c r="AA57" s="773"/>
      <c r="AB57" s="773"/>
    </row>
    <row r="58" spans="1:28" s="749" customFormat="1" ht="17.25" customHeight="1">
      <c r="A58" s="772"/>
      <c r="B58" s="773"/>
      <c r="C58" s="773"/>
      <c r="D58" s="773"/>
      <c r="E58" s="773"/>
      <c r="F58" s="773"/>
      <c r="G58" s="773"/>
      <c r="H58" s="773"/>
      <c r="I58" s="773"/>
      <c r="J58" s="773"/>
      <c r="K58" s="773"/>
      <c r="L58" s="773"/>
      <c r="M58" s="773"/>
      <c r="N58" s="773"/>
      <c r="O58" s="773"/>
      <c r="P58" s="773"/>
      <c r="Q58" s="773"/>
      <c r="R58" s="773"/>
      <c r="S58" s="773"/>
      <c r="T58" s="773"/>
      <c r="U58" s="773"/>
      <c r="V58" s="773"/>
      <c r="W58" s="773"/>
      <c r="X58" s="773"/>
      <c r="Y58" s="773"/>
      <c r="Z58" s="773"/>
      <c r="AA58" s="773"/>
      <c r="AB58" s="773"/>
    </row>
    <row r="59" spans="1:28" s="749" customFormat="1" ht="17.25" customHeight="1">
      <c r="A59" s="772"/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3"/>
      <c r="P59" s="773"/>
      <c r="Q59" s="773"/>
      <c r="R59" s="773"/>
      <c r="S59" s="773"/>
      <c r="T59" s="773"/>
      <c r="U59" s="773"/>
      <c r="V59" s="773"/>
      <c r="W59" s="773"/>
      <c r="X59" s="773"/>
      <c r="Y59" s="773"/>
      <c r="Z59" s="773"/>
      <c r="AA59" s="773"/>
      <c r="AB59" s="773"/>
    </row>
    <row r="60" spans="1:28" ht="18.75" customHeight="1">
      <c r="B60" s="819" t="s">
        <v>67</v>
      </c>
      <c r="C60" s="819"/>
      <c r="D60" s="819"/>
      <c r="E60" s="819"/>
      <c r="F60" s="819"/>
      <c r="G60" s="807"/>
      <c r="H60" s="807"/>
      <c r="I60" s="119"/>
      <c r="J60" s="119"/>
      <c r="K60" s="119"/>
      <c r="L60" s="120"/>
      <c r="M60" s="120"/>
      <c r="N60" s="102"/>
      <c r="O60" s="864" t="s">
        <v>68</v>
      </c>
      <c r="P60" s="864"/>
      <c r="Q60" s="864"/>
      <c r="R60" s="864"/>
    </row>
    <row r="61" spans="1:28" ht="18.75" customHeight="1">
      <c r="B61" s="819" t="s">
        <v>69</v>
      </c>
      <c r="C61" s="819"/>
      <c r="D61" s="819"/>
      <c r="E61" s="819"/>
      <c r="F61" s="819"/>
      <c r="G61" s="807"/>
      <c r="H61" s="807"/>
      <c r="I61" s="119"/>
      <c r="J61" s="119"/>
      <c r="K61" s="119"/>
      <c r="L61" s="120"/>
      <c r="M61" s="120"/>
      <c r="N61" s="102"/>
      <c r="O61" s="864" t="s">
        <v>87</v>
      </c>
      <c r="P61" s="864"/>
      <c r="Q61" s="864"/>
      <c r="R61" s="864"/>
    </row>
    <row r="62" spans="1:28" ht="18.75">
      <c r="B62" s="121"/>
      <c r="C62" s="471"/>
      <c r="D62" s="471"/>
      <c r="E62" s="807"/>
      <c r="F62" s="472"/>
      <c r="G62" s="470"/>
      <c r="H62" s="820" t="s">
        <v>70</v>
      </c>
      <c r="I62" s="820"/>
      <c r="J62" s="820"/>
      <c r="K62" s="820"/>
      <c r="L62" s="120"/>
      <c r="M62" s="120"/>
      <c r="N62" s="119"/>
      <c r="O62" s="120"/>
      <c r="P62" s="120"/>
      <c r="Q62" s="120"/>
      <c r="R62" s="84"/>
    </row>
    <row r="63" spans="1:28" ht="18.75">
      <c r="B63" s="121"/>
      <c r="C63" s="471"/>
      <c r="D63" s="471"/>
      <c r="E63" s="807"/>
      <c r="F63" s="472"/>
      <c r="G63" s="470"/>
      <c r="H63" s="820" t="s">
        <v>71</v>
      </c>
      <c r="I63" s="820"/>
      <c r="J63" s="820"/>
      <c r="K63" s="820"/>
      <c r="L63" s="120"/>
      <c r="M63" s="120"/>
      <c r="N63" s="119"/>
      <c r="O63" s="84"/>
      <c r="P63" s="84"/>
      <c r="Q63" s="84"/>
      <c r="R63" s="84"/>
    </row>
    <row r="64" spans="1:28">
      <c r="A64" s="817"/>
      <c r="B64" s="817"/>
      <c r="C64" s="817"/>
      <c r="D64" s="817"/>
      <c r="E64" s="817"/>
    </row>
    <row r="65" spans="1:10" ht="15.75">
      <c r="A65" s="514"/>
      <c r="B65" s="818"/>
      <c r="C65" s="818"/>
      <c r="D65" s="514"/>
      <c r="E65" s="817"/>
    </row>
    <row r="66" spans="1:10">
      <c r="A66" s="817"/>
      <c r="B66" s="817"/>
      <c r="C66" s="817"/>
      <c r="D66" s="817"/>
      <c r="E66" s="817"/>
    </row>
    <row r="67" spans="1:10">
      <c r="A67" s="817"/>
      <c r="B67" s="817"/>
      <c r="C67" s="817"/>
      <c r="D67" s="817"/>
      <c r="E67" s="817"/>
    </row>
    <row r="70" spans="1:10">
      <c r="J70" s="174"/>
    </row>
  </sheetData>
  <mergeCells count="27"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Y5:AB5"/>
    <mergeCell ref="A16:Q17"/>
    <mergeCell ref="A18:Q20"/>
    <mergeCell ref="B61:F61"/>
    <mergeCell ref="O61:R61"/>
    <mergeCell ref="A21:Q22"/>
    <mergeCell ref="H62:K62"/>
    <mergeCell ref="H63:K63"/>
    <mergeCell ref="A23:Q24"/>
    <mergeCell ref="A28:Q28"/>
    <mergeCell ref="A29:Q29"/>
    <mergeCell ref="A30:Q30"/>
    <mergeCell ref="B56:AB56"/>
    <mergeCell ref="B60:F60"/>
    <mergeCell ref="O60:R60"/>
  </mergeCells>
  <printOptions horizontalCentered="1"/>
  <pageMargins left="0" right="0" top="0.25" bottom="0.5" header="0.19" footer="0.5"/>
  <pageSetup paperSize="9" scale="50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7"/>
  <sheetViews>
    <sheetView topLeftCell="A7" zoomScale="90" zoomScaleNormal="90" workbookViewId="0">
      <selection activeCell="AC14" sqref="AC14"/>
    </sheetView>
  </sheetViews>
  <sheetFormatPr defaultRowHeight="12.75"/>
  <cols>
    <col min="1" max="1" width="9.7109375" style="480" customWidth="1"/>
    <col min="2" max="2" width="24" style="480" customWidth="1"/>
    <col min="3" max="4" width="8.140625" style="480" customWidth="1"/>
    <col min="5" max="5" width="16.42578125" style="480" customWidth="1"/>
    <col min="6" max="6" width="18.5703125" style="480" customWidth="1"/>
    <col min="7" max="7" width="16.140625" style="480" customWidth="1"/>
    <col min="8" max="8" width="16.28515625" style="480" customWidth="1"/>
    <col min="9" max="10" width="16.85546875" style="480" customWidth="1"/>
    <col min="11" max="11" width="14" style="480" customWidth="1"/>
    <col min="12" max="13" width="12.5703125" style="480" customWidth="1"/>
    <col min="14" max="14" width="17.28515625" style="480" customWidth="1"/>
    <col min="15" max="15" width="15.7109375" style="480" customWidth="1"/>
    <col min="16" max="16" width="12.85546875" style="480" customWidth="1"/>
    <col min="17" max="17" width="13.7109375" style="480" customWidth="1"/>
    <col min="18" max="18" width="21" style="480" hidden="1" customWidth="1"/>
    <col min="19" max="20" width="0" style="480" hidden="1" customWidth="1"/>
    <col min="21" max="21" width="10.5703125" style="480" customWidth="1"/>
    <col min="22" max="22" width="12.140625" style="480" customWidth="1"/>
    <col min="23" max="23" width="9.85546875" style="480" customWidth="1"/>
    <col min="24" max="24" width="10.7109375" style="480" customWidth="1"/>
    <col min="25" max="62" width="9.140625" style="737"/>
    <col min="63" max="16384" width="9.140625" style="480"/>
  </cols>
  <sheetData>
    <row r="1" spans="1:62" hidden="1"/>
    <row r="2" spans="1:62" ht="9.75" hidden="1" customHeight="1"/>
    <row r="3" spans="1:62" ht="9.75" hidden="1" customHeight="1"/>
    <row r="4" spans="1:62" ht="9.75" hidden="1" customHeight="1"/>
    <row r="5" spans="1:62" ht="7.5" hidden="1" customHeight="1"/>
    <row r="6" spans="1:62" ht="35.25" customHeight="1">
      <c r="A6" s="921" t="s">
        <v>0</v>
      </c>
      <c r="B6" s="921"/>
      <c r="C6" s="921"/>
      <c r="D6" s="921"/>
      <c r="E6" s="921"/>
      <c r="F6" s="921"/>
      <c r="G6" s="921"/>
      <c r="H6" s="921"/>
      <c r="I6" s="921"/>
      <c r="J6" s="921"/>
      <c r="K6" s="921"/>
      <c r="L6" s="921"/>
      <c r="M6" s="921"/>
      <c r="N6" s="921"/>
      <c r="O6" s="921"/>
      <c r="P6" s="921"/>
      <c r="Q6" s="921"/>
    </row>
    <row r="7" spans="1:62" ht="16.5" customHeight="1">
      <c r="A7" s="922" t="s">
        <v>37</v>
      </c>
      <c r="B7" s="922"/>
      <c r="C7" s="922"/>
      <c r="D7" s="922"/>
      <c r="E7" s="922"/>
      <c r="F7" s="922"/>
      <c r="G7" s="922"/>
      <c r="H7" s="922"/>
      <c r="I7" s="922"/>
      <c r="J7" s="922"/>
      <c r="K7" s="922"/>
      <c r="L7" s="922"/>
      <c r="M7" s="922"/>
      <c r="N7" s="922"/>
      <c r="O7" s="922"/>
      <c r="P7" s="922"/>
      <c r="Q7" s="922"/>
    </row>
    <row r="8" spans="1:62" s="808" customFormat="1" ht="18.75" customHeight="1">
      <c r="A8" s="903" t="s">
        <v>198</v>
      </c>
      <c r="B8" s="903"/>
      <c r="C8" s="903"/>
      <c r="D8" s="903"/>
      <c r="E8" s="903"/>
      <c r="F8" s="903"/>
      <c r="G8" s="903"/>
      <c r="H8" s="903"/>
      <c r="I8" s="903"/>
      <c r="J8" s="903"/>
      <c r="K8" s="903"/>
      <c r="L8" s="903"/>
      <c r="M8" s="903"/>
      <c r="N8" s="903"/>
      <c r="O8" s="903"/>
      <c r="P8" s="903"/>
      <c r="Q8" s="903"/>
      <c r="Y8" s="514"/>
      <c r="Z8" s="514"/>
      <c r="AA8" s="514"/>
      <c r="AB8" s="514"/>
      <c r="AC8" s="514"/>
      <c r="AD8" s="514"/>
      <c r="AE8" s="514"/>
      <c r="AF8" s="514"/>
      <c r="AG8" s="514"/>
      <c r="AH8" s="514"/>
      <c r="AI8" s="51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514"/>
      <c r="AV8" s="514"/>
      <c r="AW8" s="514"/>
      <c r="AX8" s="514"/>
      <c r="AY8" s="514"/>
      <c r="AZ8" s="514"/>
      <c r="BA8" s="514"/>
      <c r="BB8" s="514"/>
      <c r="BC8" s="514"/>
      <c r="BD8" s="514"/>
      <c r="BE8" s="514"/>
      <c r="BF8" s="514"/>
      <c r="BG8" s="514"/>
      <c r="BH8" s="514"/>
      <c r="BI8" s="514"/>
      <c r="BJ8" s="514"/>
    </row>
    <row r="9" spans="1:62" s="808" customFormat="1" ht="12" hidden="1" customHeight="1">
      <c r="A9" s="806"/>
      <c r="B9" s="806"/>
      <c r="C9" s="806"/>
      <c r="D9" s="806"/>
      <c r="E9" s="806"/>
      <c r="F9" s="806"/>
      <c r="G9" s="806"/>
      <c r="H9" s="806"/>
      <c r="I9" s="806"/>
      <c r="J9" s="806"/>
      <c r="K9" s="806"/>
      <c r="L9" s="806"/>
      <c r="M9" s="806"/>
      <c r="N9" s="806"/>
      <c r="O9" s="806"/>
      <c r="P9" s="806"/>
      <c r="Q9" s="806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514"/>
      <c r="AV9" s="514"/>
      <c r="AW9" s="514"/>
      <c r="AX9" s="514"/>
      <c r="AY9" s="514"/>
      <c r="AZ9" s="514"/>
      <c r="BA9" s="514"/>
      <c r="BB9" s="514"/>
      <c r="BC9" s="514"/>
      <c r="BD9" s="514"/>
      <c r="BE9" s="514"/>
      <c r="BF9" s="514"/>
      <c r="BG9" s="514"/>
      <c r="BH9" s="514"/>
      <c r="BI9" s="514"/>
      <c r="BJ9" s="514"/>
    </row>
    <row r="10" spans="1:62" ht="12" customHeight="1">
      <c r="A10" s="923"/>
      <c r="B10" s="923"/>
      <c r="C10" s="923"/>
      <c r="D10" s="923"/>
      <c r="E10" s="805"/>
      <c r="F10" s="805"/>
      <c r="G10" s="805"/>
      <c r="H10" s="805"/>
      <c r="I10" s="805"/>
      <c r="J10" s="805"/>
      <c r="K10" s="805"/>
      <c r="L10" s="805"/>
      <c r="M10" s="805"/>
      <c r="N10" s="805"/>
      <c r="O10" s="805"/>
      <c r="P10" s="805"/>
      <c r="Q10" s="805"/>
    </row>
    <row r="11" spans="1:62" s="720" customFormat="1" ht="33.75" customHeight="1">
      <c r="A11" s="904" t="s">
        <v>2</v>
      </c>
      <c r="B11" s="978" t="s">
        <v>38</v>
      </c>
      <c r="C11" s="904" t="s">
        <v>4</v>
      </c>
      <c r="D11" s="904" t="s">
        <v>5</v>
      </c>
      <c r="E11" s="978" t="s">
        <v>6</v>
      </c>
      <c r="F11" s="904" t="s">
        <v>182</v>
      </c>
      <c r="G11" s="974" t="s">
        <v>39</v>
      </c>
      <c r="H11" s="974"/>
      <c r="I11" s="974"/>
      <c r="J11" s="974" t="s">
        <v>195</v>
      </c>
      <c r="K11" s="974"/>
      <c r="L11" s="974"/>
      <c r="M11" s="974"/>
      <c r="N11" s="974" t="s">
        <v>176</v>
      </c>
      <c r="O11" s="974"/>
      <c r="P11" s="974"/>
      <c r="Q11" s="974"/>
      <c r="U11" s="975" t="s">
        <v>197</v>
      </c>
      <c r="V11" s="976"/>
      <c r="W11" s="976"/>
      <c r="X11" s="977"/>
      <c r="Y11" s="770"/>
      <c r="Z11" s="770"/>
      <c r="AA11" s="770"/>
      <c r="AB11" s="770"/>
      <c r="AC11" s="770"/>
      <c r="AD11" s="770"/>
      <c r="AE11" s="770"/>
      <c r="AF11" s="770"/>
      <c r="AG11" s="770"/>
      <c r="AH11" s="770"/>
      <c r="AI11" s="770"/>
      <c r="AJ11" s="770"/>
      <c r="AK11" s="770"/>
      <c r="AL11" s="770"/>
      <c r="AM11" s="770"/>
      <c r="AN11" s="770"/>
      <c r="AO11" s="770"/>
      <c r="AP11" s="770"/>
      <c r="AQ11" s="770"/>
      <c r="AR11" s="770"/>
      <c r="AS11" s="770"/>
      <c r="AT11" s="770"/>
      <c r="AU11" s="770"/>
      <c r="AV11" s="770"/>
      <c r="AW11" s="770"/>
      <c r="AX11" s="770"/>
      <c r="AY11" s="770"/>
      <c r="AZ11" s="770"/>
      <c r="BA11" s="770"/>
      <c r="BB11" s="770"/>
      <c r="BC11" s="770"/>
      <c r="BD11" s="770"/>
      <c r="BE11" s="770"/>
      <c r="BF11" s="770"/>
      <c r="BG11" s="770"/>
      <c r="BH11" s="770"/>
      <c r="BI11" s="770"/>
      <c r="BJ11" s="770"/>
    </row>
    <row r="12" spans="1:62" s="720" customFormat="1" ht="117.75" customHeight="1">
      <c r="A12" s="904"/>
      <c r="B12" s="979"/>
      <c r="C12" s="904"/>
      <c r="D12" s="904"/>
      <c r="E12" s="979"/>
      <c r="F12" s="904"/>
      <c r="G12" s="804" t="s">
        <v>9</v>
      </c>
      <c r="H12" s="804" t="s">
        <v>10</v>
      </c>
      <c r="I12" s="804" t="s">
        <v>11</v>
      </c>
      <c r="J12" s="804" t="s">
        <v>187</v>
      </c>
      <c r="K12" s="804" t="s">
        <v>13</v>
      </c>
      <c r="L12" s="804" t="s">
        <v>78</v>
      </c>
      <c r="M12" s="804" t="s">
        <v>14</v>
      </c>
      <c r="N12" s="804" t="s">
        <v>15</v>
      </c>
      <c r="O12" s="804" t="s">
        <v>16</v>
      </c>
      <c r="P12" s="804" t="s">
        <v>180</v>
      </c>
      <c r="Q12" s="804" t="s">
        <v>181</v>
      </c>
      <c r="U12" s="816" t="s">
        <v>202</v>
      </c>
      <c r="V12" s="804" t="s">
        <v>12</v>
      </c>
      <c r="W12" s="804" t="s">
        <v>183</v>
      </c>
      <c r="X12" s="804" t="s">
        <v>186</v>
      </c>
      <c r="Y12" s="770"/>
      <c r="Z12" s="770"/>
      <c r="AA12" s="770"/>
      <c r="AB12" s="770"/>
      <c r="AC12" s="770"/>
      <c r="AD12" s="770"/>
      <c r="AE12" s="770"/>
      <c r="AF12" s="770"/>
      <c r="AG12" s="770"/>
      <c r="AH12" s="770"/>
      <c r="AI12" s="770"/>
      <c r="AJ12" s="770"/>
      <c r="AK12" s="770"/>
      <c r="AL12" s="770"/>
      <c r="AM12" s="770"/>
      <c r="AN12" s="770"/>
      <c r="AO12" s="770"/>
      <c r="AP12" s="770"/>
      <c r="AQ12" s="770"/>
      <c r="AR12" s="770"/>
      <c r="AS12" s="770"/>
      <c r="AT12" s="770"/>
      <c r="AU12" s="770"/>
      <c r="AV12" s="770"/>
      <c r="AW12" s="770"/>
      <c r="AX12" s="770"/>
      <c r="AY12" s="770"/>
      <c r="AZ12" s="770"/>
      <c r="BA12" s="770"/>
      <c r="BB12" s="770"/>
      <c r="BC12" s="770"/>
      <c r="BD12" s="770"/>
      <c r="BE12" s="770"/>
      <c r="BF12" s="770"/>
      <c r="BG12" s="770"/>
      <c r="BH12" s="770"/>
      <c r="BI12" s="770"/>
      <c r="BJ12" s="770"/>
    </row>
    <row r="13" spans="1:62" s="501" customFormat="1" ht="14.25" customHeight="1">
      <c r="A13" s="487">
        <v>1</v>
      </c>
      <c r="B13" s="487" t="s">
        <v>40</v>
      </c>
      <c r="C13" s="487">
        <v>3</v>
      </c>
      <c r="D13" s="487">
        <v>4</v>
      </c>
      <c r="E13" s="487">
        <v>5</v>
      </c>
      <c r="F13" s="487" t="s">
        <v>19</v>
      </c>
      <c r="G13" s="487">
        <v>6</v>
      </c>
      <c r="H13" s="487">
        <v>7</v>
      </c>
      <c r="I13" s="487" t="s">
        <v>20</v>
      </c>
      <c r="J13" s="487" t="s">
        <v>21</v>
      </c>
      <c r="K13" s="489" t="s">
        <v>22</v>
      </c>
      <c r="L13" s="487" t="s">
        <v>23</v>
      </c>
      <c r="M13" s="487" t="s">
        <v>24</v>
      </c>
      <c r="N13" s="487">
        <v>13</v>
      </c>
      <c r="O13" s="487" t="s">
        <v>25</v>
      </c>
      <c r="P13" s="487">
        <v>15</v>
      </c>
      <c r="Q13" s="487">
        <v>16</v>
      </c>
      <c r="U13" s="487">
        <v>17</v>
      </c>
      <c r="V13" s="487">
        <v>18</v>
      </c>
      <c r="W13" s="487" t="s">
        <v>184</v>
      </c>
      <c r="X13" s="487" t="s">
        <v>185</v>
      </c>
      <c r="Y13" s="771"/>
      <c r="Z13" s="771"/>
      <c r="AA13" s="771"/>
      <c r="AB13" s="771"/>
      <c r="AC13" s="771"/>
      <c r="AD13" s="771"/>
      <c r="AE13" s="771"/>
      <c r="AF13" s="771"/>
      <c r="AG13" s="771"/>
      <c r="AH13" s="771"/>
      <c r="AI13" s="771"/>
      <c r="AJ13" s="771"/>
      <c r="AK13" s="771"/>
      <c r="AL13" s="771"/>
      <c r="AM13" s="771"/>
      <c r="AN13" s="771"/>
      <c r="AO13" s="771"/>
      <c r="AP13" s="771"/>
      <c r="AQ13" s="771"/>
      <c r="AR13" s="771"/>
      <c r="AS13" s="771"/>
      <c r="AT13" s="771"/>
      <c r="AU13" s="771"/>
      <c r="AV13" s="771"/>
      <c r="AW13" s="771"/>
      <c r="AX13" s="771"/>
      <c r="AY13" s="771"/>
      <c r="AZ13" s="771"/>
      <c r="BA13" s="771"/>
      <c r="BB13" s="771"/>
      <c r="BC13" s="771"/>
      <c r="BD13" s="771"/>
      <c r="BE13" s="771"/>
      <c r="BF13" s="771"/>
      <c r="BG13" s="771"/>
      <c r="BH13" s="771"/>
      <c r="BI13" s="771"/>
      <c r="BJ13" s="771"/>
    </row>
    <row r="14" spans="1:62" s="760" customFormat="1" ht="24.95" customHeight="1">
      <c r="A14" s="707">
        <v>1</v>
      </c>
      <c r="B14" s="708" t="s">
        <v>41</v>
      </c>
      <c r="C14" s="338">
        <v>1</v>
      </c>
      <c r="D14" s="338">
        <v>1</v>
      </c>
      <c r="E14" s="711">
        <v>0.41319444444444442</v>
      </c>
      <c r="F14" s="784">
        <v>3.5069444444444438</v>
      </c>
      <c r="G14" s="711">
        <v>4.7916666666666663E-2</v>
      </c>
      <c r="H14" s="711">
        <v>6.2499999999999995E-3</v>
      </c>
      <c r="I14" s="711">
        <v>5.4166666666666662E-2</v>
      </c>
      <c r="J14" s="711">
        <v>0.46736111111111106</v>
      </c>
      <c r="K14" s="711">
        <v>0.46736111111111106</v>
      </c>
      <c r="L14" s="712">
        <v>99.992719534050167</v>
      </c>
      <c r="M14" s="712">
        <v>99.937182646356035</v>
      </c>
      <c r="N14" s="711">
        <v>10.502777777777778</v>
      </c>
      <c r="O14" s="713">
        <v>10.502777777777778</v>
      </c>
      <c r="P14" s="712">
        <v>99.847127525252517</v>
      </c>
      <c r="Q14" s="712">
        <v>99.840867003367009</v>
      </c>
      <c r="R14" s="493"/>
      <c r="S14" s="493">
        <v>0.14559200879764944</v>
      </c>
      <c r="T14" s="493">
        <v>9.6315642989026173E-2</v>
      </c>
      <c r="U14" s="338">
        <v>5</v>
      </c>
      <c r="V14" s="712">
        <v>11.216666666666665</v>
      </c>
      <c r="W14" s="712">
        <v>5</v>
      </c>
      <c r="X14" s="712">
        <v>11.216666666666665</v>
      </c>
      <c r="Y14" s="780"/>
      <c r="Z14" s="780"/>
      <c r="AA14" s="780"/>
      <c r="AB14" s="780"/>
      <c r="AC14" s="780"/>
      <c r="AD14" s="780"/>
      <c r="AE14" s="780"/>
      <c r="AF14" s="780"/>
      <c r="AG14" s="780"/>
      <c r="AH14" s="780"/>
      <c r="AI14" s="780"/>
      <c r="AJ14" s="780"/>
      <c r="AK14" s="780"/>
      <c r="AL14" s="780"/>
      <c r="AM14" s="780"/>
      <c r="AN14" s="780"/>
      <c r="AO14" s="780"/>
      <c r="AP14" s="780"/>
      <c r="AQ14" s="780"/>
      <c r="AR14" s="780"/>
      <c r="AS14" s="780"/>
      <c r="AT14" s="780"/>
      <c r="AU14" s="780"/>
      <c r="AV14" s="780"/>
      <c r="AW14" s="780"/>
      <c r="AX14" s="780"/>
      <c r="AY14" s="780"/>
      <c r="AZ14" s="780"/>
      <c r="BA14" s="780"/>
      <c r="BB14" s="780"/>
      <c r="BC14" s="780"/>
      <c r="BD14" s="780"/>
      <c r="BE14" s="780"/>
      <c r="BF14" s="780"/>
      <c r="BG14" s="780"/>
      <c r="BH14" s="780"/>
      <c r="BI14" s="780"/>
      <c r="BJ14" s="780"/>
    </row>
    <row r="15" spans="1:62" s="760" customFormat="1" ht="24.95" customHeight="1">
      <c r="A15" s="707">
        <v>2</v>
      </c>
      <c r="B15" s="708" t="s">
        <v>42</v>
      </c>
      <c r="C15" s="338">
        <v>1</v>
      </c>
      <c r="D15" s="338">
        <v>1</v>
      </c>
      <c r="E15" s="711">
        <v>0.43402777777777773</v>
      </c>
      <c r="F15" s="784">
        <v>2.8715277777777777</v>
      </c>
      <c r="G15" s="711">
        <v>3.3458333333333332</v>
      </c>
      <c r="H15" s="711">
        <v>1.8749999999999999E-2</v>
      </c>
      <c r="I15" s="711">
        <v>3.364583333333333</v>
      </c>
      <c r="J15" s="711">
        <v>3.7986111111111107</v>
      </c>
      <c r="K15" s="711">
        <v>3.7986111111111107</v>
      </c>
      <c r="L15" s="712">
        <v>99.54777105734766</v>
      </c>
      <c r="M15" s="712">
        <v>99.489433990442052</v>
      </c>
      <c r="N15" s="711">
        <v>17.598611111111111</v>
      </c>
      <c r="O15" s="713">
        <v>17.598611111111111</v>
      </c>
      <c r="P15" s="712">
        <v>99.739930555555546</v>
      </c>
      <c r="Q15" s="712">
        <v>99.733354377104376</v>
      </c>
      <c r="R15" s="493"/>
      <c r="S15" s="493">
        <v>-0.1921594982078858</v>
      </c>
      <c r="T15" s="493">
        <v>-0.24392038666232452</v>
      </c>
      <c r="U15" s="338">
        <v>82</v>
      </c>
      <c r="V15" s="712">
        <v>91.166666666666657</v>
      </c>
      <c r="W15" s="712">
        <v>82</v>
      </c>
      <c r="X15" s="712">
        <v>91.166666666666657</v>
      </c>
      <c r="Y15" s="780"/>
      <c r="Z15" s="780"/>
      <c r="AA15" s="780"/>
      <c r="AB15" s="780"/>
      <c r="AC15" s="780"/>
      <c r="AD15" s="780"/>
      <c r="AE15" s="780"/>
      <c r="AF15" s="780"/>
      <c r="AG15" s="780"/>
      <c r="AH15" s="780"/>
      <c r="AI15" s="780"/>
      <c r="AJ15" s="780"/>
      <c r="AK15" s="780"/>
      <c r="AL15" s="780"/>
      <c r="AM15" s="780"/>
      <c r="AN15" s="780"/>
      <c r="AO15" s="780"/>
      <c r="AP15" s="780"/>
      <c r="AQ15" s="780"/>
      <c r="AR15" s="780"/>
      <c r="AS15" s="780"/>
      <c r="AT15" s="780"/>
      <c r="AU15" s="780"/>
      <c r="AV15" s="780"/>
      <c r="AW15" s="780"/>
      <c r="AX15" s="780"/>
      <c r="AY15" s="780"/>
      <c r="AZ15" s="780"/>
      <c r="BA15" s="780"/>
      <c r="BB15" s="780"/>
      <c r="BC15" s="780"/>
      <c r="BD15" s="780"/>
      <c r="BE15" s="780"/>
      <c r="BF15" s="780"/>
      <c r="BG15" s="780"/>
      <c r="BH15" s="780"/>
      <c r="BI15" s="780"/>
      <c r="BJ15" s="780"/>
    </row>
    <row r="16" spans="1:62" s="760" customFormat="1" ht="24.95" customHeight="1">
      <c r="A16" s="707">
        <v>3</v>
      </c>
      <c r="B16" s="708" t="s">
        <v>43</v>
      </c>
      <c r="C16" s="338">
        <v>11</v>
      </c>
      <c r="D16" s="338">
        <v>11</v>
      </c>
      <c r="E16" s="711">
        <v>2.0833333333333332E-2</v>
      </c>
      <c r="F16" s="784">
        <v>1.7118055555555556</v>
      </c>
      <c r="G16" s="711">
        <v>3.8347222222222226</v>
      </c>
      <c r="H16" s="711">
        <v>1.075</v>
      </c>
      <c r="I16" s="711">
        <v>4.9097222222222223</v>
      </c>
      <c r="J16" s="711">
        <v>4.9305555555555554</v>
      </c>
      <c r="K16" s="711">
        <v>0.4482323232323232</v>
      </c>
      <c r="L16" s="712">
        <v>99.940008281742152</v>
      </c>
      <c r="M16" s="712">
        <v>99.93975371999565</v>
      </c>
      <c r="N16" s="711">
        <v>50.063888888888897</v>
      </c>
      <c r="O16" s="713">
        <v>4.551262626262627</v>
      </c>
      <c r="P16" s="712">
        <v>99.931070171411093</v>
      </c>
      <c r="Q16" s="712">
        <v>99.931041475359649</v>
      </c>
      <c r="R16" s="493"/>
      <c r="S16" s="493">
        <v>8.9381103310586241E-3</v>
      </c>
      <c r="T16" s="493">
        <v>8.7122446360012873E-3</v>
      </c>
      <c r="U16" s="338">
        <v>239</v>
      </c>
      <c r="V16" s="712">
        <v>118.33333333333333</v>
      </c>
      <c r="W16" s="712">
        <v>21.727272727272727</v>
      </c>
      <c r="X16" s="712">
        <v>10.757575757575758</v>
      </c>
      <c r="Y16" s="780"/>
      <c r="Z16" s="780"/>
      <c r="AA16" s="780"/>
      <c r="AB16" s="780"/>
      <c r="AC16" s="780"/>
      <c r="AD16" s="780"/>
      <c r="AE16" s="780"/>
      <c r="AF16" s="780"/>
      <c r="AG16" s="780"/>
      <c r="AH16" s="780"/>
      <c r="AI16" s="780"/>
      <c r="AJ16" s="780"/>
      <c r="AK16" s="780"/>
      <c r="AL16" s="780"/>
      <c r="AM16" s="780"/>
      <c r="AN16" s="780"/>
      <c r="AO16" s="780"/>
      <c r="AP16" s="780"/>
      <c r="AQ16" s="780"/>
      <c r="AR16" s="780"/>
      <c r="AS16" s="780"/>
      <c r="AT16" s="780"/>
      <c r="AU16" s="780"/>
      <c r="AV16" s="780"/>
      <c r="AW16" s="780"/>
      <c r="AX16" s="780"/>
      <c r="AY16" s="780"/>
      <c r="AZ16" s="780"/>
      <c r="BA16" s="780"/>
      <c r="BB16" s="780"/>
      <c r="BC16" s="780"/>
      <c r="BD16" s="780"/>
      <c r="BE16" s="780"/>
      <c r="BF16" s="780"/>
      <c r="BG16" s="780"/>
      <c r="BH16" s="780"/>
      <c r="BI16" s="780"/>
      <c r="BJ16" s="780"/>
    </row>
    <row r="17" spans="1:62" s="760" customFormat="1" ht="24.95" customHeight="1">
      <c r="A17" s="707">
        <v>4</v>
      </c>
      <c r="B17" s="708" t="s">
        <v>73</v>
      </c>
      <c r="C17" s="338">
        <v>2</v>
      </c>
      <c r="D17" s="338">
        <v>2</v>
      </c>
      <c r="E17" s="711">
        <v>0.11111111111111112</v>
      </c>
      <c r="F17" s="784">
        <v>1.6548611111111111</v>
      </c>
      <c r="G17" s="711">
        <v>1.28125</v>
      </c>
      <c r="H17" s="711">
        <v>6.5972222222222238E-2</v>
      </c>
      <c r="I17" s="711">
        <v>1.3472222222222223</v>
      </c>
      <c r="J17" s="711">
        <v>1.4583333333333335</v>
      </c>
      <c r="K17" s="711">
        <v>0.72916666666666674</v>
      </c>
      <c r="L17" s="712">
        <v>99.909460872162484</v>
      </c>
      <c r="M17" s="712">
        <v>99.90199372759858</v>
      </c>
      <c r="N17" s="711">
        <v>18.043749999999999</v>
      </c>
      <c r="O17" s="713">
        <v>9.0218749999999996</v>
      </c>
      <c r="P17" s="712">
        <v>99.864146675084172</v>
      </c>
      <c r="Q17" s="712">
        <v>99.863304924242428</v>
      </c>
      <c r="R17" s="493"/>
      <c r="S17" s="493">
        <v>4.5314197078312191E-2</v>
      </c>
      <c r="T17" s="493">
        <v>3.868880335615188E-2</v>
      </c>
      <c r="U17" s="338">
        <v>109</v>
      </c>
      <c r="V17" s="712">
        <v>35</v>
      </c>
      <c r="W17" s="712">
        <v>54.5</v>
      </c>
      <c r="X17" s="712">
        <v>17.5</v>
      </c>
      <c r="Y17" s="780"/>
      <c r="Z17" s="780"/>
      <c r="AA17" s="780"/>
      <c r="AB17" s="780"/>
      <c r="AC17" s="780"/>
      <c r="AD17" s="780"/>
      <c r="AE17" s="780"/>
      <c r="AF17" s="780"/>
      <c r="AG17" s="780"/>
      <c r="AH17" s="780"/>
      <c r="AI17" s="780"/>
      <c r="AJ17" s="780"/>
      <c r="AK17" s="780"/>
      <c r="AL17" s="780"/>
      <c r="AM17" s="780"/>
      <c r="AN17" s="780"/>
      <c r="AO17" s="780"/>
      <c r="AP17" s="780"/>
      <c r="AQ17" s="780"/>
      <c r="AR17" s="780"/>
      <c r="AS17" s="780"/>
      <c r="AT17" s="780"/>
      <c r="AU17" s="780"/>
      <c r="AV17" s="780"/>
      <c r="AW17" s="780"/>
      <c r="AX17" s="780"/>
      <c r="AY17" s="780"/>
      <c r="AZ17" s="780"/>
      <c r="BA17" s="780"/>
      <c r="BB17" s="780"/>
      <c r="BC17" s="780"/>
      <c r="BD17" s="780"/>
      <c r="BE17" s="780"/>
      <c r="BF17" s="780"/>
      <c r="BG17" s="780"/>
      <c r="BH17" s="780"/>
      <c r="BI17" s="780"/>
      <c r="BJ17" s="780"/>
    </row>
    <row r="18" spans="1:62" s="760" customFormat="1" ht="24.95" customHeight="1">
      <c r="A18" s="707">
        <v>5</v>
      </c>
      <c r="B18" s="708" t="s">
        <v>79</v>
      </c>
      <c r="C18" s="338">
        <v>4</v>
      </c>
      <c r="D18" s="338">
        <v>4</v>
      </c>
      <c r="E18" s="711">
        <v>2.0833333333333332E-2</v>
      </c>
      <c r="F18" s="784">
        <v>0.55902777777777779</v>
      </c>
      <c r="G18" s="784">
        <v>0.68055555555555558</v>
      </c>
      <c r="H18" s="711">
        <v>0.19097222222222221</v>
      </c>
      <c r="I18" s="711">
        <v>0.87152777777777779</v>
      </c>
      <c r="J18" s="711">
        <v>0.89236111111111116</v>
      </c>
      <c r="K18" s="711">
        <v>0.22309027777777779</v>
      </c>
      <c r="L18" s="712">
        <v>99.970714792413375</v>
      </c>
      <c r="M18" s="712">
        <v>99.970014747610506</v>
      </c>
      <c r="N18" s="711">
        <v>15.305555555555557</v>
      </c>
      <c r="O18" s="713">
        <v>3.8263888888888893</v>
      </c>
      <c r="P18" s="712">
        <v>99.94210332491582</v>
      </c>
      <c r="Q18" s="712">
        <v>99.942024410774408</v>
      </c>
      <c r="R18" s="493"/>
      <c r="S18" s="493">
        <v>2.8611467497555054E-2</v>
      </c>
      <c r="T18" s="493">
        <v>2.799033683609764E-2</v>
      </c>
      <c r="U18" s="338">
        <v>75</v>
      </c>
      <c r="V18" s="712">
        <v>21.416666666666668</v>
      </c>
      <c r="W18" s="712">
        <v>18.75</v>
      </c>
      <c r="X18" s="712">
        <v>5.354166666666667</v>
      </c>
      <c r="Y18" s="780"/>
      <c r="Z18" s="780"/>
      <c r="AA18" s="780"/>
      <c r="AB18" s="780"/>
      <c r="AC18" s="780"/>
      <c r="AD18" s="780"/>
      <c r="AE18" s="780"/>
      <c r="AF18" s="780"/>
      <c r="AG18" s="780"/>
      <c r="AH18" s="780"/>
      <c r="AI18" s="780"/>
      <c r="AJ18" s="780"/>
      <c r="AK18" s="780"/>
      <c r="AL18" s="780"/>
      <c r="AM18" s="780"/>
      <c r="AN18" s="780"/>
      <c r="AO18" s="780"/>
      <c r="AP18" s="780"/>
      <c r="AQ18" s="780"/>
      <c r="AR18" s="780"/>
      <c r="AS18" s="780"/>
      <c r="AT18" s="780"/>
      <c r="AU18" s="780"/>
      <c r="AV18" s="780"/>
      <c r="AW18" s="780"/>
      <c r="AX18" s="780"/>
      <c r="AY18" s="780"/>
      <c r="AZ18" s="780"/>
      <c r="BA18" s="780"/>
      <c r="BB18" s="780"/>
      <c r="BC18" s="780"/>
      <c r="BD18" s="780"/>
      <c r="BE18" s="780"/>
      <c r="BF18" s="780"/>
      <c r="BG18" s="780"/>
      <c r="BH18" s="780"/>
      <c r="BI18" s="780"/>
      <c r="BJ18" s="780"/>
    </row>
    <row r="19" spans="1:62" s="760" customFormat="1" ht="24.95" customHeight="1">
      <c r="A19" s="707">
        <v>6</v>
      </c>
      <c r="B19" s="708" t="s">
        <v>80</v>
      </c>
      <c r="C19" s="338">
        <v>1</v>
      </c>
      <c r="D19" s="338">
        <v>1</v>
      </c>
      <c r="E19" s="711">
        <v>9.7222222222222224E-2</v>
      </c>
      <c r="F19" s="784">
        <v>1.0972222222222223</v>
      </c>
      <c r="G19" s="711">
        <v>0.97499999999999998</v>
      </c>
      <c r="H19" s="711">
        <v>0.45763888888888887</v>
      </c>
      <c r="I19" s="711">
        <v>1.4326388888888888</v>
      </c>
      <c r="J19" s="711">
        <v>1.5298611111111111</v>
      </c>
      <c r="K19" s="711">
        <v>1.5298611111111111</v>
      </c>
      <c r="L19" s="712">
        <v>99.807441009557948</v>
      </c>
      <c r="M19" s="712">
        <v>99.794373506571091</v>
      </c>
      <c r="N19" s="711">
        <v>13.965277777777779</v>
      </c>
      <c r="O19" s="713">
        <v>13.965277777777779</v>
      </c>
      <c r="P19" s="712">
        <v>99.78987794612793</v>
      </c>
      <c r="Q19" s="712">
        <v>99.788404882154893</v>
      </c>
      <c r="R19" s="493"/>
      <c r="S19" s="493">
        <v>1.7563063430017678E-2</v>
      </c>
      <c r="T19" s="493">
        <v>5.968624416198054E-3</v>
      </c>
      <c r="U19" s="338">
        <v>60</v>
      </c>
      <c r="V19" s="712">
        <v>36.716666666666669</v>
      </c>
      <c r="W19" s="712">
        <v>60</v>
      </c>
      <c r="X19" s="712">
        <v>36.716666666666669</v>
      </c>
      <c r="Y19" s="780"/>
      <c r="Z19" s="780"/>
      <c r="AA19" s="780"/>
      <c r="AB19" s="780"/>
      <c r="AC19" s="780"/>
      <c r="AD19" s="780"/>
      <c r="AE19" s="780"/>
      <c r="AF19" s="780"/>
      <c r="AG19" s="780"/>
      <c r="AH19" s="780"/>
      <c r="AI19" s="780"/>
      <c r="AJ19" s="780"/>
      <c r="AK19" s="780"/>
      <c r="AL19" s="780"/>
      <c r="AM19" s="780"/>
      <c r="AN19" s="780"/>
      <c r="AO19" s="780"/>
      <c r="AP19" s="780"/>
      <c r="AQ19" s="780"/>
      <c r="AR19" s="780"/>
      <c r="AS19" s="780"/>
      <c r="AT19" s="780"/>
      <c r="AU19" s="780"/>
      <c r="AV19" s="780"/>
      <c r="AW19" s="780"/>
      <c r="AX19" s="780"/>
      <c r="AY19" s="780"/>
      <c r="AZ19" s="780"/>
      <c r="BA19" s="780"/>
      <c r="BB19" s="780"/>
      <c r="BC19" s="780"/>
      <c r="BD19" s="780"/>
      <c r="BE19" s="780"/>
      <c r="BF19" s="780"/>
      <c r="BG19" s="780"/>
      <c r="BH19" s="780"/>
      <c r="BI19" s="780"/>
      <c r="BJ19" s="780"/>
    </row>
    <row r="20" spans="1:62" s="760" customFormat="1" ht="24.95" customHeight="1">
      <c r="A20" s="707">
        <v>7</v>
      </c>
      <c r="B20" s="708" t="s">
        <v>74</v>
      </c>
      <c r="C20" s="338">
        <v>2</v>
      </c>
      <c r="D20" s="338">
        <v>2</v>
      </c>
      <c r="E20" s="711">
        <v>0.19791666666666666</v>
      </c>
      <c r="F20" s="784">
        <v>2.2569444444444442</v>
      </c>
      <c r="G20" s="711">
        <v>1.528472222222222</v>
      </c>
      <c r="H20" s="711">
        <v>1.2069444444444444</v>
      </c>
      <c r="I20" s="711">
        <v>2.7354166666666666</v>
      </c>
      <c r="J20" s="711">
        <v>2.9333333333333331</v>
      </c>
      <c r="K20" s="711">
        <v>1.4666666666666666</v>
      </c>
      <c r="L20" s="712">
        <v>99.816168234767034</v>
      </c>
      <c r="M20" s="712">
        <v>99.802867383512535</v>
      </c>
      <c r="N20" s="711">
        <v>26.364166666666666</v>
      </c>
      <c r="O20" s="713">
        <v>13.182083333333333</v>
      </c>
      <c r="P20" s="712">
        <v>99.801770833333336</v>
      </c>
      <c r="Q20" s="712">
        <v>99.800271464646471</v>
      </c>
      <c r="R20" s="493"/>
      <c r="S20" s="493">
        <v>1.439740143369761E-2</v>
      </c>
      <c r="T20" s="493">
        <v>2.5959188660635846E-3</v>
      </c>
      <c r="U20" s="338">
        <v>101</v>
      </c>
      <c r="V20" s="712">
        <v>70.399999999999991</v>
      </c>
      <c r="W20" s="712">
        <v>50.5</v>
      </c>
      <c r="X20" s="712">
        <v>35.199999999999996</v>
      </c>
      <c r="Y20" s="780"/>
      <c r="Z20" s="780"/>
      <c r="AA20" s="780"/>
      <c r="AB20" s="780"/>
      <c r="AC20" s="780"/>
      <c r="AD20" s="780"/>
      <c r="AE20" s="780"/>
      <c r="AF20" s="780"/>
      <c r="AG20" s="780"/>
      <c r="AH20" s="780"/>
      <c r="AI20" s="780"/>
      <c r="AJ20" s="780"/>
      <c r="AK20" s="780"/>
      <c r="AL20" s="780"/>
      <c r="AM20" s="780"/>
      <c r="AN20" s="780"/>
      <c r="AO20" s="780"/>
      <c r="AP20" s="780"/>
      <c r="AQ20" s="780"/>
      <c r="AR20" s="780"/>
      <c r="AS20" s="780"/>
      <c r="AT20" s="780"/>
      <c r="AU20" s="780"/>
      <c r="AV20" s="780"/>
      <c r="AW20" s="780"/>
      <c r="AX20" s="780"/>
      <c r="AY20" s="780"/>
      <c r="AZ20" s="780"/>
      <c r="BA20" s="780"/>
      <c r="BB20" s="780"/>
      <c r="BC20" s="780"/>
      <c r="BD20" s="780"/>
      <c r="BE20" s="780"/>
      <c r="BF20" s="780"/>
      <c r="BG20" s="780"/>
      <c r="BH20" s="780"/>
      <c r="BI20" s="780"/>
      <c r="BJ20" s="780"/>
    </row>
    <row r="21" spans="1:62" s="760" customFormat="1" ht="24.95" customHeight="1">
      <c r="A21" s="707">
        <v>8</v>
      </c>
      <c r="B21" s="708" t="s">
        <v>44</v>
      </c>
      <c r="C21" s="338">
        <v>3</v>
      </c>
      <c r="D21" s="338">
        <v>3</v>
      </c>
      <c r="E21" s="711">
        <v>0.16977430555555556</v>
      </c>
      <c r="F21" s="784">
        <v>0.69286038773148162</v>
      </c>
      <c r="G21" s="711">
        <v>0.80555555555555547</v>
      </c>
      <c r="H21" s="711">
        <v>0.29236111111111113</v>
      </c>
      <c r="I21" s="711">
        <v>1.0979166666666667</v>
      </c>
      <c r="J21" s="711">
        <v>1.2676909722222223</v>
      </c>
      <c r="K21" s="711">
        <v>0.42256365740740742</v>
      </c>
      <c r="L21" s="712">
        <v>99.95081018518519</v>
      </c>
      <c r="M21" s="712">
        <v>99.943203809488253</v>
      </c>
      <c r="N21" s="711">
        <v>24.529665943287032</v>
      </c>
      <c r="O21" s="713">
        <v>8.1765553144290113</v>
      </c>
      <c r="P21" s="712">
        <v>99.876970244253883</v>
      </c>
      <c r="Q21" s="712">
        <v>99.876112798266234</v>
      </c>
      <c r="R21" s="493"/>
      <c r="S21" s="493">
        <v>7.3839940931307524E-2</v>
      </c>
      <c r="T21" s="493">
        <v>6.7091011222018437E-2</v>
      </c>
      <c r="U21" s="338">
        <v>126</v>
      </c>
      <c r="V21" s="712">
        <v>30.424583333333334</v>
      </c>
      <c r="W21" s="712">
        <v>42</v>
      </c>
      <c r="X21" s="712">
        <v>10.141527777777778</v>
      </c>
      <c r="Y21" s="780"/>
      <c r="Z21" s="780"/>
      <c r="AA21" s="780"/>
      <c r="AB21" s="780"/>
      <c r="AC21" s="780"/>
      <c r="AD21" s="780"/>
      <c r="AE21" s="780"/>
      <c r="AF21" s="780"/>
      <c r="AG21" s="780"/>
      <c r="AH21" s="780"/>
      <c r="AI21" s="780"/>
      <c r="AJ21" s="780"/>
      <c r="AK21" s="780"/>
      <c r="AL21" s="780"/>
      <c r="AM21" s="780"/>
      <c r="AN21" s="780"/>
      <c r="AO21" s="780"/>
      <c r="AP21" s="780"/>
      <c r="AQ21" s="780"/>
      <c r="AR21" s="780"/>
      <c r="AS21" s="780"/>
      <c r="AT21" s="780"/>
      <c r="AU21" s="780"/>
      <c r="AV21" s="780"/>
      <c r="AW21" s="780"/>
      <c r="AX21" s="780"/>
      <c r="AY21" s="780"/>
      <c r="AZ21" s="780"/>
      <c r="BA21" s="780"/>
      <c r="BB21" s="780"/>
      <c r="BC21" s="780"/>
      <c r="BD21" s="780"/>
      <c r="BE21" s="780"/>
      <c r="BF21" s="780"/>
      <c r="BG21" s="780"/>
      <c r="BH21" s="780"/>
      <c r="BI21" s="780"/>
      <c r="BJ21" s="780"/>
    </row>
    <row r="22" spans="1:62" s="760" customFormat="1" ht="24.95" customHeight="1">
      <c r="A22" s="707">
        <v>9</v>
      </c>
      <c r="B22" s="708" t="s">
        <v>75</v>
      </c>
      <c r="C22" s="338">
        <v>5</v>
      </c>
      <c r="D22" s="338">
        <v>5</v>
      </c>
      <c r="E22" s="711">
        <v>0.30125419298807776</v>
      </c>
      <c r="F22" s="784">
        <v>1.2293861166636146</v>
      </c>
      <c r="G22" s="711">
        <v>2.4284722222222221</v>
      </c>
      <c r="H22" s="711">
        <v>0.42291666666666666</v>
      </c>
      <c r="I22" s="711">
        <v>2.8513888888888888</v>
      </c>
      <c r="J22" s="711">
        <v>3.1526430818769664</v>
      </c>
      <c r="K22" s="711">
        <v>0.63052861637539326</v>
      </c>
      <c r="L22" s="712">
        <v>99.923349761051384</v>
      </c>
      <c r="M22" s="712">
        <v>99.915251530057063</v>
      </c>
      <c r="N22" s="711">
        <v>37.489108338885842</v>
      </c>
      <c r="O22" s="713">
        <v>7.4978216677771687</v>
      </c>
      <c r="P22" s="712">
        <v>99.887309532891209</v>
      </c>
      <c r="Q22" s="712">
        <v>99.886396641397312</v>
      </c>
      <c r="R22" s="493"/>
      <c r="S22" s="493">
        <v>3.6040228160175047E-2</v>
      </c>
      <c r="T22" s="493">
        <v>2.8854888659751055E-2</v>
      </c>
      <c r="U22" s="338">
        <v>248</v>
      </c>
      <c r="V22" s="712">
        <v>75.66343396504719</v>
      </c>
      <c r="W22" s="712">
        <v>49.6</v>
      </c>
      <c r="X22" s="712">
        <v>15.132686793009437</v>
      </c>
      <c r="Y22" s="780"/>
      <c r="Z22" s="780"/>
      <c r="AA22" s="780"/>
      <c r="AB22" s="780"/>
      <c r="AC22" s="780"/>
      <c r="AD22" s="780"/>
      <c r="AE22" s="780"/>
      <c r="AF22" s="780"/>
      <c r="AG22" s="780"/>
      <c r="AH22" s="780"/>
      <c r="AI22" s="780"/>
      <c r="AJ22" s="780"/>
      <c r="AK22" s="780"/>
      <c r="AL22" s="780"/>
      <c r="AM22" s="780"/>
      <c r="AN22" s="780"/>
      <c r="AO22" s="780"/>
      <c r="AP22" s="780"/>
      <c r="AQ22" s="780"/>
      <c r="AR22" s="780"/>
      <c r="AS22" s="780"/>
      <c r="AT22" s="780"/>
      <c r="AU22" s="780"/>
      <c r="AV22" s="780"/>
      <c r="AW22" s="780"/>
      <c r="AX22" s="780"/>
      <c r="AY22" s="780"/>
      <c r="AZ22" s="780"/>
      <c r="BA22" s="780"/>
      <c r="BB22" s="780"/>
      <c r="BC22" s="780"/>
      <c r="BD22" s="780"/>
      <c r="BE22" s="780"/>
      <c r="BF22" s="780"/>
      <c r="BG22" s="780"/>
      <c r="BH22" s="780"/>
      <c r="BI22" s="780"/>
      <c r="BJ22" s="780"/>
    </row>
    <row r="23" spans="1:62" s="760" customFormat="1" ht="24.95" customHeight="1">
      <c r="A23" s="707">
        <v>10</v>
      </c>
      <c r="B23" s="708" t="s">
        <v>76</v>
      </c>
      <c r="C23" s="338">
        <v>1</v>
      </c>
      <c r="D23" s="338">
        <v>1</v>
      </c>
      <c r="E23" s="711">
        <v>0.19170721371968591</v>
      </c>
      <c r="F23" s="784">
        <v>0.78233661969502788</v>
      </c>
      <c r="G23" s="711">
        <v>0.11458333333333333</v>
      </c>
      <c r="H23" s="711">
        <v>4.3055555555555562E-2</v>
      </c>
      <c r="I23" s="711">
        <v>0.15763888888888888</v>
      </c>
      <c r="J23" s="711">
        <v>0.34934610260857479</v>
      </c>
      <c r="K23" s="711">
        <v>0.34934610260857479</v>
      </c>
      <c r="L23" s="712">
        <v>99.978811977299884</v>
      </c>
      <c r="M23" s="712">
        <v>99.953044878681652</v>
      </c>
      <c r="N23" s="711">
        <v>4.2962255085839169</v>
      </c>
      <c r="O23" s="713">
        <v>4.2962255085839169</v>
      </c>
      <c r="P23" s="712">
        <v>99.937810328865694</v>
      </c>
      <c r="Q23" s="712">
        <v>99.934905674112358</v>
      </c>
      <c r="R23" s="493"/>
      <c r="S23" s="493">
        <v>4.1001648434189519E-2</v>
      </c>
      <c r="T23" s="493">
        <v>1.813920456929452E-2</v>
      </c>
      <c r="U23" s="338">
        <v>32</v>
      </c>
      <c r="V23" s="712">
        <v>8.3843064626057959</v>
      </c>
      <c r="W23" s="712">
        <v>32</v>
      </c>
      <c r="X23" s="712">
        <v>8.3843064626057959</v>
      </c>
      <c r="Y23" s="780"/>
      <c r="Z23" s="780"/>
      <c r="AA23" s="780"/>
      <c r="AB23" s="780"/>
      <c r="AC23" s="780"/>
      <c r="AD23" s="780"/>
      <c r="AE23" s="780"/>
      <c r="AF23" s="780"/>
      <c r="AG23" s="780"/>
      <c r="AH23" s="780"/>
      <c r="AI23" s="780"/>
      <c r="AJ23" s="780"/>
      <c r="AK23" s="780"/>
      <c r="AL23" s="780"/>
      <c r="AM23" s="780"/>
      <c r="AN23" s="780"/>
      <c r="AO23" s="780"/>
      <c r="AP23" s="780"/>
      <c r="AQ23" s="780"/>
      <c r="AR23" s="780"/>
      <c r="AS23" s="780"/>
      <c r="AT23" s="780"/>
      <c r="AU23" s="780"/>
      <c r="AV23" s="780"/>
      <c r="AW23" s="780"/>
      <c r="AX23" s="780"/>
      <c r="AY23" s="780"/>
      <c r="AZ23" s="780"/>
      <c r="BA23" s="780"/>
      <c r="BB23" s="780"/>
      <c r="BC23" s="780"/>
      <c r="BD23" s="780"/>
      <c r="BE23" s="780"/>
      <c r="BF23" s="780"/>
      <c r="BG23" s="780"/>
      <c r="BH23" s="780"/>
      <c r="BI23" s="780"/>
      <c r="BJ23" s="780"/>
    </row>
    <row r="24" spans="1:62" s="494" customFormat="1" ht="24.95" customHeight="1">
      <c r="A24" s="707">
        <v>11</v>
      </c>
      <c r="B24" s="708" t="s">
        <v>28</v>
      </c>
      <c r="C24" s="715">
        <v>6</v>
      </c>
      <c r="D24" s="715">
        <v>6</v>
      </c>
      <c r="E24" s="713">
        <v>0.53791666666666671</v>
      </c>
      <c r="F24" s="784">
        <v>5.3370833333333341</v>
      </c>
      <c r="G24" s="713">
        <v>4.5458333333333334</v>
      </c>
      <c r="H24" s="713">
        <v>2.9409722222222219</v>
      </c>
      <c r="I24" s="711">
        <v>7.4868055555555557</v>
      </c>
      <c r="J24" s="711">
        <v>8.0247222222222216</v>
      </c>
      <c r="K24" s="711">
        <v>1.3374537037037035</v>
      </c>
      <c r="L24" s="712">
        <v>99.832284821784157</v>
      </c>
      <c r="M24" s="712">
        <v>99.820234717244119</v>
      </c>
      <c r="N24" s="711">
        <v>88.266249999999999</v>
      </c>
      <c r="O24" s="713">
        <v>14.711041666666667</v>
      </c>
      <c r="P24" s="712">
        <v>99.778463804713809</v>
      </c>
      <c r="Q24" s="712">
        <v>99.777105429292931</v>
      </c>
      <c r="R24" s="493"/>
      <c r="S24" s="493">
        <v>5.3821017070347921E-2</v>
      </c>
      <c r="T24" s="493">
        <v>4.3129287951188644E-2</v>
      </c>
      <c r="U24" s="715">
        <v>360</v>
      </c>
      <c r="V24" s="712">
        <v>192.59333333333331</v>
      </c>
      <c r="W24" s="712">
        <v>60</v>
      </c>
      <c r="X24" s="712">
        <v>32.098888888888887</v>
      </c>
      <c r="Y24" s="781"/>
      <c r="Z24" s="781"/>
      <c r="AA24" s="781"/>
      <c r="AB24" s="781"/>
      <c r="AC24" s="781"/>
      <c r="AD24" s="781"/>
      <c r="AE24" s="781"/>
      <c r="AF24" s="781"/>
      <c r="AG24" s="781"/>
      <c r="AH24" s="781"/>
      <c r="AI24" s="781"/>
      <c r="AJ24" s="781"/>
      <c r="AK24" s="781"/>
      <c r="AL24" s="781"/>
      <c r="AM24" s="781"/>
      <c r="AN24" s="781"/>
      <c r="AO24" s="781"/>
      <c r="AP24" s="781"/>
      <c r="AQ24" s="781"/>
      <c r="AR24" s="781"/>
      <c r="AS24" s="781"/>
      <c r="AT24" s="781"/>
      <c r="AU24" s="781"/>
      <c r="AV24" s="781"/>
      <c r="AW24" s="781"/>
      <c r="AX24" s="781"/>
      <c r="AY24" s="781"/>
      <c r="AZ24" s="781"/>
      <c r="BA24" s="781"/>
      <c r="BB24" s="781"/>
      <c r="BC24" s="781"/>
      <c r="BD24" s="781"/>
      <c r="BE24" s="781"/>
      <c r="BF24" s="781"/>
      <c r="BG24" s="781"/>
      <c r="BH24" s="781"/>
      <c r="BI24" s="781"/>
      <c r="BJ24" s="781"/>
    </row>
    <row r="25" spans="1:62" s="494" customFormat="1" ht="24.95" customHeight="1">
      <c r="A25" s="707">
        <v>12</v>
      </c>
      <c r="B25" s="708" t="s">
        <v>45</v>
      </c>
      <c r="C25" s="715">
        <v>11</v>
      </c>
      <c r="D25" s="715">
        <v>11</v>
      </c>
      <c r="E25" s="713">
        <v>0.99750000000000005</v>
      </c>
      <c r="F25" s="784">
        <v>8.512083333333333</v>
      </c>
      <c r="G25" s="713">
        <v>6.1454166666666667</v>
      </c>
      <c r="H25" s="713">
        <v>2.1800000000000002</v>
      </c>
      <c r="I25" s="711">
        <v>8.3254166666666674</v>
      </c>
      <c r="J25" s="711">
        <v>9.3229166666666679</v>
      </c>
      <c r="K25" s="711">
        <v>0.8475378787878789</v>
      </c>
      <c r="L25" s="712">
        <v>99.898272034864775</v>
      </c>
      <c r="M25" s="712">
        <v>99.886083618442484</v>
      </c>
      <c r="N25" s="711">
        <v>114.56333333333333</v>
      </c>
      <c r="O25" s="713">
        <v>10.414848484848484</v>
      </c>
      <c r="P25" s="712">
        <v>99.843573232323237</v>
      </c>
      <c r="Q25" s="712">
        <v>99.842199265381069</v>
      </c>
      <c r="R25" s="493"/>
      <c r="S25" s="493">
        <v>5.4698802541537361E-2</v>
      </c>
      <c r="T25" s="493">
        <v>4.3884353061415027E-2</v>
      </c>
      <c r="U25" s="715">
        <v>490</v>
      </c>
      <c r="V25" s="712">
        <v>223.75000000000003</v>
      </c>
      <c r="W25" s="712">
        <v>44.545454545454547</v>
      </c>
      <c r="X25" s="712">
        <v>20.340909090909093</v>
      </c>
      <c r="Y25" s="781"/>
      <c r="Z25" s="781"/>
      <c r="AA25" s="781"/>
      <c r="AB25" s="781"/>
      <c r="AC25" s="781"/>
      <c r="AD25" s="781"/>
      <c r="AE25" s="781"/>
      <c r="AF25" s="781"/>
      <c r="AG25" s="781"/>
      <c r="AH25" s="781"/>
      <c r="AI25" s="781"/>
      <c r="AJ25" s="781"/>
      <c r="AK25" s="781"/>
      <c r="AL25" s="781"/>
      <c r="AM25" s="781"/>
      <c r="AN25" s="781"/>
      <c r="AO25" s="781"/>
      <c r="AP25" s="781"/>
      <c r="AQ25" s="781"/>
      <c r="AR25" s="781"/>
      <c r="AS25" s="781"/>
      <c r="AT25" s="781"/>
      <c r="AU25" s="781"/>
      <c r="AV25" s="781"/>
      <c r="AW25" s="781"/>
      <c r="AX25" s="781"/>
      <c r="AY25" s="781"/>
      <c r="AZ25" s="781"/>
      <c r="BA25" s="781"/>
      <c r="BB25" s="781"/>
      <c r="BC25" s="781"/>
      <c r="BD25" s="781"/>
      <c r="BE25" s="781"/>
      <c r="BF25" s="781"/>
      <c r="BG25" s="781"/>
      <c r="BH25" s="781"/>
      <c r="BI25" s="781"/>
      <c r="BJ25" s="781"/>
    </row>
    <row r="26" spans="1:62" s="494" customFormat="1" ht="24.95" customHeight="1">
      <c r="A26" s="707">
        <v>13</v>
      </c>
      <c r="B26" s="708" t="s">
        <v>46</v>
      </c>
      <c r="C26" s="715">
        <v>8</v>
      </c>
      <c r="D26" s="715">
        <v>8</v>
      </c>
      <c r="E26" s="713">
        <v>1.6120833333333333</v>
      </c>
      <c r="F26" s="784">
        <v>12.220416666666667</v>
      </c>
      <c r="G26" s="713">
        <v>3.7475000000000001</v>
      </c>
      <c r="H26" s="713">
        <v>4.652916666666667</v>
      </c>
      <c r="I26" s="711">
        <v>8.4004166666666666</v>
      </c>
      <c r="J26" s="711">
        <v>10.012499999999999</v>
      </c>
      <c r="K26" s="711">
        <v>1.2515624999999999</v>
      </c>
      <c r="L26" s="712">
        <v>99.858863967293914</v>
      </c>
      <c r="M26" s="712">
        <v>99.831779233870961</v>
      </c>
      <c r="N26" s="711">
        <v>101.83125000000003</v>
      </c>
      <c r="O26" s="713">
        <v>12.728906250000003</v>
      </c>
      <c r="P26" s="712">
        <v>99.810190972222216</v>
      </c>
      <c r="Q26" s="712">
        <v>99.807137784090912</v>
      </c>
      <c r="R26" s="493"/>
      <c r="S26" s="493">
        <v>4.8672995071697756E-2</v>
      </c>
      <c r="T26" s="493">
        <v>2.4641449780048674E-2</v>
      </c>
      <c r="U26" s="715">
        <v>261</v>
      </c>
      <c r="V26" s="712">
        <v>240.29999999999998</v>
      </c>
      <c r="W26" s="712">
        <v>32.625</v>
      </c>
      <c r="X26" s="712">
        <v>30.037499999999998</v>
      </c>
      <c r="Y26" s="781"/>
      <c r="Z26" s="781"/>
      <c r="AA26" s="781"/>
      <c r="AB26" s="781"/>
      <c r="AC26" s="781"/>
      <c r="AD26" s="781"/>
      <c r="AE26" s="781"/>
      <c r="AF26" s="781"/>
      <c r="AG26" s="781"/>
      <c r="AH26" s="781"/>
      <c r="AI26" s="781"/>
      <c r="AJ26" s="781"/>
      <c r="AK26" s="781"/>
      <c r="AL26" s="781"/>
      <c r="AM26" s="781"/>
      <c r="AN26" s="781"/>
      <c r="AO26" s="781"/>
      <c r="AP26" s="781"/>
      <c r="AQ26" s="781"/>
      <c r="AR26" s="781"/>
      <c r="AS26" s="781"/>
      <c r="AT26" s="781"/>
      <c r="AU26" s="781"/>
      <c r="AV26" s="781"/>
      <c r="AW26" s="781"/>
      <c r="AX26" s="781"/>
      <c r="AY26" s="781"/>
      <c r="AZ26" s="781"/>
      <c r="BA26" s="781"/>
      <c r="BB26" s="781"/>
      <c r="BC26" s="781"/>
      <c r="BD26" s="781"/>
      <c r="BE26" s="781"/>
      <c r="BF26" s="781"/>
      <c r="BG26" s="781"/>
      <c r="BH26" s="781"/>
      <c r="BI26" s="781"/>
      <c r="BJ26" s="781"/>
    </row>
    <row r="27" spans="1:62" s="494" customFormat="1" ht="24.95" customHeight="1">
      <c r="A27" s="707">
        <v>14</v>
      </c>
      <c r="B27" s="708" t="s">
        <v>77</v>
      </c>
      <c r="C27" s="715">
        <v>4</v>
      </c>
      <c r="D27" s="715">
        <v>4</v>
      </c>
      <c r="E27" s="713">
        <v>0.21180555555555555</v>
      </c>
      <c r="F27" s="784">
        <v>4.5243055555555554</v>
      </c>
      <c r="G27" s="713">
        <v>0.63263888888888886</v>
      </c>
      <c r="H27" s="713">
        <v>0.15763888888888888</v>
      </c>
      <c r="I27" s="711">
        <v>0.79027777777777775</v>
      </c>
      <c r="J27" s="711">
        <v>1.0020833333333332</v>
      </c>
      <c r="K27" s="711">
        <v>0.2505208333333333</v>
      </c>
      <c r="L27" s="712">
        <v>99.973444967144573</v>
      </c>
      <c r="M27" s="712">
        <v>99.966327844982089</v>
      </c>
      <c r="N27" s="711">
        <v>55.669444444444444</v>
      </c>
      <c r="O27" s="713">
        <v>13.917361111111111</v>
      </c>
      <c r="P27" s="712">
        <v>99.789933186026929</v>
      </c>
      <c r="Q27" s="712">
        <v>99.789130892255884</v>
      </c>
      <c r="R27" s="493"/>
      <c r="S27" s="493">
        <v>0.18351178111764455</v>
      </c>
      <c r="T27" s="493">
        <v>0.17719695272620584</v>
      </c>
      <c r="U27" s="715">
        <v>153</v>
      </c>
      <c r="V27" s="712">
        <v>24.049999999999997</v>
      </c>
      <c r="W27" s="712">
        <v>38.25</v>
      </c>
      <c r="X27" s="712">
        <v>6.0124999999999993</v>
      </c>
      <c r="Y27" s="781"/>
      <c r="Z27" s="781"/>
      <c r="AA27" s="781"/>
      <c r="AB27" s="781"/>
      <c r="AC27" s="781"/>
      <c r="AD27" s="781"/>
      <c r="AE27" s="781"/>
      <c r="AF27" s="781"/>
      <c r="AG27" s="781"/>
      <c r="AH27" s="781"/>
      <c r="AI27" s="781"/>
      <c r="AJ27" s="781"/>
      <c r="AK27" s="781"/>
      <c r="AL27" s="781"/>
      <c r="AM27" s="781"/>
      <c r="AN27" s="781"/>
      <c r="AO27" s="781"/>
      <c r="AP27" s="781"/>
      <c r="AQ27" s="781"/>
      <c r="AR27" s="781"/>
      <c r="AS27" s="781"/>
      <c r="AT27" s="781"/>
      <c r="AU27" s="781"/>
      <c r="AV27" s="781"/>
      <c r="AW27" s="781"/>
      <c r="AX27" s="781"/>
      <c r="AY27" s="781"/>
      <c r="AZ27" s="781"/>
      <c r="BA27" s="781"/>
      <c r="BB27" s="781"/>
      <c r="BC27" s="781"/>
      <c r="BD27" s="781"/>
      <c r="BE27" s="781"/>
      <c r="BF27" s="781"/>
      <c r="BG27" s="781"/>
      <c r="BH27" s="781"/>
      <c r="BI27" s="781"/>
      <c r="BJ27" s="781"/>
    </row>
    <row r="28" spans="1:62" s="494" customFormat="1" ht="24.95" customHeight="1">
      <c r="A28" s="707">
        <v>15</v>
      </c>
      <c r="B28" s="708" t="s">
        <v>47</v>
      </c>
      <c r="C28" s="715">
        <v>27</v>
      </c>
      <c r="D28" s="715">
        <v>22</v>
      </c>
      <c r="E28" s="713">
        <v>6.708333333333333</v>
      </c>
      <c r="F28" s="784">
        <v>166.60972222222222</v>
      </c>
      <c r="G28" s="713">
        <v>5.125</v>
      </c>
      <c r="H28" s="713">
        <v>17.791666666666668</v>
      </c>
      <c r="I28" s="711">
        <v>22.916666666666668</v>
      </c>
      <c r="J28" s="711">
        <v>29.625</v>
      </c>
      <c r="K28" s="711">
        <v>1.0972222222222223</v>
      </c>
      <c r="L28" s="712">
        <v>99.885918624717903</v>
      </c>
      <c r="M28" s="712">
        <v>99.8525238948626</v>
      </c>
      <c r="N28" s="711">
        <v>749.44027777777774</v>
      </c>
      <c r="O28" s="713">
        <v>27.757047325102878</v>
      </c>
      <c r="P28" s="712">
        <v>99.583203173712434</v>
      </c>
      <c r="Q28" s="712">
        <v>99.579438676892366</v>
      </c>
      <c r="R28" s="493"/>
      <c r="S28" s="493">
        <v>0.30271545100546859</v>
      </c>
      <c r="T28" s="493">
        <v>0.27308521797023388</v>
      </c>
      <c r="U28" s="715">
        <v>727</v>
      </c>
      <c r="V28" s="712">
        <v>711</v>
      </c>
      <c r="W28" s="712">
        <v>26.925925925925927</v>
      </c>
      <c r="X28" s="712">
        <v>26.333333333333332</v>
      </c>
      <c r="Y28" s="781"/>
      <c r="Z28" s="781"/>
      <c r="AA28" s="781"/>
      <c r="AB28" s="781"/>
      <c r="AC28" s="781"/>
      <c r="AD28" s="781"/>
      <c r="AE28" s="781"/>
      <c r="AF28" s="781"/>
      <c r="AG28" s="781"/>
      <c r="AH28" s="781"/>
      <c r="AI28" s="781"/>
      <c r="AJ28" s="781"/>
      <c r="AK28" s="781"/>
      <c r="AL28" s="781"/>
      <c r="AM28" s="781"/>
      <c r="AN28" s="781"/>
      <c r="AO28" s="781"/>
      <c r="AP28" s="781"/>
      <c r="AQ28" s="781"/>
      <c r="AR28" s="781"/>
      <c r="AS28" s="781"/>
      <c r="AT28" s="781"/>
      <c r="AU28" s="781"/>
      <c r="AV28" s="781"/>
      <c r="AW28" s="781"/>
      <c r="AX28" s="781"/>
      <c r="AY28" s="781"/>
      <c r="AZ28" s="781"/>
      <c r="BA28" s="781"/>
      <c r="BB28" s="781"/>
      <c r="BC28" s="781"/>
      <c r="BD28" s="781"/>
      <c r="BE28" s="781"/>
      <c r="BF28" s="781"/>
      <c r="BG28" s="781"/>
      <c r="BH28" s="781"/>
      <c r="BI28" s="781"/>
      <c r="BJ28" s="781"/>
    </row>
    <row r="29" spans="1:62" s="494" customFormat="1" ht="24.95" customHeight="1">
      <c r="A29" s="707">
        <v>16</v>
      </c>
      <c r="B29" s="708" t="s">
        <v>48</v>
      </c>
      <c r="C29" s="715">
        <v>11</v>
      </c>
      <c r="D29" s="715">
        <v>11</v>
      </c>
      <c r="E29" s="713">
        <v>3.4027777777777781</v>
      </c>
      <c r="F29" s="784">
        <v>89.587500000000006</v>
      </c>
      <c r="G29" s="713">
        <v>9.6958333333333329</v>
      </c>
      <c r="H29" s="713">
        <v>5.3062499999999995</v>
      </c>
      <c r="I29" s="711">
        <v>15.002083333333331</v>
      </c>
      <c r="J29" s="711">
        <v>18.40486111111111</v>
      </c>
      <c r="K29" s="711">
        <v>1.6731691919191918</v>
      </c>
      <c r="L29" s="712">
        <v>99.816690086347336</v>
      </c>
      <c r="M29" s="712">
        <v>99.775111667752796</v>
      </c>
      <c r="N29" s="711">
        <v>230.82958333333335</v>
      </c>
      <c r="O29" s="713">
        <v>20.984507575757576</v>
      </c>
      <c r="P29" s="712">
        <v>99.686739937251289</v>
      </c>
      <c r="Q29" s="712">
        <v>99.68205291551881</v>
      </c>
      <c r="R29" s="493"/>
      <c r="S29" s="493">
        <v>0.12995014909604663</v>
      </c>
      <c r="T29" s="493">
        <v>9.3058752233986297E-2</v>
      </c>
      <c r="U29" s="715">
        <v>556</v>
      </c>
      <c r="V29" s="712">
        <v>441.71666666666664</v>
      </c>
      <c r="W29" s="712">
        <v>50.545454545454547</v>
      </c>
      <c r="X29" s="712">
        <v>40.156060606060606</v>
      </c>
      <c r="Y29" s="781"/>
      <c r="Z29" s="781"/>
      <c r="AA29" s="781"/>
      <c r="AB29" s="781"/>
      <c r="AC29" s="781"/>
      <c r="AD29" s="781"/>
      <c r="AE29" s="781"/>
      <c r="AF29" s="781"/>
      <c r="AG29" s="781"/>
      <c r="AH29" s="781"/>
      <c r="AI29" s="781"/>
      <c r="AJ29" s="781"/>
      <c r="AK29" s="781"/>
      <c r="AL29" s="781"/>
      <c r="AM29" s="781"/>
      <c r="AN29" s="781"/>
      <c r="AO29" s="781"/>
      <c r="AP29" s="781"/>
      <c r="AQ29" s="781"/>
      <c r="AR29" s="781"/>
      <c r="AS29" s="781"/>
      <c r="AT29" s="781"/>
      <c r="AU29" s="781"/>
      <c r="AV29" s="781"/>
      <c r="AW29" s="781"/>
      <c r="AX29" s="781"/>
      <c r="AY29" s="781"/>
      <c r="AZ29" s="781"/>
      <c r="BA29" s="781"/>
      <c r="BB29" s="781"/>
      <c r="BC29" s="781"/>
      <c r="BD29" s="781"/>
      <c r="BE29" s="781"/>
      <c r="BF29" s="781"/>
      <c r="BG29" s="781"/>
      <c r="BH29" s="781"/>
      <c r="BI29" s="781"/>
      <c r="BJ29" s="781"/>
    </row>
    <row r="30" spans="1:62" s="494" customFormat="1" ht="24.95" customHeight="1">
      <c r="A30" s="707">
        <v>17</v>
      </c>
      <c r="B30" s="708" t="s">
        <v>63</v>
      </c>
      <c r="C30" s="715">
        <v>13</v>
      </c>
      <c r="D30" s="715">
        <v>13</v>
      </c>
      <c r="E30" s="713">
        <v>2.2902777777777779</v>
      </c>
      <c r="F30" s="784">
        <v>31.495138888888892</v>
      </c>
      <c r="G30" s="713">
        <v>8.3472222222222232</v>
      </c>
      <c r="H30" s="713">
        <v>2.7881944444444446</v>
      </c>
      <c r="I30" s="711">
        <v>11.135416666666668</v>
      </c>
      <c r="J30" s="711">
        <v>13.425694444444446</v>
      </c>
      <c r="K30" s="711">
        <v>1.0327457264957265</v>
      </c>
      <c r="L30" s="712">
        <v>99.884869554728425</v>
      </c>
      <c r="M30" s="712">
        <v>99.861190090524772</v>
      </c>
      <c r="N30" s="711">
        <v>525.14583333333326</v>
      </c>
      <c r="O30" s="713">
        <v>40.395833333333329</v>
      </c>
      <c r="P30" s="712">
        <v>99.390611240611236</v>
      </c>
      <c r="Q30" s="712">
        <v>99.387941919191931</v>
      </c>
      <c r="R30" s="493"/>
      <c r="S30" s="493">
        <v>0.49425831411718946</v>
      </c>
      <c r="T30" s="493">
        <v>0.47324817133284114</v>
      </c>
      <c r="U30" s="715">
        <v>287</v>
      </c>
      <c r="V30" s="712">
        <v>322.2166666666667</v>
      </c>
      <c r="W30" s="712">
        <v>22.076923076923077</v>
      </c>
      <c r="X30" s="712">
        <v>24.785897435897439</v>
      </c>
      <c r="Y30" s="781"/>
      <c r="Z30" s="781"/>
      <c r="AA30" s="781"/>
      <c r="AB30" s="781"/>
      <c r="AC30" s="781"/>
      <c r="AD30" s="781"/>
      <c r="AE30" s="781"/>
      <c r="AF30" s="781"/>
      <c r="AG30" s="781"/>
      <c r="AH30" s="781"/>
      <c r="AI30" s="781"/>
      <c r="AJ30" s="781"/>
      <c r="AK30" s="781"/>
      <c r="AL30" s="781"/>
      <c r="AM30" s="781"/>
      <c r="AN30" s="781"/>
      <c r="AO30" s="781"/>
      <c r="AP30" s="781"/>
      <c r="AQ30" s="781"/>
      <c r="AR30" s="781"/>
      <c r="AS30" s="781"/>
      <c r="AT30" s="781"/>
      <c r="AU30" s="781"/>
      <c r="AV30" s="781"/>
      <c r="AW30" s="781"/>
      <c r="AX30" s="781"/>
      <c r="AY30" s="781"/>
      <c r="AZ30" s="781"/>
      <c r="BA30" s="781"/>
      <c r="BB30" s="781"/>
      <c r="BC30" s="781"/>
      <c r="BD30" s="781"/>
      <c r="BE30" s="781"/>
      <c r="BF30" s="781"/>
      <c r="BG30" s="781"/>
      <c r="BH30" s="781"/>
      <c r="BI30" s="781"/>
      <c r="BJ30" s="781"/>
    </row>
    <row r="31" spans="1:62" s="494" customFormat="1" ht="24.95" customHeight="1">
      <c r="A31" s="707">
        <v>18</v>
      </c>
      <c r="B31" s="708" t="s">
        <v>50</v>
      </c>
      <c r="C31" s="715">
        <v>53</v>
      </c>
      <c r="D31" s="715">
        <v>53</v>
      </c>
      <c r="E31" s="713">
        <v>13.538194444444438</v>
      </c>
      <c r="F31" s="784">
        <v>72.59652777777778</v>
      </c>
      <c r="G31" s="713">
        <v>63.587500000000013</v>
      </c>
      <c r="H31" s="713">
        <v>106.96875</v>
      </c>
      <c r="I31" s="711">
        <v>170.55625000000001</v>
      </c>
      <c r="J31" s="711">
        <v>184.09444444444443</v>
      </c>
      <c r="K31" s="711">
        <v>3.4734800838574422</v>
      </c>
      <c r="L31" s="712">
        <v>99.567467412254004</v>
      </c>
      <c r="M31" s="712">
        <v>99.533134397330983</v>
      </c>
      <c r="N31" s="711">
        <v>1211.2715277777779</v>
      </c>
      <c r="O31" s="713">
        <v>22.854179769392037</v>
      </c>
      <c r="P31" s="712">
        <v>99.657594816085378</v>
      </c>
      <c r="Q31" s="712">
        <v>99.653724548948617</v>
      </c>
      <c r="R31" s="493" t="s">
        <v>50</v>
      </c>
      <c r="S31" s="493">
        <v>-9.0127403831374409E-2</v>
      </c>
      <c r="T31" s="493">
        <v>-0.12059015161763398</v>
      </c>
      <c r="U31" s="715">
        <v>147</v>
      </c>
      <c r="V31" s="712">
        <v>4418.2666666666664</v>
      </c>
      <c r="W31" s="712">
        <v>2.7735849056603774</v>
      </c>
      <c r="X31" s="712">
        <v>83.363522012578613</v>
      </c>
      <c r="Y31" s="781"/>
      <c r="Z31" s="781"/>
      <c r="AA31" s="781"/>
      <c r="AB31" s="781"/>
      <c r="AC31" s="781"/>
      <c r="AD31" s="781"/>
      <c r="AE31" s="781"/>
      <c r="AF31" s="781"/>
      <c r="AG31" s="781"/>
      <c r="AH31" s="781"/>
      <c r="AI31" s="781"/>
      <c r="AJ31" s="781"/>
      <c r="AK31" s="781"/>
      <c r="AL31" s="781"/>
      <c r="AM31" s="781"/>
      <c r="AN31" s="781"/>
      <c r="AO31" s="781"/>
      <c r="AP31" s="781"/>
      <c r="AQ31" s="781"/>
      <c r="AR31" s="781"/>
      <c r="AS31" s="781"/>
      <c r="AT31" s="781"/>
      <c r="AU31" s="781"/>
      <c r="AV31" s="781"/>
      <c r="AW31" s="781"/>
      <c r="AX31" s="781"/>
      <c r="AY31" s="781"/>
      <c r="AZ31" s="781"/>
      <c r="BA31" s="781"/>
      <c r="BB31" s="781"/>
      <c r="BC31" s="781"/>
      <c r="BD31" s="781"/>
      <c r="BE31" s="781"/>
      <c r="BF31" s="781"/>
      <c r="BG31" s="781"/>
      <c r="BH31" s="781"/>
      <c r="BI31" s="781"/>
      <c r="BJ31" s="781"/>
    </row>
    <row r="32" spans="1:62" s="494" customFormat="1" ht="24.95" customHeight="1">
      <c r="A32" s="707">
        <v>19</v>
      </c>
      <c r="B32" s="708" t="s">
        <v>51</v>
      </c>
      <c r="C32" s="715">
        <v>62</v>
      </c>
      <c r="D32" s="715">
        <v>62</v>
      </c>
      <c r="E32" s="713">
        <v>7.072916666666667</v>
      </c>
      <c r="F32" s="784">
        <v>102.98319444444444</v>
      </c>
      <c r="G32" s="713">
        <v>59.090972222222227</v>
      </c>
      <c r="H32" s="713">
        <v>15.946527777777783</v>
      </c>
      <c r="I32" s="711">
        <v>75.037500000000009</v>
      </c>
      <c r="J32" s="711">
        <v>82.11041666666668</v>
      </c>
      <c r="K32" s="711">
        <v>1.3243615591397853</v>
      </c>
      <c r="L32" s="712">
        <v>99.837327653485957</v>
      </c>
      <c r="M32" s="712">
        <v>99.821994414094107</v>
      </c>
      <c r="N32" s="711">
        <v>949.66791666666654</v>
      </c>
      <c r="O32" s="713">
        <v>15.317224462365589</v>
      </c>
      <c r="P32" s="712">
        <v>99.769649315738022</v>
      </c>
      <c r="Q32" s="712">
        <v>99.76792084147931</v>
      </c>
      <c r="R32" s="493" t="s">
        <v>51</v>
      </c>
      <c r="S32" s="493">
        <v>6.7678337747935302E-2</v>
      </c>
      <c r="T32" s="493">
        <v>5.4073572614797172E-2</v>
      </c>
      <c r="U32" s="715">
        <v>177</v>
      </c>
      <c r="V32" s="712">
        <v>1970.6500000000003</v>
      </c>
      <c r="W32" s="712">
        <v>2.8548387096774195</v>
      </c>
      <c r="X32" s="712">
        <v>31.784677419354843</v>
      </c>
      <c r="Y32" s="781"/>
      <c r="Z32" s="781"/>
      <c r="AA32" s="781"/>
      <c r="AB32" s="781"/>
      <c r="AC32" s="781"/>
      <c r="AD32" s="781"/>
      <c r="AE32" s="781"/>
      <c r="AF32" s="781"/>
      <c r="AG32" s="781"/>
      <c r="AH32" s="781"/>
      <c r="AI32" s="781"/>
      <c r="AJ32" s="781"/>
      <c r="AK32" s="781"/>
      <c r="AL32" s="781"/>
      <c r="AM32" s="781"/>
      <c r="AN32" s="781"/>
      <c r="AO32" s="781"/>
      <c r="AP32" s="781"/>
      <c r="AQ32" s="781"/>
      <c r="AR32" s="781"/>
      <c r="AS32" s="781"/>
      <c r="AT32" s="781"/>
      <c r="AU32" s="781"/>
      <c r="AV32" s="781"/>
      <c r="AW32" s="781"/>
      <c r="AX32" s="781"/>
      <c r="AY32" s="781"/>
      <c r="AZ32" s="781"/>
      <c r="BA32" s="781"/>
      <c r="BB32" s="781"/>
      <c r="BC32" s="781"/>
      <c r="BD32" s="781"/>
      <c r="BE32" s="781"/>
      <c r="BF32" s="781"/>
      <c r="BG32" s="781"/>
      <c r="BH32" s="781"/>
      <c r="BI32" s="781"/>
      <c r="BJ32" s="781"/>
    </row>
    <row r="33" spans="1:62" s="494" customFormat="1" ht="24.95" customHeight="1">
      <c r="A33" s="707">
        <v>20</v>
      </c>
      <c r="B33" s="708" t="s">
        <v>52</v>
      </c>
      <c r="C33" s="715">
        <v>48</v>
      </c>
      <c r="D33" s="715">
        <v>48</v>
      </c>
      <c r="E33" s="713">
        <v>2.0118055555555561</v>
      </c>
      <c r="F33" s="784">
        <v>53.969444444444449</v>
      </c>
      <c r="G33" s="713">
        <v>23.699305555555554</v>
      </c>
      <c r="H33" s="713">
        <v>18.351388888888888</v>
      </c>
      <c r="I33" s="711">
        <v>42.050694444444446</v>
      </c>
      <c r="J33" s="711">
        <v>44.0625</v>
      </c>
      <c r="K33" s="711">
        <v>0.91796875</v>
      </c>
      <c r="L33" s="712">
        <v>99.882250519588823</v>
      </c>
      <c r="M33" s="712">
        <v>99.876617103494624</v>
      </c>
      <c r="N33" s="711">
        <v>630.32916666666665</v>
      </c>
      <c r="O33" s="713">
        <v>13.131857638888889</v>
      </c>
      <c r="P33" s="712">
        <v>99.80166749964927</v>
      </c>
      <c r="Q33" s="712">
        <v>99.801032460016827</v>
      </c>
      <c r="R33" s="493" t="s">
        <v>52</v>
      </c>
      <c r="S33" s="493">
        <v>8.0583019939552969E-2</v>
      </c>
      <c r="T33" s="493">
        <v>7.5584643477796476E-2</v>
      </c>
      <c r="U33" s="715">
        <v>144</v>
      </c>
      <c r="V33" s="712">
        <v>1057.5</v>
      </c>
      <c r="W33" s="712">
        <v>3</v>
      </c>
      <c r="X33" s="712">
        <v>22.03125</v>
      </c>
      <c r="Y33" s="781"/>
      <c r="Z33" s="781"/>
      <c r="AA33" s="781"/>
      <c r="AB33" s="781"/>
      <c r="AC33" s="781"/>
      <c r="AD33" s="781"/>
      <c r="AE33" s="781"/>
      <c r="AF33" s="781"/>
      <c r="AG33" s="781"/>
      <c r="AH33" s="781"/>
      <c r="AI33" s="781"/>
      <c r="AJ33" s="781"/>
      <c r="AK33" s="781"/>
      <c r="AL33" s="781"/>
      <c r="AM33" s="781"/>
      <c r="AN33" s="781"/>
      <c r="AO33" s="781"/>
      <c r="AP33" s="781"/>
      <c r="AQ33" s="781"/>
      <c r="AR33" s="781"/>
      <c r="AS33" s="781"/>
      <c r="AT33" s="781"/>
      <c r="AU33" s="781"/>
      <c r="AV33" s="781"/>
      <c r="AW33" s="781"/>
      <c r="AX33" s="781"/>
      <c r="AY33" s="781"/>
      <c r="AZ33" s="781"/>
      <c r="BA33" s="781"/>
      <c r="BB33" s="781"/>
      <c r="BC33" s="781"/>
      <c r="BD33" s="781"/>
      <c r="BE33" s="781"/>
      <c r="BF33" s="781"/>
      <c r="BG33" s="781"/>
      <c r="BH33" s="781"/>
      <c r="BI33" s="781"/>
      <c r="BJ33" s="781"/>
    </row>
    <row r="34" spans="1:62" s="494" customFormat="1" ht="28.5" customHeight="1">
      <c r="A34" s="707">
        <v>21</v>
      </c>
      <c r="B34" s="708" t="s">
        <v>53</v>
      </c>
      <c r="C34" s="715">
        <v>36</v>
      </c>
      <c r="D34" s="715">
        <v>36</v>
      </c>
      <c r="E34" s="713">
        <v>3.5416666666666661</v>
      </c>
      <c r="F34" s="784">
        <v>49.028472222222213</v>
      </c>
      <c r="G34" s="713">
        <v>21.305555555555561</v>
      </c>
      <c r="H34" s="713">
        <v>35.826388888888886</v>
      </c>
      <c r="I34" s="711">
        <v>57.131944444444443</v>
      </c>
      <c r="J34" s="711">
        <v>60.673611111111107</v>
      </c>
      <c r="K34" s="711">
        <v>1.685378086419753</v>
      </c>
      <c r="L34" s="712">
        <v>99.786693755807775</v>
      </c>
      <c r="M34" s="712">
        <v>99.773470687309171</v>
      </c>
      <c r="N34" s="711">
        <v>460.8486111111111</v>
      </c>
      <c r="O34" s="713">
        <v>12.801350308641975</v>
      </c>
      <c r="P34" s="712">
        <v>99.8075307472877</v>
      </c>
      <c r="Q34" s="712">
        <v>99.806040146838754</v>
      </c>
      <c r="R34" s="493" t="s">
        <v>53</v>
      </c>
      <c r="S34" s="493">
        <v>-2.0836991479924905E-2</v>
      </c>
      <c r="T34" s="493">
        <v>-3.25694595295829E-2</v>
      </c>
      <c r="U34" s="715">
        <v>64</v>
      </c>
      <c r="V34" s="712">
        <v>1456.1666666666665</v>
      </c>
      <c r="W34" s="712">
        <v>1.7777777777777777</v>
      </c>
      <c r="X34" s="712">
        <v>40.449074074074069</v>
      </c>
      <c r="Y34" s="781"/>
      <c r="Z34" s="781"/>
      <c r="AA34" s="781"/>
      <c r="AB34" s="781"/>
      <c r="AC34" s="781"/>
      <c r="AD34" s="781"/>
      <c r="AE34" s="781"/>
      <c r="AF34" s="781"/>
      <c r="AG34" s="781"/>
      <c r="AH34" s="781"/>
      <c r="AI34" s="781"/>
      <c r="AJ34" s="781"/>
      <c r="AK34" s="781"/>
      <c r="AL34" s="781"/>
      <c r="AM34" s="781"/>
      <c r="AN34" s="781"/>
      <c r="AO34" s="781"/>
      <c r="AP34" s="781"/>
      <c r="AQ34" s="781"/>
      <c r="AR34" s="781"/>
      <c r="AS34" s="781"/>
      <c r="AT34" s="781"/>
      <c r="AU34" s="781"/>
      <c r="AV34" s="781"/>
      <c r="AW34" s="781"/>
      <c r="AX34" s="781"/>
      <c r="AY34" s="781"/>
      <c r="AZ34" s="781"/>
      <c r="BA34" s="781"/>
      <c r="BB34" s="781"/>
      <c r="BC34" s="781"/>
      <c r="BD34" s="781"/>
      <c r="BE34" s="781"/>
      <c r="BF34" s="781"/>
      <c r="BG34" s="781"/>
      <c r="BH34" s="781"/>
      <c r="BI34" s="781"/>
      <c r="BJ34" s="781"/>
    </row>
    <row r="35" spans="1:62" s="779" customFormat="1" ht="28.5" hidden="1" customHeight="1">
      <c r="A35" s="775">
        <v>22</v>
      </c>
      <c r="B35" s="776" t="s">
        <v>188</v>
      </c>
      <c r="C35" s="732"/>
      <c r="D35" s="732"/>
      <c r="E35" s="777"/>
      <c r="F35" s="784">
        <v>23.395972222222227</v>
      </c>
      <c r="G35" s="777"/>
      <c r="H35" s="777"/>
      <c r="I35" s="717">
        <v>0</v>
      </c>
      <c r="J35" s="717">
        <v>0</v>
      </c>
      <c r="K35" s="717" t="e">
        <v>#DIV/0!</v>
      </c>
      <c r="L35" s="712" t="e">
        <v>#DIV/0!</v>
      </c>
      <c r="M35" s="712" t="e">
        <v>#DIV/0!</v>
      </c>
      <c r="N35" s="711">
        <v>238.96333333333331</v>
      </c>
      <c r="O35" s="713" t="e">
        <v>#DIV/0!</v>
      </c>
      <c r="P35" s="712" t="e">
        <v>#DIV/0!</v>
      </c>
      <c r="Q35" s="712" t="e">
        <v>#DIV/0!</v>
      </c>
      <c r="R35" s="778"/>
      <c r="S35" s="778"/>
      <c r="T35" s="778"/>
      <c r="U35" s="732"/>
      <c r="V35" s="712">
        <v>0</v>
      </c>
      <c r="W35" s="712" t="e">
        <v>#DIV/0!</v>
      </c>
      <c r="X35" s="712" t="e">
        <v>#DIV/0!</v>
      </c>
      <c r="Y35" s="782"/>
      <c r="Z35" s="782"/>
      <c r="AA35" s="782"/>
      <c r="AB35" s="782"/>
      <c r="AC35" s="782"/>
      <c r="AD35" s="782"/>
      <c r="AE35" s="814">
        <v>188</v>
      </c>
      <c r="AF35" s="782"/>
      <c r="AG35" s="782"/>
      <c r="AH35" s="782"/>
      <c r="AI35" s="782"/>
      <c r="AJ35" s="782"/>
      <c r="AK35" s="782"/>
      <c r="AL35" s="782"/>
      <c r="AM35" s="782"/>
      <c r="AN35" s="782"/>
      <c r="AO35" s="782"/>
      <c r="AP35" s="782"/>
      <c r="AQ35" s="782"/>
      <c r="AR35" s="782"/>
      <c r="AS35" s="782"/>
      <c r="AT35" s="782"/>
      <c r="AU35" s="782"/>
      <c r="AV35" s="782"/>
      <c r="AW35" s="782"/>
      <c r="AX35" s="782"/>
      <c r="AY35" s="782"/>
      <c r="AZ35" s="782"/>
      <c r="BA35" s="782"/>
      <c r="BB35" s="782"/>
      <c r="BC35" s="782"/>
      <c r="BD35" s="782"/>
      <c r="BE35" s="782"/>
      <c r="BF35" s="782"/>
      <c r="BG35" s="782"/>
      <c r="BH35" s="782"/>
      <c r="BI35" s="782"/>
      <c r="BJ35" s="782"/>
    </row>
    <row r="36" spans="1:62" s="779" customFormat="1" ht="28.5" hidden="1" customHeight="1">
      <c r="A36" s="775">
        <v>23</v>
      </c>
      <c r="B36" s="776" t="s">
        <v>54</v>
      </c>
      <c r="C36" s="732"/>
      <c r="D36" s="732"/>
      <c r="E36" s="777"/>
      <c r="F36" s="784">
        <v>8.2346527777777769</v>
      </c>
      <c r="G36" s="777"/>
      <c r="H36" s="777"/>
      <c r="I36" s="717">
        <v>0</v>
      </c>
      <c r="J36" s="717">
        <v>0</v>
      </c>
      <c r="K36" s="717" t="e">
        <v>#DIV/0!</v>
      </c>
      <c r="L36" s="712" t="e">
        <v>#DIV/0!</v>
      </c>
      <c r="M36" s="712" t="e">
        <v>#DIV/0!</v>
      </c>
      <c r="N36" s="711">
        <v>521.16451388888891</v>
      </c>
      <c r="O36" s="713" t="e">
        <v>#DIV/0!</v>
      </c>
      <c r="P36" s="712" t="e">
        <v>#DIV/0!</v>
      </c>
      <c r="Q36" s="712" t="e">
        <v>#DIV/0!</v>
      </c>
      <c r="R36" s="778"/>
      <c r="S36" s="778"/>
      <c r="T36" s="778"/>
      <c r="U36" s="786"/>
      <c r="V36" s="712">
        <v>0</v>
      </c>
      <c r="W36" s="712" t="e">
        <v>#DIV/0!</v>
      </c>
      <c r="X36" s="712" t="e">
        <v>#DIV/0!</v>
      </c>
      <c r="Y36" s="782"/>
      <c r="Z36" s="782"/>
      <c r="AA36" s="782"/>
      <c r="AB36" s="782"/>
      <c r="AC36" s="782"/>
      <c r="AD36" s="782"/>
      <c r="AE36" s="782"/>
      <c r="AF36" s="782"/>
      <c r="AG36" s="782"/>
      <c r="AH36" s="782"/>
      <c r="AI36" s="782"/>
      <c r="AJ36" s="782"/>
      <c r="AK36" s="782"/>
      <c r="AL36" s="782"/>
      <c r="AM36" s="782"/>
      <c r="AN36" s="782"/>
      <c r="AO36" s="782"/>
      <c r="AP36" s="782"/>
      <c r="AQ36" s="782"/>
      <c r="AR36" s="782"/>
      <c r="AS36" s="782"/>
      <c r="AT36" s="782"/>
      <c r="AU36" s="782"/>
      <c r="AV36" s="782"/>
      <c r="AW36" s="782"/>
      <c r="AX36" s="782"/>
      <c r="AY36" s="782"/>
      <c r="AZ36" s="782"/>
      <c r="BA36" s="782"/>
      <c r="BB36" s="782"/>
      <c r="BC36" s="782"/>
      <c r="BD36" s="782"/>
      <c r="BE36" s="782"/>
      <c r="BF36" s="782"/>
      <c r="BG36" s="782"/>
      <c r="BH36" s="782"/>
      <c r="BI36" s="782"/>
      <c r="BJ36" s="782"/>
    </row>
    <row r="37" spans="1:62" s="494" customFormat="1" ht="24.95" customHeight="1">
      <c r="A37" s="707">
        <v>22</v>
      </c>
      <c r="B37" s="708" t="s">
        <v>54</v>
      </c>
      <c r="C37" s="715">
        <v>33</v>
      </c>
      <c r="D37" s="715">
        <v>33</v>
      </c>
      <c r="E37" s="713">
        <v>1.175486111111111</v>
      </c>
      <c r="F37" s="784">
        <v>27.956944444444449</v>
      </c>
      <c r="G37" s="713">
        <v>18.673611111111107</v>
      </c>
      <c r="H37" s="713">
        <v>5.3868055555555552</v>
      </c>
      <c r="I37" s="711">
        <v>24.060416666666661</v>
      </c>
      <c r="J37" s="711">
        <v>25.235902777777774</v>
      </c>
      <c r="K37" s="711">
        <v>0.76472432659932643</v>
      </c>
      <c r="L37" s="712">
        <v>99.902002212990126</v>
      </c>
      <c r="M37" s="712">
        <v>99.897214472231269</v>
      </c>
      <c r="N37" s="711">
        <v>341.24791666666664</v>
      </c>
      <c r="O37" s="713">
        <v>10.340845959595958</v>
      </c>
      <c r="P37" s="712">
        <v>99.843860224721965</v>
      </c>
      <c r="Q37" s="712">
        <v>99.843320515763693</v>
      </c>
      <c r="R37" s="493" t="s">
        <v>54</v>
      </c>
      <c r="S37" s="493">
        <v>5.8141988268161526E-2</v>
      </c>
      <c r="T37" s="493">
        <v>5.3893956467575777E-2</v>
      </c>
      <c r="U37" s="715">
        <v>219</v>
      </c>
      <c r="V37" s="712">
        <v>605.66166666666663</v>
      </c>
      <c r="W37" s="712">
        <v>6.6363636363636367</v>
      </c>
      <c r="X37" s="712">
        <v>18.353383838383838</v>
      </c>
      <c r="Y37" s="781"/>
      <c r="Z37" s="781"/>
      <c r="AA37" s="781"/>
      <c r="AB37" s="781"/>
      <c r="AC37" s="781"/>
      <c r="AD37" s="781"/>
      <c r="AE37" s="781"/>
      <c r="AF37" s="781"/>
      <c r="AG37" s="781"/>
      <c r="AH37" s="781"/>
      <c r="AI37" s="781"/>
      <c r="AJ37" s="781"/>
      <c r="AK37" s="781"/>
      <c r="AL37" s="781"/>
      <c r="AM37" s="781"/>
      <c r="AN37" s="781"/>
      <c r="AO37" s="781"/>
      <c r="AP37" s="781"/>
      <c r="AQ37" s="781"/>
      <c r="AR37" s="781"/>
      <c r="AS37" s="781"/>
      <c r="AT37" s="781"/>
      <c r="AU37" s="781"/>
      <c r="AV37" s="781"/>
      <c r="AW37" s="781"/>
      <c r="AX37" s="781"/>
      <c r="AY37" s="781"/>
      <c r="AZ37" s="781"/>
      <c r="BA37" s="781"/>
      <c r="BB37" s="781"/>
      <c r="BC37" s="781"/>
      <c r="BD37" s="781"/>
      <c r="BE37" s="781"/>
      <c r="BF37" s="781"/>
      <c r="BG37" s="781"/>
      <c r="BH37" s="781"/>
      <c r="BI37" s="781"/>
      <c r="BJ37" s="781"/>
    </row>
    <row r="38" spans="1:62" s="494" customFormat="1" ht="24.95" customHeight="1">
      <c r="A38" s="707">
        <v>23</v>
      </c>
      <c r="B38" s="708" t="s">
        <v>49</v>
      </c>
      <c r="C38" s="715">
        <v>127</v>
      </c>
      <c r="D38" s="715">
        <v>127</v>
      </c>
      <c r="E38" s="713">
        <v>0.19097222222222221</v>
      </c>
      <c r="F38" s="784">
        <v>12.118194444444441</v>
      </c>
      <c r="G38" s="713">
        <v>106.04236111111111</v>
      </c>
      <c r="H38" s="713">
        <v>26.222222222222221</v>
      </c>
      <c r="I38" s="711">
        <v>132.26458333333332</v>
      </c>
      <c r="J38" s="711">
        <v>132.45555555555555</v>
      </c>
      <c r="K38" s="711">
        <v>1.0429571303587051</v>
      </c>
      <c r="L38" s="712">
        <v>99.860019702678287</v>
      </c>
      <c r="M38" s="712">
        <v>99.859817590005548</v>
      </c>
      <c r="N38" s="711">
        <v>963.97930555555558</v>
      </c>
      <c r="O38" s="713">
        <v>7.59038823272091</v>
      </c>
      <c r="P38" s="712">
        <v>99.885016901296439</v>
      </c>
      <c r="Q38" s="712">
        <v>99.884994117686048</v>
      </c>
      <c r="R38" s="493" t="s">
        <v>49</v>
      </c>
      <c r="S38" s="493">
        <v>-2.4997198618152083E-2</v>
      </c>
      <c r="T38" s="493">
        <v>-2.5176527680500271E-2</v>
      </c>
      <c r="U38" s="715">
        <v>3316</v>
      </c>
      <c r="V38" s="712">
        <v>3178.9333333333334</v>
      </c>
      <c r="W38" s="712">
        <v>26.110236220472441</v>
      </c>
      <c r="X38" s="712">
        <v>25.030971128608925</v>
      </c>
      <c r="Y38" s="781"/>
      <c r="Z38" s="781"/>
      <c r="AA38" s="781"/>
      <c r="AB38" s="781"/>
      <c r="AC38" s="781"/>
      <c r="AD38" s="781"/>
      <c r="AE38" s="781"/>
      <c r="AF38" s="781"/>
      <c r="AG38" s="781"/>
      <c r="AH38" s="781"/>
      <c r="AI38" s="781"/>
      <c r="AJ38" s="781"/>
      <c r="AK38" s="781"/>
      <c r="AL38" s="781"/>
      <c r="AM38" s="781"/>
      <c r="AN38" s="781"/>
      <c r="AO38" s="781"/>
      <c r="AP38" s="781"/>
      <c r="AQ38" s="781"/>
      <c r="AR38" s="781"/>
      <c r="AS38" s="781"/>
      <c r="AT38" s="781"/>
      <c r="AU38" s="781"/>
      <c r="AV38" s="781"/>
      <c r="AW38" s="781"/>
      <c r="AX38" s="781"/>
      <c r="AY38" s="781"/>
      <c r="AZ38" s="781"/>
      <c r="BA38" s="781"/>
      <c r="BB38" s="781"/>
      <c r="BC38" s="781"/>
      <c r="BD38" s="781"/>
      <c r="BE38" s="781"/>
      <c r="BF38" s="781"/>
      <c r="BG38" s="781"/>
      <c r="BH38" s="781"/>
      <c r="BI38" s="781"/>
      <c r="BJ38" s="781"/>
    </row>
    <row r="39" spans="1:62" s="494" customFormat="1" ht="24.95" customHeight="1">
      <c r="A39" s="707">
        <v>24</v>
      </c>
      <c r="B39" s="708" t="s">
        <v>32</v>
      </c>
      <c r="C39" s="715">
        <v>35</v>
      </c>
      <c r="D39" s="715">
        <v>35</v>
      </c>
      <c r="E39" s="713">
        <v>0.19097222222222221</v>
      </c>
      <c r="F39" s="784">
        <v>12.47583333333333</v>
      </c>
      <c r="G39" s="713">
        <v>13.078472222222222</v>
      </c>
      <c r="H39" s="713">
        <v>3.8159722222222223</v>
      </c>
      <c r="I39" s="711">
        <v>16.894444444444446</v>
      </c>
      <c r="J39" s="711">
        <v>17.085416666666667</v>
      </c>
      <c r="K39" s="711">
        <v>0.48815476190476192</v>
      </c>
      <c r="L39" s="712">
        <v>99.935121181088917</v>
      </c>
      <c r="M39" s="712">
        <v>99.934387800819252</v>
      </c>
      <c r="N39" s="711">
        <v>151.25680555555556</v>
      </c>
      <c r="O39" s="713">
        <v>4.3216230158730156</v>
      </c>
      <c r="P39" s="712">
        <v>99.934603535353546</v>
      </c>
      <c r="Q39" s="712">
        <v>99.934520863395861</v>
      </c>
      <c r="R39" s="493" t="s">
        <v>32</v>
      </c>
      <c r="S39" s="493">
        <v>5.176457353712749E-4</v>
      </c>
      <c r="T39" s="493">
        <v>-1.3306257660872234E-4</v>
      </c>
      <c r="U39" s="715">
        <v>851</v>
      </c>
      <c r="V39" s="712">
        <v>410.05</v>
      </c>
      <c r="W39" s="712">
        <v>24.314285714285713</v>
      </c>
      <c r="X39" s="712">
        <v>11.715714285714286</v>
      </c>
      <c r="Y39" s="781"/>
      <c r="Z39" s="781"/>
      <c r="AA39" s="781"/>
      <c r="AB39" s="781"/>
      <c r="AC39" s="781"/>
      <c r="AD39" s="781"/>
      <c r="AE39" s="781"/>
      <c r="AF39" s="781"/>
      <c r="AG39" s="781"/>
      <c r="AH39" s="781"/>
      <c r="AI39" s="781"/>
      <c r="AJ39" s="781"/>
      <c r="AK39" s="781"/>
      <c r="AL39" s="781"/>
      <c r="AM39" s="781"/>
      <c r="AN39" s="781"/>
      <c r="AO39" s="781"/>
      <c r="AP39" s="781"/>
      <c r="AQ39" s="781"/>
      <c r="AR39" s="781"/>
      <c r="AS39" s="781"/>
      <c r="AT39" s="781"/>
      <c r="AU39" s="781"/>
      <c r="AV39" s="781"/>
      <c r="AW39" s="781"/>
      <c r="AX39" s="781"/>
      <c r="AY39" s="781"/>
      <c r="AZ39" s="781"/>
      <c r="BA39" s="781"/>
      <c r="BB39" s="781"/>
      <c r="BC39" s="781"/>
      <c r="BD39" s="781"/>
      <c r="BE39" s="781"/>
      <c r="BF39" s="781"/>
      <c r="BG39" s="781"/>
      <c r="BH39" s="781"/>
      <c r="BI39" s="781"/>
      <c r="BJ39" s="781"/>
    </row>
    <row r="40" spans="1:62" s="494" customFormat="1" ht="24.95" customHeight="1">
      <c r="A40" s="707">
        <v>25</v>
      </c>
      <c r="B40" s="708" t="s">
        <v>55</v>
      </c>
      <c r="C40" s="719">
        <v>7</v>
      </c>
      <c r="D40" s="719">
        <v>7</v>
      </c>
      <c r="E40" s="713">
        <v>0.70694444444444438</v>
      </c>
      <c r="F40" s="784">
        <v>4.2088888888888896</v>
      </c>
      <c r="G40" s="713">
        <v>2.9208333333333334</v>
      </c>
      <c r="H40" s="713">
        <v>0.68263888888888891</v>
      </c>
      <c r="I40" s="711">
        <v>3.6034722222222224</v>
      </c>
      <c r="J40" s="711">
        <v>4.3104166666666668</v>
      </c>
      <c r="K40" s="711">
        <v>0.61577380952380956</v>
      </c>
      <c r="L40" s="712">
        <v>99.930808905103262</v>
      </c>
      <c r="M40" s="712">
        <v>99.917234703020995</v>
      </c>
      <c r="N40" s="711">
        <v>65.509236111111107</v>
      </c>
      <c r="O40" s="713">
        <v>9.3584623015873003</v>
      </c>
      <c r="P40" s="712">
        <v>99.859735299422795</v>
      </c>
      <c r="Q40" s="712">
        <v>99.858205116642623</v>
      </c>
      <c r="R40" s="493" t="s">
        <v>55</v>
      </c>
      <c r="S40" s="493">
        <v>7.1073605680467722E-2</v>
      </c>
      <c r="T40" s="493">
        <v>5.9029586378372301E-2</v>
      </c>
      <c r="U40" s="719">
        <v>301</v>
      </c>
      <c r="V40" s="712">
        <v>103.45</v>
      </c>
      <c r="W40" s="712">
        <v>43</v>
      </c>
      <c r="X40" s="712">
        <v>14.778571428571428</v>
      </c>
      <c r="Y40" s="781"/>
      <c r="Z40" s="781"/>
      <c r="AA40" s="781"/>
      <c r="AB40" s="781"/>
      <c r="AC40" s="781"/>
      <c r="AD40" s="781"/>
      <c r="AE40" s="781"/>
      <c r="AF40" s="781"/>
      <c r="AG40" s="781"/>
      <c r="AH40" s="781"/>
      <c r="AI40" s="781"/>
      <c r="AJ40" s="781"/>
      <c r="AK40" s="781"/>
      <c r="AL40" s="781"/>
      <c r="AM40" s="781"/>
      <c r="AN40" s="781"/>
      <c r="AO40" s="781"/>
      <c r="AP40" s="781"/>
      <c r="AQ40" s="781"/>
      <c r="AR40" s="781"/>
      <c r="AS40" s="781"/>
      <c r="AT40" s="781"/>
      <c r="AU40" s="781"/>
      <c r="AV40" s="781"/>
      <c r="AW40" s="781"/>
      <c r="AX40" s="781"/>
      <c r="AY40" s="781"/>
      <c r="AZ40" s="781"/>
      <c r="BA40" s="781"/>
      <c r="BB40" s="781"/>
      <c r="BC40" s="781"/>
      <c r="BD40" s="781"/>
      <c r="BE40" s="781"/>
      <c r="BF40" s="781"/>
      <c r="BG40" s="781"/>
      <c r="BH40" s="781"/>
      <c r="BI40" s="781"/>
      <c r="BJ40" s="781"/>
    </row>
    <row r="41" spans="1:62" s="494" customFormat="1" ht="24.95" customHeight="1">
      <c r="A41" s="707">
        <v>26</v>
      </c>
      <c r="B41" s="708" t="s">
        <v>56</v>
      </c>
      <c r="C41" s="715">
        <v>22</v>
      </c>
      <c r="D41" s="715">
        <v>22</v>
      </c>
      <c r="E41" s="713">
        <v>0.39930555555555558</v>
      </c>
      <c r="F41" s="784">
        <v>5.1506944444444436</v>
      </c>
      <c r="G41" s="713">
        <v>6.1708333333333325</v>
      </c>
      <c r="H41" s="713">
        <v>1.26875</v>
      </c>
      <c r="I41" s="711">
        <v>7.4395833333333323</v>
      </c>
      <c r="J41" s="711">
        <v>7.8388888888888877</v>
      </c>
      <c r="K41" s="711">
        <v>0.35631313131313125</v>
      </c>
      <c r="L41" s="712">
        <v>99.95454800016293</v>
      </c>
      <c r="M41" s="712">
        <v>99.952108450092311</v>
      </c>
      <c r="N41" s="711">
        <v>134.67430555555555</v>
      </c>
      <c r="O41" s="713">
        <v>6.1215593434343427</v>
      </c>
      <c r="P41" s="712">
        <v>99.907524104683191</v>
      </c>
      <c r="Q41" s="712">
        <v>99.907249100857058</v>
      </c>
      <c r="R41" s="493" t="s">
        <v>56</v>
      </c>
      <c r="S41" s="493">
        <v>4.7023895479739508E-2</v>
      </c>
      <c r="T41" s="493">
        <v>4.4859349235252921E-2</v>
      </c>
      <c r="U41" s="715">
        <v>320</v>
      </c>
      <c r="V41" s="712">
        <v>188.1333333333333</v>
      </c>
      <c r="W41" s="712">
        <v>14.545454545454545</v>
      </c>
      <c r="X41" s="712">
        <v>8.5515151515151491</v>
      </c>
      <c r="Y41" s="781"/>
      <c r="Z41" s="781"/>
      <c r="AA41" s="781"/>
      <c r="AB41" s="781"/>
      <c r="AC41" s="781"/>
      <c r="AD41" s="781"/>
      <c r="AE41" s="781"/>
      <c r="AF41" s="781"/>
      <c r="AG41" s="781"/>
      <c r="AH41" s="781"/>
      <c r="AI41" s="781"/>
      <c r="AJ41" s="781"/>
      <c r="AK41" s="781"/>
      <c r="AL41" s="781"/>
      <c r="AM41" s="781"/>
      <c r="AN41" s="781"/>
      <c r="AO41" s="781"/>
      <c r="AP41" s="781"/>
      <c r="AQ41" s="781"/>
      <c r="AR41" s="781"/>
      <c r="AS41" s="781"/>
      <c r="AT41" s="781"/>
      <c r="AU41" s="781"/>
      <c r="AV41" s="781"/>
      <c r="AW41" s="781"/>
      <c r="AX41" s="781"/>
      <c r="AY41" s="781"/>
      <c r="AZ41" s="781"/>
      <c r="BA41" s="781"/>
      <c r="BB41" s="781"/>
      <c r="BC41" s="781"/>
      <c r="BD41" s="781"/>
      <c r="BE41" s="781"/>
      <c r="BF41" s="781"/>
      <c r="BG41" s="781"/>
      <c r="BH41" s="781"/>
      <c r="BI41" s="781"/>
      <c r="BJ41" s="781"/>
    </row>
    <row r="42" spans="1:62" ht="18.75" hidden="1" customHeight="1" thickBot="1">
      <c r="B42" s="761"/>
      <c r="C42" s="497">
        <v>534</v>
      </c>
      <c r="D42" s="497">
        <v>529</v>
      </c>
      <c r="E42" s="497">
        <v>46.546832934485529</v>
      </c>
      <c r="F42" s="784">
        <v>599.74382757667263</v>
      </c>
      <c r="G42" s="497">
        <v>367.85125000000005</v>
      </c>
      <c r="H42" s="497">
        <v>254.06694444444449</v>
      </c>
      <c r="I42" s="497">
        <v>621.91819444444434</v>
      </c>
      <c r="J42" s="497">
        <v>668.4650273789299</v>
      </c>
      <c r="K42" s="497" t="e">
        <v>#DIV/0!</v>
      </c>
      <c r="L42" s="712">
        <v>99.843462256241068</v>
      </c>
      <c r="M42" s="712">
        <v>99.831746348470929</v>
      </c>
      <c r="N42" s="711">
        <v>6298.2726470211173</v>
      </c>
      <c r="O42" s="497" t="e">
        <v>#DIV/0!</v>
      </c>
      <c r="P42" s="712">
        <v>99.822615883154953</v>
      </c>
      <c r="Q42" s="712">
        <v>99.821295180824492</v>
      </c>
      <c r="U42" s="767"/>
      <c r="V42" s="767"/>
      <c r="W42" s="767"/>
      <c r="X42" s="712">
        <v>0</v>
      </c>
    </row>
    <row r="43" spans="1:62" s="499" customFormat="1" ht="63" hidden="1" customHeight="1" thickBot="1">
      <c r="A43" s="928" t="s">
        <v>100</v>
      </c>
      <c r="B43" s="929"/>
      <c r="C43" s="929"/>
      <c r="D43" s="929"/>
      <c r="E43" s="929"/>
      <c r="F43" s="929"/>
      <c r="G43" s="929"/>
      <c r="H43" s="929"/>
      <c r="I43" s="929"/>
      <c r="J43" s="929"/>
      <c r="K43" s="929"/>
      <c r="L43" s="929"/>
      <c r="M43" s="929"/>
      <c r="N43" s="929"/>
      <c r="O43" s="929"/>
      <c r="P43" s="929"/>
      <c r="Q43" s="930"/>
      <c r="U43" s="768"/>
      <c r="V43" s="768"/>
      <c r="W43" s="768"/>
      <c r="X43" s="712" t="e">
        <v>#DIV/0!</v>
      </c>
      <c r="Y43" s="783"/>
      <c r="Z43" s="783"/>
      <c r="AA43" s="783"/>
      <c r="AB43" s="783"/>
      <c r="AC43" s="783"/>
      <c r="AD43" s="783"/>
      <c r="AE43" s="783"/>
      <c r="AF43" s="783"/>
      <c r="AG43" s="783"/>
      <c r="AH43" s="783"/>
      <c r="AI43" s="783"/>
      <c r="AJ43" s="783"/>
      <c r="AK43" s="783"/>
      <c r="AL43" s="783"/>
      <c r="AM43" s="783"/>
      <c r="AN43" s="783"/>
      <c r="AO43" s="783"/>
      <c r="AP43" s="783"/>
      <c r="AQ43" s="783"/>
      <c r="AR43" s="783"/>
      <c r="AS43" s="783"/>
      <c r="AT43" s="783"/>
      <c r="AU43" s="783"/>
      <c r="AV43" s="783"/>
      <c r="AW43" s="783"/>
      <c r="AX43" s="783"/>
      <c r="AY43" s="783"/>
      <c r="AZ43" s="783"/>
      <c r="BA43" s="783"/>
      <c r="BB43" s="783"/>
      <c r="BC43" s="783"/>
      <c r="BD43" s="783"/>
      <c r="BE43" s="783"/>
      <c r="BF43" s="783"/>
      <c r="BG43" s="783"/>
      <c r="BH43" s="783"/>
      <c r="BI43" s="783"/>
      <c r="BJ43" s="783"/>
    </row>
    <row r="44" spans="1:62" s="499" customFormat="1" ht="80.25" hidden="1" customHeight="1">
      <c r="A44" s="928" t="s">
        <v>101</v>
      </c>
      <c r="B44" s="929"/>
      <c r="C44" s="929"/>
      <c r="D44" s="929"/>
      <c r="E44" s="929"/>
      <c r="F44" s="929"/>
      <c r="G44" s="929"/>
      <c r="H44" s="929"/>
      <c r="I44" s="929"/>
      <c r="J44" s="929"/>
      <c r="K44" s="929"/>
      <c r="L44" s="929"/>
      <c r="M44" s="929"/>
      <c r="N44" s="929"/>
      <c r="O44" s="929"/>
      <c r="P44" s="929"/>
      <c r="Q44" s="930"/>
      <c r="U44" s="768"/>
      <c r="V44" s="768"/>
      <c r="W44" s="768"/>
      <c r="X44" s="712" t="e">
        <v>#DIV/0!</v>
      </c>
      <c r="Y44" s="783"/>
      <c r="Z44" s="783"/>
      <c r="AA44" s="783"/>
      <c r="AB44" s="783"/>
      <c r="AC44" s="783"/>
      <c r="AD44" s="783"/>
      <c r="AE44" s="783"/>
      <c r="AF44" s="783"/>
      <c r="AG44" s="783"/>
      <c r="AH44" s="783"/>
      <c r="AI44" s="783"/>
      <c r="AJ44" s="783"/>
      <c r="AK44" s="783"/>
      <c r="AL44" s="783"/>
      <c r="AM44" s="783"/>
      <c r="AN44" s="783"/>
      <c r="AO44" s="783"/>
      <c r="AP44" s="783"/>
      <c r="AQ44" s="783"/>
      <c r="AR44" s="783"/>
      <c r="AS44" s="783"/>
      <c r="AT44" s="783"/>
      <c r="AU44" s="783"/>
      <c r="AV44" s="783"/>
      <c r="AW44" s="783"/>
      <c r="AX44" s="783"/>
      <c r="AY44" s="783"/>
      <c r="AZ44" s="783"/>
      <c r="BA44" s="783"/>
      <c r="BB44" s="783"/>
      <c r="BC44" s="783"/>
      <c r="BD44" s="783"/>
      <c r="BE44" s="783"/>
      <c r="BF44" s="783"/>
      <c r="BG44" s="783"/>
      <c r="BH44" s="783"/>
      <c r="BI44" s="783"/>
      <c r="BJ44" s="783"/>
    </row>
    <row r="45" spans="1:62" ht="20.25" hidden="1" customHeight="1">
      <c r="A45" s="895" t="s">
        <v>36</v>
      </c>
      <c r="B45" s="896"/>
      <c r="C45" s="896"/>
      <c r="D45" s="896"/>
      <c r="E45" s="896"/>
      <c r="F45" s="896"/>
      <c r="G45" s="896"/>
      <c r="H45" s="896"/>
      <c r="I45" s="896"/>
      <c r="J45" s="896"/>
      <c r="K45" s="896"/>
      <c r="L45" s="896"/>
      <c r="M45" s="896"/>
      <c r="N45" s="896"/>
      <c r="O45" s="896"/>
      <c r="P45" s="896"/>
      <c r="Q45" s="897"/>
      <c r="U45" s="767"/>
      <c r="V45" s="767"/>
      <c r="W45" s="767"/>
      <c r="X45" s="712" t="e">
        <v>#DIV/0!</v>
      </c>
    </row>
    <row r="46" spans="1:62" ht="27" hidden="1" customHeight="1" thickBot="1">
      <c r="A46" s="898"/>
      <c r="B46" s="899"/>
      <c r="C46" s="899"/>
      <c r="D46" s="899"/>
      <c r="E46" s="899"/>
      <c r="F46" s="899"/>
      <c r="G46" s="899"/>
      <c r="H46" s="899"/>
      <c r="I46" s="899"/>
      <c r="J46" s="899"/>
      <c r="K46" s="899"/>
      <c r="L46" s="899"/>
      <c r="M46" s="899"/>
      <c r="N46" s="899"/>
      <c r="O46" s="899"/>
      <c r="P46" s="899"/>
      <c r="Q46" s="900"/>
      <c r="U46" s="767"/>
      <c r="V46" s="767"/>
      <c r="W46" s="767"/>
      <c r="X46" s="712" t="e">
        <v>#DIV/0!</v>
      </c>
    </row>
    <row r="47" spans="1:62" ht="15.75" hidden="1">
      <c r="U47" s="767"/>
      <c r="V47" s="767"/>
      <c r="W47" s="767"/>
      <c r="X47" s="712" t="e">
        <v>#DIV/0!</v>
      </c>
    </row>
    <row r="48" spans="1:62" ht="18" customHeight="1">
      <c r="A48" s="973" t="s">
        <v>200</v>
      </c>
      <c r="B48" s="973"/>
      <c r="C48" s="973"/>
      <c r="D48" s="973"/>
      <c r="E48" s="973"/>
      <c r="F48" s="973"/>
      <c r="G48" s="973"/>
      <c r="H48" s="973"/>
      <c r="I48" s="973"/>
      <c r="J48" s="973"/>
      <c r="K48" s="973"/>
      <c r="L48" s="973"/>
      <c r="M48" s="973"/>
      <c r="N48" s="973"/>
      <c r="O48" s="973"/>
      <c r="P48" s="973"/>
      <c r="Q48" s="973"/>
      <c r="R48" s="973"/>
      <c r="S48" s="973"/>
      <c r="T48" s="973"/>
      <c r="U48" s="973"/>
      <c r="V48" s="973"/>
      <c r="W48" s="973"/>
      <c r="X48" s="973"/>
      <c r="Y48" s="801"/>
    </row>
    <row r="49" spans="6:9">
      <c r="F49" s="737"/>
      <c r="G49" s="737"/>
    </row>
    <row r="50" spans="6:9" ht="18.75">
      <c r="F50" s="811"/>
      <c r="G50" s="811"/>
      <c r="H50" s="737"/>
      <c r="I50" s="737"/>
    </row>
    <row r="51" spans="6:9">
      <c r="F51" s="737"/>
      <c r="G51" s="737"/>
      <c r="H51" s="737"/>
      <c r="I51" s="737"/>
    </row>
    <row r="52" spans="6:9">
      <c r="F52" s="737"/>
      <c r="G52" s="812"/>
      <c r="H52" s="737"/>
      <c r="I52" s="737"/>
    </row>
    <row r="53" spans="6:9">
      <c r="F53" s="738"/>
      <c r="G53" s="738"/>
      <c r="H53" s="737"/>
      <c r="I53" s="737"/>
    </row>
    <row r="54" spans="6:9">
      <c r="F54" s="752"/>
      <c r="G54" s="752"/>
    </row>
    <row r="55" spans="6:9">
      <c r="F55" s="752"/>
      <c r="G55" s="752"/>
    </row>
    <row r="57" spans="6:9">
      <c r="F57" s="752"/>
    </row>
  </sheetData>
  <mergeCells count="18"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A45:Q46"/>
    <mergeCell ref="A48:X48"/>
    <mergeCell ref="G11:I11"/>
    <mergeCell ref="J11:M11"/>
    <mergeCell ref="N11:Q11"/>
    <mergeCell ref="U11:X11"/>
    <mergeCell ref="A43:Q43"/>
    <mergeCell ref="A44:Q44"/>
  </mergeCells>
  <printOptions horizontalCentered="1"/>
  <pageMargins left="0" right="0" top="0.5" bottom="0" header="0.19" footer="0.5"/>
  <pageSetup paperSize="9" scale="50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8"/>
  <sheetViews>
    <sheetView tabSelected="1" view="pageBreakPreview" zoomScale="85" zoomScaleSheetLayoutView="85" workbookViewId="0">
      <selection activeCell="D62" sqref="D62"/>
    </sheetView>
  </sheetViews>
  <sheetFormatPr defaultRowHeight="12.75"/>
  <cols>
    <col min="1" max="1" width="8" style="480" customWidth="1"/>
    <col min="2" max="2" width="22.7109375" style="480" customWidth="1"/>
    <col min="3" max="3" width="8" style="480" customWidth="1"/>
    <col min="4" max="4" width="9" style="480" customWidth="1"/>
    <col min="5" max="5" width="16.28515625" style="480" customWidth="1"/>
    <col min="6" max="6" width="17.5703125" style="480" customWidth="1"/>
    <col min="7" max="7" width="16.42578125" style="480" customWidth="1"/>
    <col min="8" max="8" width="16.5703125" style="480" customWidth="1"/>
    <col min="9" max="9" width="16.7109375" style="480" customWidth="1"/>
    <col min="10" max="10" width="17" style="480" customWidth="1"/>
    <col min="11" max="11" width="16.7109375" style="480" customWidth="1"/>
    <col min="12" max="12" width="14" style="480" customWidth="1"/>
    <col min="13" max="13" width="13.140625" style="480" customWidth="1"/>
    <col min="14" max="14" width="17.42578125" style="480" customWidth="1"/>
    <col min="15" max="15" width="14.85546875" style="480" customWidth="1"/>
    <col min="16" max="17" width="12.140625" style="480" customWidth="1"/>
    <col min="18" max="21" width="0" style="480" hidden="1" customWidth="1"/>
    <col min="22" max="22" width="13" style="480" customWidth="1"/>
    <col min="23" max="23" width="12.5703125" style="480" customWidth="1"/>
    <col min="24" max="24" width="11.42578125" style="480" customWidth="1"/>
    <col min="25" max="25" width="10.85546875" style="480" customWidth="1"/>
    <col min="26" max="26" width="9.140625" style="480"/>
    <col min="27" max="27" width="12.28515625" style="737" bestFit="1" customWidth="1"/>
    <col min="28" max="31" width="9.140625" style="737"/>
    <col min="32" max="32" width="12.140625" style="737" customWidth="1"/>
    <col min="33" max="33" width="11.85546875" style="737" customWidth="1"/>
    <col min="34" max="65" width="9.140625" style="737"/>
    <col min="66" max="16384" width="9.140625" style="480"/>
  </cols>
  <sheetData>
    <row r="1" spans="1:65" ht="24.75" customHeight="1">
      <c r="A1" s="921" t="s">
        <v>0</v>
      </c>
      <c r="B1" s="921"/>
      <c r="C1" s="921"/>
      <c r="D1" s="921"/>
      <c r="E1" s="921"/>
      <c r="F1" s="921"/>
      <c r="G1" s="921"/>
      <c r="H1" s="921"/>
      <c r="I1" s="921"/>
      <c r="J1" s="921"/>
      <c r="K1" s="921"/>
      <c r="L1" s="921"/>
      <c r="M1" s="921"/>
      <c r="N1" s="921"/>
      <c r="O1" s="921"/>
      <c r="P1" s="921"/>
      <c r="Q1" s="921"/>
    </row>
    <row r="2" spans="1:65" ht="17.25" customHeight="1">
      <c r="A2" s="922" t="s">
        <v>57</v>
      </c>
      <c r="B2" s="922"/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2"/>
      <c r="O2" s="922"/>
      <c r="P2" s="922"/>
      <c r="Q2" s="922"/>
    </row>
    <row r="3" spans="1:65" s="808" customFormat="1" ht="18.75" customHeight="1">
      <c r="A3" s="903" t="s">
        <v>199</v>
      </c>
      <c r="B3" s="903"/>
      <c r="C3" s="903"/>
      <c r="D3" s="903"/>
      <c r="E3" s="903"/>
      <c r="F3" s="903"/>
      <c r="G3" s="903"/>
      <c r="H3" s="903"/>
      <c r="I3" s="903"/>
      <c r="J3" s="903"/>
      <c r="K3" s="903"/>
      <c r="L3" s="903"/>
      <c r="M3" s="903"/>
      <c r="N3" s="903"/>
      <c r="O3" s="903"/>
      <c r="P3" s="903"/>
      <c r="Q3" s="903"/>
      <c r="AA3" s="514"/>
      <c r="AB3" s="514"/>
      <c r="AC3" s="514"/>
      <c r="AD3" s="514"/>
      <c r="AE3" s="514"/>
      <c r="AF3" s="514"/>
      <c r="AG3" s="514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</row>
    <row r="4" spans="1:65" ht="14.25" customHeight="1">
      <c r="A4" s="987"/>
      <c r="B4" s="987"/>
      <c r="C4" s="987"/>
      <c r="D4" s="987"/>
      <c r="E4" s="739"/>
      <c r="F4" s="739"/>
      <c r="G4" s="739"/>
      <c r="H4" s="739"/>
      <c r="I4" s="739"/>
      <c r="J4" s="739"/>
      <c r="K4" s="739"/>
      <c r="L4" s="739"/>
      <c r="M4" s="739"/>
      <c r="N4" s="739"/>
      <c r="O4" s="739"/>
      <c r="P4" s="739"/>
      <c r="Q4" s="739"/>
    </row>
    <row r="5" spans="1:65" s="720" customFormat="1" ht="30.75" customHeight="1">
      <c r="A5" s="988" t="s">
        <v>2</v>
      </c>
      <c r="B5" s="904" t="s">
        <v>58</v>
      </c>
      <c r="C5" s="904" t="s">
        <v>4</v>
      </c>
      <c r="D5" s="904" t="s">
        <v>5</v>
      </c>
      <c r="E5" s="904" t="s">
        <v>178</v>
      </c>
      <c r="F5" s="978" t="s">
        <v>177</v>
      </c>
      <c r="G5" s="906" t="s">
        <v>39</v>
      </c>
      <c r="H5" s="906"/>
      <c r="I5" s="906"/>
      <c r="J5" s="974" t="s">
        <v>195</v>
      </c>
      <c r="K5" s="974"/>
      <c r="L5" s="974"/>
      <c r="M5" s="974"/>
      <c r="N5" s="980" t="s">
        <v>176</v>
      </c>
      <c r="O5" s="981"/>
      <c r="P5" s="981"/>
      <c r="Q5" s="982"/>
      <c r="V5" s="980" t="s">
        <v>197</v>
      </c>
      <c r="W5" s="981"/>
      <c r="X5" s="981"/>
      <c r="Y5" s="982"/>
      <c r="AA5" s="770"/>
      <c r="AB5" s="770"/>
      <c r="AC5" s="770"/>
      <c r="AD5" s="770"/>
      <c r="AE5" s="770"/>
      <c r="AF5" s="770"/>
      <c r="AG5" s="770"/>
      <c r="AH5" s="770"/>
      <c r="AI5" s="770"/>
      <c r="AJ5" s="770"/>
      <c r="AK5" s="770"/>
      <c r="AL5" s="770"/>
      <c r="AM5" s="770"/>
      <c r="AN5" s="770"/>
      <c r="AO5" s="770"/>
      <c r="AP5" s="770"/>
      <c r="AQ5" s="770"/>
      <c r="AR5" s="770"/>
      <c r="AS5" s="770"/>
      <c r="AT5" s="770"/>
      <c r="AU5" s="770"/>
      <c r="AV5" s="770"/>
      <c r="AW5" s="770"/>
      <c r="AX5" s="770"/>
      <c r="AY5" s="770"/>
      <c r="AZ5" s="770"/>
      <c r="BA5" s="770"/>
      <c r="BB5" s="770"/>
      <c r="BC5" s="770"/>
      <c r="BD5" s="770"/>
      <c r="BE5" s="770"/>
      <c r="BF5" s="770"/>
      <c r="BG5" s="770"/>
      <c r="BH5" s="770"/>
      <c r="BI5" s="770"/>
      <c r="BJ5" s="770"/>
      <c r="BK5" s="770"/>
      <c r="BL5" s="770"/>
      <c r="BM5" s="770"/>
    </row>
    <row r="6" spans="1:65" s="720" customFormat="1" ht="87.75" customHeight="1">
      <c r="A6" s="988"/>
      <c r="B6" s="904"/>
      <c r="C6" s="904"/>
      <c r="D6" s="904"/>
      <c r="E6" s="904"/>
      <c r="F6" s="979"/>
      <c r="G6" s="803" t="s">
        <v>9</v>
      </c>
      <c r="H6" s="803" t="s">
        <v>10</v>
      </c>
      <c r="I6" s="803" t="s">
        <v>11</v>
      </c>
      <c r="J6" s="804" t="s">
        <v>187</v>
      </c>
      <c r="K6" s="803" t="s">
        <v>179</v>
      </c>
      <c r="L6" s="803" t="s">
        <v>78</v>
      </c>
      <c r="M6" s="803" t="s">
        <v>14</v>
      </c>
      <c r="N6" s="804" t="s">
        <v>59</v>
      </c>
      <c r="O6" s="803" t="s">
        <v>16</v>
      </c>
      <c r="P6" s="803" t="s">
        <v>17</v>
      </c>
      <c r="Q6" s="803" t="s">
        <v>18</v>
      </c>
      <c r="V6" s="803" t="s">
        <v>189</v>
      </c>
      <c r="W6" s="803" t="s">
        <v>12</v>
      </c>
      <c r="X6" s="803" t="s">
        <v>183</v>
      </c>
      <c r="Y6" s="803" t="s">
        <v>186</v>
      </c>
      <c r="AA6" s="770"/>
      <c r="AB6" s="770"/>
      <c r="AC6" s="770"/>
      <c r="AD6" s="770"/>
      <c r="AE6" s="770"/>
      <c r="AF6" s="770"/>
      <c r="AG6" s="770"/>
      <c r="AH6" s="770"/>
      <c r="AI6" s="770"/>
      <c r="AJ6" s="770"/>
      <c r="AK6" s="770"/>
      <c r="AL6" s="770"/>
      <c r="AM6" s="770"/>
      <c r="AN6" s="770"/>
      <c r="AO6" s="770"/>
      <c r="AP6" s="770"/>
      <c r="AQ6" s="770"/>
      <c r="AR6" s="770"/>
      <c r="AS6" s="770"/>
      <c r="AT6" s="770"/>
      <c r="AU6" s="770"/>
      <c r="AV6" s="770"/>
      <c r="AW6" s="770"/>
      <c r="AX6" s="770"/>
      <c r="AY6" s="770"/>
      <c r="AZ6" s="770"/>
      <c r="BA6" s="770"/>
      <c r="BB6" s="770"/>
      <c r="BC6" s="770"/>
      <c r="BD6" s="770"/>
      <c r="BE6" s="770"/>
      <c r="BF6" s="770"/>
      <c r="BG6" s="770"/>
      <c r="BH6" s="770"/>
      <c r="BI6" s="770"/>
      <c r="BJ6" s="770"/>
      <c r="BK6" s="770"/>
      <c r="BL6" s="770"/>
      <c r="BM6" s="770"/>
    </row>
    <row r="7" spans="1:65" s="725" customFormat="1" ht="27.75" customHeight="1">
      <c r="A7" s="809">
        <v>1</v>
      </c>
      <c r="B7" s="809" t="s">
        <v>40</v>
      </c>
      <c r="C7" s="726">
        <v>3</v>
      </c>
      <c r="D7" s="726">
        <v>4</v>
      </c>
      <c r="E7" s="727">
        <v>5</v>
      </c>
      <c r="F7" s="750" t="s">
        <v>19</v>
      </c>
      <c r="G7" s="809">
        <v>6</v>
      </c>
      <c r="H7" s="809">
        <v>7</v>
      </c>
      <c r="I7" s="487" t="s">
        <v>20</v>
      </c>
      <c r="J7" s="487" t="s">
        <v>21</v>
      </c>
      <c r="K7" s="489" t="s">
        <v>22</v>
      </c>
      <c r="L7" s="487" t="s">
        <v>23</v>
      </c>
      <c r="M7" s="487" t="s">
        <v>24</v>
      </c>
      <c r="N7" s="487">
        <v>13</v>
      </c>
      <c r="O7" s="487" t="s">
        <v>25</v>
      </c>
      <c r="P7" s="487">
        <v>15</v>
      </c>
      <c r="Q7" s="487">
        <v>16</v>
      </c>
      <c r="U7" s="769"/>
      <c r="V7" s="487">
        <v>17</v>
      </c>
      <c r="W7" s="487">
        <v>18</v>
      </c>
      <c r="X7" s="487" t="s">
        <v>184</v>
      </c>
      <c r="Y7" s="487" t="s">
        <v>185</v>
      </c>
      <c r="Z7" s="771"/>
      <c r="AA7" s="771"/>
      <c r="AB7" s="771"/>
      <c r="AC7" s="771"/>
      <c r="AD7" s="771"/>
      <c r="AE7" s="771"/>
      <c r="AF7" s="771"/>
      <c r="AG7" s="771"/>
      <c r="AH7" s="771"/>
      <c r="AI7" s="771"/>
      <c r="AJ7" s="771"/>
      <c r="AK7" s="771"/>
      <c r="AL7" s="771"/>
      <c r="AM7" s="771"/>
      <c r="AN7" s="771"/>
      <c r="AO7" s="771"/>
      <c r="AP7" s="771"/>
      <c r="AQ7" s="771"/>
      <c r="AR7" s="771"/>
      <c r="AS7" s="771"/>
      <c r="AT7" s="771"/>
      <c r="AU7" s="771"/>
      <c r="AV7" s="771"/>
      <c r="AW7" s="771"/>
      <c r="AX7" s="771"/>
      <c r="AY7" s="771"/>
      <c r="AZ7" s="771"/>
      <c r="BA7" s="771"/>
      <c r="BB7" s="771"/>
      <c r="BC7" s="771"/>
      <c r="BD7" s="771"/>
      <c r="BE7" s="771"/>
      <c r="BF7" s="771"/>
      <c r="BG7" s="771"/>
      <c r="BH7" s="771"/>
      <c r="BI7" s="771"/>
      <c r="BJ7" s="771"/>
      <c r="BK7" s="771"/>
      <c r="BL7" s="771"/>
      <c r="BM7" s="771"/>
    </row>
    <row r="8" spans="1:65" ht="24.95" customHeight="1">
      <c r="A8" s="721">
        <v>1</v>
      </c>
      <c r="B8" s="708" t="s">
        <v>60</v>
      </c>
      <c r="C8" s="721">
        <v>243</v>
      </c>
      <c r="D8" s="721">
        <v>242</v>
      </c>
      <c r="E8" s="722">
        <v>7.3263888888888893</v>
      </c>
      <c r="F8" s="722">
        <v>65.420138888888886</v>
      </c>
      <c r="G8" s="722">
        <v>209.36125000000015</v>
      </c>
      <c r="H8" s="722">
        <v>55.00958333333331</v>
      </c>
      <c r="I8" s="722">
        <v>264.37083333333345</v>
      </c>
      <c r="J8" s="722">
        <v>271.69722222222236</v>
      </c>
      <c r="K8" s="722">
        <v>1.1180955647005035</v>
      </c>
      <c r="L8" s="723">
        <v>99.805027631507798</v>
      </c>
      <c r="M8" s="723">
        <v>99.799624450770523</v>
      </c>
      <c r="N8" s="722">
        <v>2886.1671701388896</v>
      </c>
      <c r="O8" s="724">
        <v>11.877231152834936</v>
      </c>
      <c r="P8" s="723">
        <v>99.76066502213493</v>
      </c>
      <c r="Q8" s="723">
        <v>99.760055936306372</v>
      </c>
      <c r="R8" s="500">
        <v>4.4362609372868178E-2</v>
      </c>
      <c r="S8" s="500">
        <v>3.9568514464150439E-2</v>
      </c>
      <c r="V8" s="785">
        <v>10351</v>
      </c>
      <c r="W8" s="723">
        <v>6520.7333333333372</v>
      </c>
      <c r="X8" s="723">
        <v>42.596707818930042</v>
      </c>
      <c r="Y8" s="723">
        <v>26.834293552812088</v>
      </c>
      <c r="AA8" s="800"/>
    </row>
    <row r="9" spans="1:65" ht="24.95" customHeight="1">
      <c r="A9" s="338">
        <v>2</v>
      </c>
      <c r="B9" s="708" t="s">
        <v>43</v>
      </c>
      <c r="C9" s="338">
        <v>172</v>
      </c>
      <c r="D9" s="338">
        <v>172</v>
      </c>
      <c r="E9" s="711">
        <v>0.65625</v>
      </c>
      <c r="F9" s="722">
        <v>12.407638888888888</v>
      </c>
      <c r="G9" s="711">
        <v>181.06805555555553</v>
      </c>
      <c r="H9" s="711">
        <v>49.694444444444443</v>
      </c>
      <c r="I9" s="711">
        <v>230.76249999999999</v>
      </c>
      <c r="J9" s="711">
        <v>231.41874999999999</v>
      </c>
      <c r="K9" s="711">
        <v>1.3454578488372093</v>
      </c>
      <c r="L9" s="723">
        <v>99.759562286404929</v>
      </c>
      <c r="M9" s="723">
        <v>99.758878521713768</v>
      </c>
      <c r="N9" s="722">
        <v>2833.7952777777773</v>
      </c>
      <c r="O9" s="713">
        <v>16.475553940568474</v>
      </c>
      <c r="P9" s="723">
        <v>99.667237605381985</v>
      </c>
      <c r="Q9" s="723">
        <v>99.667160526453159</v>
      </c>
      <c r="R9" s="500">
        <v>9.2324681022944333E-2</v>
      </c>
      <c r="S9" s="500">
        <v>9.1717995260609086E-2</v>
      </c>
      <c r="V9" s="785">
        <v>6308</v>
      </c>
      <c r="W9" s="723">
        <v>5554.0499999999993</v>
      </c>
      <c r="X9" s="723">
        <v>36.674418604651166</v>
      </c>
      <c r="Y9" s="723">
        <v>32.290988372093018</v>
      </c>
    </row>
    <row r="10" spans="1:65" ht="24.95" customHeight="1">
      <c r="A10" s="338">
        <v>3</v>
      </c>
      <c r="B10" s="708" t="s">
        <v>27</v>
      </c>
      <c r="C10" s="338">
        <v>178</v>
      </c>
      <c r="D10" s="338">
        <v>178</v>
      </c>
      <c r="E10" s="711">
        <v>3.84375</v>
      </c>
      <c r="F10" s="722">
        <v>36.585416666666667</v>
      </c>
      <c r="G10" s="711">
        <v>151.1</v>
      </c>
      <c r="H10" s="711">
        <v>137.76805555555555</v>
      </c>
      <c r="I10" s="711">
        <v>288.86805555555554</v>
      </c>
      <c r="J10" s="711">
        <v>292.71180555555554</v>
      </c>
      <c r="K10" s="711">
        <v>1.6444483458177277</v>
      </c>
      <c r="L10" s="723">
        <v>99.709165905968788</v>
      </c>
      <c r="M10" s="723">
        <v>99.705295995373163</v>
      </c>
      <c r="N10" s="722">
        <v>2316.3437499999995</v>
      </c>
      <c r="O10" s="713">
        <v>13.013167134831457</v>
      </c>
      <c r="P10" s="723">
        <v>99.737543979117007</v>
      </c>
      <c r="Q10" s="723">
        <v>99.737107734649868</v>
      </c>
      <c r="R10" s="500">
        <v>-2.8378073148218164E-2</v>
      </c>
      <c r="S10" s="500">
        <v>-3.1811739276704998E-2</v>
      </c>
      <c r="V10" s="785">
        <v>9086</v>
      </c>
      <c r="W10" s="723">
        <v>7025.083333333333</v>
      </c>
      <c r="X10" s="723">
        <v>51.044943820224717</v>
      </c>
      <c r="Y10" s="723">
        <v>39.466760299625463</v>
      </c>
    </row>
    <row r="11" spans="1:65" ht="24.95" customHeight="1">
      <c r="A11" s="338">
        <v>4</v>
      </c>
      <c r="B11" s="708" t="s">
        <v>44</v>
      </c>
      <c r="C11" s="338">
        <v>197</v>
      </c>
      <c r="D11" s="338">
        <v>197</v>
      </c>
      <c r="E11" s="711">
        <v>1.6809458333333331</v>
      </c>
      <c r="F11" s="722">
        <v>18.348889120370369</v>
      </c>
      <c r="G11" s="711">
        <v>83.055555555555557</v>
      </c>
      <c r="H11" s="711">
        <v>31.818055555555556</v>
      </c>
      <c r="I11" s="711">
        <v>114.87361111111112</v>
      </c>
      <c r="J11" s="711">
        <v>116.55455694444446</v>
      </c>
      <c r="K11" s="711">
        <v>0.59164749717992104</v>
      </c>
      <c r="L11" s="723">
        <v>99.895499143868506</v>
      </c>
      <c r="M11" s="723">
        <v>99.893969982584238</v>
      </c>
      <c r="N11" s="722">
        <v>1739.8968057870368</v>
      </c>
      <c r="O11" s="713">
        <v>8.8319634811524708</v>
      </c>
      <c r="P11" s="723">
        <v>99.821748873511396</v>
      </c>
      <c r="Q11" s="723">
        <v>99.821576495330262</v>
      </c>
      <c r="R11" s="500">
        <v>7.3750270357109571E-2</v>
      </c>
      <c r="S11" s="500">
        <v>7.2393487253975763E-2</v>
      </c>
      <c r="V11" s="785">
        <v>5404</v>
      </c>
      <c r="W11" s="723">
        <v>2797.3093666666668</v>
      </c>
      <c r="X11" s="723">
        <v>27.431472081218274</v>
      </c>
      <c r="Y11" s="723">
        <v>14.199539932318105</v>
      </c>
    </row>
    <row r="12" spans="1:65" s="714" customFormat="1" ht="25.5" customHeight="1">
      <c r="A12" s="715">
        <v>5</v>
      </c>
      <c r="B12" s="708" t="s">
        <v>28</v>
      </c>
      <c r="C12" s="715">
        <v>385</v>
      </c>
      <c r="D12" s="715">
        <v>385</v>
      </c>
      <c r="E12" s="713">
        <v>2.8333333333333335</v>
      </c>
      <c r="F12" s="722">
        <v>33.953333333333333</v>
      </c>
      <c r="G12" s="711">
        <v>143.83333333333334</v>
      </c>
      <c r="H12" s="711">
        <v>202.33333333333334</v>
      </c>
      <c r="I12" s="711">
        <v>346.16666666666669</v>
      </c>
      <c r="J12" s="711">
        <v>349</v>
      </c>
      <c r="K12" s="711">
        <v>0.90649350649350646</v>
      </c>
      <c r="L12" s="723">
        <v>99.838864838864851</v>
      </c>
      <c r="M12" s="723">
        <v>99.837545966578219</v>
      </c>
      <c r="N12" s="722">
        <v>4360.5537499999991</v>
      </c>
      <c r="O12" s="713">
        <v>11.326113636363633</v>
      </c>
      <c r="P12" s="723">
        <v>99.77133829638376</v>
      </c>
      <c r="Q12" s="723">
        <v>99.771189623507809</v>
      </c>
      <c r="R12" s="500">
        <v>6.7526542481090246E-2</v>
      </c>
      <c r="S12" s="500">
        <v>6.6356343070410162E-2</v>
      </c>
      <c r="T12" s="714">
        <v>4.7222222222222228E-2</v>
      </c>
      <c r="V12" s="785">
        <v>10151</v>
      </c>
      <c r="W12" s="723">
        <v>8376</v>
      </c>
      <c r="X12" s="723">
        <v>26.366233766233766</v>
      </c>
      <c r="Y12" s="723">
        <v>21.755844155844155</v>
      </c>
      <c r="AA12" s="800"/>
    </row>
    <row r="13" spans="1:65" s="714" customFormat="1" ht="25.5" customHeight="1">
      <c r="A13" s="715">
        <v>6</v>
      </c>
      <c r="B13" s="708" t="s">
        <v>45</v>
      </c>
      <c r="C13" s="715">
        <v>187</v>
      </c>
      <c r="D13" s="715">
        <v>187</v>
      </c>
      <c r="E13" s="713">
        <v>3</v>
      </c>
      <c r="F13" s="722">
        <v>42.514583333333334</v>
      </c>
      <c r="G13" s="711">
        <v>89.125</v>
      </c>
      <c r="H13" s="711">
        <v>116.20833333333333</v>
      </c>
      <c r="I13" s="711">
        <v>205.33333333333331</v>
      </c>
      <c r="J13" s="711">
        <v>208.33333333333331</v>
      </c>
      <c r="K13" s="711">
        <v>1.1140819964349375</v>
      </c>
      <c r="L13" s="723">
        <v>99.803218778550857</v>
      </c>
      <c r="M13" s="723">
        <v>99.800343728237479</v>
      </c>
      <c r="N13" s="722">
        <v>2128.25</v>
      </c>
      <c r="O13" s="713">
        <v>11.381016042780749</v>
      </c>
      <c r="P13" s="723">
        <v>99.770404580565014</v>
      </c>
      <c r="Q13" s="723">
        <v>99.770080483984231</v>
      </c>
      <c r="R13" s="500">
        <v>3.2814197985842952E-2</v>
      </c>
      <c r="S13" s="500">
        <v>3.0263244253248445E-2</v>
      </c>
      <c r="T13" s="714">
        <v>0.05</v>
      </c>
      <c r="V13" s="785">
        <v>7856</v>
      </c>
      <c r="W13" s="723">
        <v>5000</v>
      </c>
      <c r="X13" s="723">
        <v>42.010695187165773</v>
      </c>
      <c r="Y13" s="723">
        <v>26.737967914438503</v>
      </c>
      <c r="AA13" s="737"/>
    </row>
    <row r="14" spans="1:65" s="714" customFormat="1" ht="25.5" customHeight="1">
      <c r="A14" s="715">
        <v>7</v>
      </c>
      <c r="B14" s="708" t="s">
        <v>88</v>
      </c>
      <c r="C14" s="715">
        <v>301</v>
      </c>
      <c r="D14" s="715">
        <v>300</v>
      </c>
      <c r="E14" s="713">
        <v>3.125</v>
      </c>
      <c r="F14" s="722">
        <v>48.355833333333337</v>
      </c>
      <c r="G14" s="711">
        <v>184.875</v>
      </c>
      <c r="H14" s="711">
        <v>100.41666666666667</v>
      </c>
      <c r="I14" s="711">
        <v>285.29166666666669</v>
      </c>
      <c r="J14" s="711">
        <v>288.41666666666669</v>
      </c>
      <c r="K14" s="711">
        <v>0.95819490586932454</v>
      </c>
      <c r="L14" s="723">
        <v>99.830141067012789</v>
      </c>
      <c r="M14" s="723">
        <v>99.828280482819125</v>
      </c>
      <c r="N14" s="722">
        <v>3491.2133333333331</v>
      </c>
      <c r="O14" s="713">
        <v>11.598715393133997</v>
      </c>
      <c r="P14" s="723">
        <v>99.765892255892254</v>
      </c>
      <c r="Q14" s="723">
        <v>99.765682517310424</v>
      </c>
      <c r="R14" s="500">
        <v>6.4248811120535265E-2</v>
      </c>
      <c r="S14" s="500">
        <v>6.2597965508700781E-2</v>
      </c>
      <c r="T14" s="714">
        <v>5.2083333333333336E-2</v>
      </c>
      <c r="V14" s="785">
        <v>6953</v>
      </c>
      <c r="W14" s="723">
        <v>6922</v>
      </c>
      <c r="X14" s="723">
        <v>23.099667774086377</v>
      </c>
      <c r="Y14" s="723">
        <v>22.996677740863788</v>
      </c>
      <c r="AA14" s="737"/>
    </row>
    <row r="15" spans="1:65" s="714" customFormat="1" ht="25.5" customHeight="1">
      <c r="A15" s="715">
        <v>8</v>
      </c>
      <c r="B15" s="708" t="s">
        <v>30</v>
      </c>
      <c r="C15" s="715">
        <v>143</v>
      </c>
      <c r="D15" s="709">
        <v>143</v>
      </c>
      <c r="E15" s="710">
        <v>2.5429411764705883</v>
      </c>
      <c r="F15" s="722">
        <v>8.9873856209150329</v>
      </c>
      <c r="G15" s="711">
        <v>117.38402777777777</v>
      </c>
      <c r="H15" s="711">
        <v>124.12847222222221</v>
      </c>
      <c r="I15" s="711">
        <v>241.51249999999999</v>
      </c>
      <c r="J15" s="711">
        <v>244.05544117647057</v>
      </c>
      <c r="K15" s="711">
        <v>1.7066814068284655</v>
      </c>
      <c r="L15" s="723">
        <v>99.697329999749357</v>
      </c>
      <c r="M15" s="723">
        <v>99.69414311705583</v>
      </c>
      <c r="N15" s="722">
        <v>398.31877450980392</v>
      </c>
      <c r="O15" s="713">
        <v>2.7854459755930345</v>
      </c>
      <c r="P15" s="723">
        <v>99.944087612723962</v>
      </c>
      <c r="Q15" s="723">
        <v>99.943728364129427</v>
      </c>
      <c r="R15" s="500">
        <v>-0.24675761297460497</v>
      </c>
      <c r="S15" s="500">
        <v>-0.24958524707359686</v>
      </c>
      <c r="V15" s="785">
        <v>3481</v>
      </c>
      <c r="W15" s="723">
        <v>5857.3305882352934</v>
      </c>
      <c r="X15" s="723">
        <v>24.342657342657343</v>
      </c>
      <c r="Y15" s="723">
        <v>40.96035376388317</v>
      </c>
    </row>
    <row r="16" spans="1:65" s="714" customFormat="1" ht="25.5" customHeight="1">
      <c r="A16" s="715">
        <v>9</v>
      </c>
      <c r="B16" s="708" t="s">
        <v>47</v>
      </c>
      <c r="C16" s="715">
        <v>187</v>
      </c>
      <c r="D16" s="709">
        <v>133</v>
      </c>
      <c r="E16" s="710">
        <v>31.5</v>
      </c>
      <c r="F16" s="722">
        <v>633.63819444444448</v>
      </c>
      <c r="G16" s="710">
        <v>5.125</v>
      </c>
      <c r="H16" s="710">
        <v>19.125</v>
      </c>
      <c r="I16" s="711">
        <v>24.25</v>
      </c>
      <c r="J16" s="711">
        <v>55.75</v>
      </c>
      <c r="K16" s="711">
        <v>0.29812834224598933</v>
      </c>
      <c r="L16" s="723">
        <v>99.976760009966839</v>
      </c>
      <c r="M16" s="723">
        <v>99.946571981676342</v>
      </c>
      <c r="N16" s="722">
        <v>1324.995138888889</v>
      </c>
      <c r="O16" s="713">
        <v>7.0855355020796198</v>
      </c>
      <c r="P16" s="723">
        <v>99.860260882743049</v>
      </c>
      <c r="Q16" s="723">
        <v>99.856857868644852</v>
      </c>
      <c r="R16" s="500">
        <v>0.11649912722378986</v>
      </c>
      <c r="S16" s="500">
        <v>8.9714113031490683E-2</v>
      </c>
      <c r="T16" s="714">
        <v>0.52500000000000002</v>
      </c>
      <c r="V16" s="785">
        <v>1420</v>
      </c>
      <c r="W16" s="723">
        <v>1338</v>
      </c>
      <c r="X16" s="723">
        <v>7.5935828877005349</v>
      </c>
      <c r="Y16" s="723">
        <v>7.1550802139037435</v>
      </c>
    </row>
    <row r="17" spans="1:33" s="714" customFormat="1" ht="25.5" customHeight="1">
      <c r="A17" s="338">
        <v>10</v>
      </c>
      <c r="B17" s="708" t="s">
        <v>48</v>
      </c>
      <c r="C17" s="709">
        <v>188</v>
      </c>
      <c r="D17" s="709">
        <v>188</v>
      </c>
      <c r="E17" s="710">
        <v>31.409722222222225</v>
      </c>
      <c r="F17" s="722">
        <v>1447.6618055555555</v>
      </c>
      <c r="G17" s="710">
        <v>143.54166666666666</v>
      </c>
      <c r="H17" s="710">
        <v>116.54652777777778</v>
      </c>
      <c r="I17" s="711">
        <v>260.08819444444441</v>
      </c>
      <c r="J17" s="711">
        <v>291.49791666666664</v>
      </c>
      <c r="K17" s="711">
        <v>1.5505208333333331</v>
      </c>
      <c r="L17" s="723">
        <v>99.752070279069969</v>
      </c>
      <c r="M17" s="723">
        <v>99.722128882915186</v>
      </c>
      <c r="N17" s="722">
        <v>3210.6013888888888</v>
      </c>
      <c r="O17" s="713">
        <v>17.077666962174941</v>
      </c>
      <c r="P17" s="723">
        <v>99.658371838956938</v>
      </c>
      <c r="Q17" s="723">
        <v>99.654996627026762</v>
      </c>
      <c r="R17" s="500">
        <v>9.3698440113030301E-2</v>
      </c>
      <c r="S17" s="500">
        <v>6.7132255888424197E-2</v>
      </c>
      <c r="T17" s="714">
        <v>0.52349537037037042</v>
      </c>
      <c r="V17" s="785">
        <v>10235</v>
      </c>
      <c r="W17" s="723">
        <v>6995.9499999999989</v>
      </c>
      <c r="X17" s="723">
        <v>54.441489361702125</v>
      </c>
      <c r="Y17" s="723">
        <v>37.212499999999991</v>
      </c>
    </row>
    <row r="18" spans="1:33" s="714" customFormat="1" ht="25.5" customHeight="1">
      <c r="A18" s="338">
        <v>11</v>
      </c>
      <c r="B18" s="708" t="s">
        <v>63</v>
      </c>
      <c r="C18" s="709">
        <v>141</v>
      </c>
      <c r="D18" s="709">
        <v>141</v>
      </c>
      <c r="E18" s="710">
        <v>3.5416666666666665</v>
      </c>
      <c r="F18" s="722">
        <v>533.3458333333333</v>
      </c>
      <c r="G18" s="710">
        <v>40.680555555555557</v>
      </c>
      <c r="H18" s="710">
        <v>61.645833333333336</v>
      </c>
      <c r="I18" s="711">
        <v>102.32638888888889</v>
      </c>
      <c r="J18" s="711">
        <v>105.86805555555556</v>
      </c>
      <c r="K18" s="711">
        <v>0.75083727344365647</v>
      </c>
      <c r="L18" s="723">
        <v>99.869942818972405</v>
      </c>
      <c r="M18" s="723">
        <v>99.865441348845224</v>
      </c>
      <c r="N18" s="722">
        <v>2501.4472222222221</v>
      </c>
      <c r="O18" s="713">
        <v>17.740760441292355</v>
      </c>
      <c r="P18" s="723">
        <v>99.642108237616512</v>
      </c>
      <c r="Q18" s="723">
        <v>99.641600799165815</v>
      </c>
      <c r="R18" s="500">
        <v>0.22783458135589285</v>
      </c>
      <c r="S18" s="500">
        <v>0.2238405496794087</v>
      </c>
      <c r="V18" s="785">
        <v>1324</v>
      </c>
      <c r="W18" s="723">
        <v>2540.8333333333335</v>
      </c>
      <c r="X18" s="723">
        <v>9.3900709219858154</v>
      </c>
      <c r="Y18" s="723">
        <v>18.020094562647756</v>
      </c>
    </row>
    <row r="19" spans="1:33" s="714" customFormat="1" ht="25.5" hidden="1" customHeight="1">
      <c r="A19" s="731">
        <v>12</v>
      </c>
      <c r="B19" s="708" t="s">
        <v>50</v>
      </c>
      <c r="C19" s="718">
        <v>34</v>
      </c>
      <c r="D19" s="718">
        <v>34</v>
      </c>
      <c r="E19" s="716">
        <v>9.9548611111111125</v>
      </c>
      <c r="F19" s="722">
        <v>44.267361111111107</v>
      </c>
      <c r="G19" s="716">
        <v>23.034722222222218</v>
      </c>
      <c r="H19" s="716">
        <v>8.1229166666666668</v>
      </c>
      <c r="I19" s="711">
        <v>31.157638888888883</v>
      </c>
      <c r="J19" s="711">
        <v>41.112499999999997</v>
      </c>
      <c r="K19" s="711">
        <v>1.209191176470588</v>
      </c>
      <c r="L19" s="723">
        <v>99.835770404338547</v>
      </c>
      <c r="M19" s="723">
        <v>99.783299072317092</v>
      </c>
      <c r="N19" s="722">
        <v>356.74502314814822</v>
      </c>
      <c r="O19" s="713">
        <v>10.492500680827888</v>
      </c>
      <c r="P19" s="723">
        <v>99.793945239431338</v>
      </c>
      <c r="Q19" s="723">
        <v>99.788030289276207</v>
      </c>
      <c r="R19" s="500">
        <v>4.1825164907209E-2</v>
      </c>
      <c r="S19" s="500">
        <v>-4.7312169591151587E-3</v>
      </c>
      <c r="V19" s="799">
        <v>86</v>
      </c>
      <c r="W19" s="723">
        <v>986.69999999999993</v>
      </c>
      <c r="X19" s="723">
        <v>2.5294117647058822</v>
      </c>
      <c r="Y19" s="723">
        <v>29.020588235294117</v>
      </c>
    </row>
    <row r="20" spans="1:33" s="714" customFormat="1" ht="25.5" hidden="1" customHeight="1">
      <c r="A20" s="731">
        <v>13</v>
      </c>
      <c r="B20" s="708" t="s">
        <v>51</v>
      </c>
      <c r="C20" s="718">
        <v>32</v>
      </c>
      <c r="D20" s="718">
        <v>32</v>
      </c>
      <c r="E20" s="716">
        <v>2.0902777777777781</v>
      </c>
      <c r="F20" s="722">
        <v>45.228472222222216</v>
      </c>
      <c r="G20" s="716">
        <v>35.753472222222229</v>
      </c>
      <c r="H20" s="716">
        <v>7.6104166666666666</v>
      </c>
      <c r="I20" s="711">
        <v>43.363888888888894</v>
      </c>
      <c r="J20" s="711">
        <v>45.454166666666673</v>
      </c>
      <c r="K20" s="711">
        <v>1.4204427083333335</v>
      </c>
      <c r="L20" s="723">
        <v>99.757146679609718</v>
      </c>
      <c r="M20" s="723">
        <v>99.745440374850659</v>
      </c>
      <c r="N20" s="722">
        <v>263.15277777777777</v>
      </c>
      <c r="O20" s="713">
        <v>8.2235243055555554</v>
      </c>
      <c r="P20" s="723">
        <v>99.835187815656568</v>
      </c>
      <c r="Q20" s="723">
        <v>99.833868195847359</v>
      </c>
      <c r="R20" s="500">
        <v>-7.8041136046849147E-2</v>
      </c>
      <c r="S20" s="500">
        <v>-8.8427820996699324E-2</v>
      </c>
      <c r="V20" s="799">
        <v>66</v>
      </c>
      <c r="W20" s="723">
        <v>1090.9000000000001</v>
      </c>
      <c r="X20" s="723">
        <v>2.0625</v>
      </c>
      <c r="Y20" s="723">
        <v>34.090625000000003</v>
      </c>
    </row>
    <row r="21" spans="1:33" s="714" customFormat="1" ht="25.5" customHeight="1">
      <c r="A21" s="715">
        <v>12</v>
      </c>
      <c r="B21" s="708" t="s">
        <v>99</v>
      </c>
      <c r="C21" s="709">
        <v>66</v>
      </c>
      <c r="D21" s="709">
        <v>66</v>
      </c>
      <c r="E21" s="710">
        <v>12.045138888888891</v>
      </c>
      <c r="F21" s="722">
        <v>89.495833333333337</v>
      </c>
      <c r="G21" s="710">
        <v>58.788194444444443</v>
      </c>
      <c r="H21" s="710">
        <v>15.733333333333334</v>
      </c>
      <c r="I21" s="710">
        <v>74.521527777777777</v>
      </c>
      <c r="J21" s="711">
        <v>86.566666666666663</v>
      </c>
      <c r="K21" s="711">
        <v>1.3116161616161615</v>
      </c>
      <c r="L21" s="723">
        <v>99.797649810530643</v>
      </c>
      <c r="M21" s="723">
        <v>99.764943340212156</v>
      </c>
      <c r="N21" s="722">
        <v>619.89780092592605</v>
      </c>
      <c r="O21" s="713">
        <v>9.3923909231200913</v>
      </c>
      <c r="P21" s="723">
        <v>99.813941640025405</v>
      </c>
      <c r="Q21" s="723">
        <v>99.810254728825853</v>
      </c>
      <c r="R21" s="500"/>
      <c r="S21" s="500"/>
      <c r="V21" s="785">
        <v>152</v>
      </c>
      <c r="W21" s="723">
        <v>2077.6</v>
      </c>
      <c r="X21" s="723">
        <v>2.3030303030303032</v>
      </c>
      <c r="Y21" s="723">
        <v>31.478787878787877</v>
      </c>
    </row>
    <row r="22" spans="1:33" s="714" customFormat="1" ht="25.5" hidden="1" customHeight="1">
      <c r="A22" s="732">
        <v>14</v>
      </c>
      <c r="B22" s="708" t="s">
        <v>52</v>
      </c>
      <c r="C22" s="718">
        <v>14</v>
      </c>
      <c r="D22" s="718">
        <v>14</v>
      </c>
      <c r="E22" s="716">
        <v>0.65833333333333344</v>
      </c>
      <c r="F22" s="722">
        <v>13.206249999999999</v>
      </c>
      <c r="G22" s="716">
        <v>2.9388888888888882</v>
      </c>
      <c r="H22" s="716">
        <v>1.3159722222222223</v>
      </c>
      <c r="I22" s="711">
        <v>4.2548611111111105</v>
      </c>
      <c r="J22" s="711">
        <v>4.9131944444444438</v>
      </c>
      <c r="K22" s="711">
        <v>0.35094246031746029</v>
      </c>
      <c r="L22" s="723">
        <v>99.945534291972464</v>
      </c>
      <c r="M22" s="723">
        <v>99.937107085964627</v>
      </c>
      <c r="N22" s="722">
        <v>114.3111111111111</v>
      </c>
      <c r="O22" s="713">
        <v>8.1650793650793645</v>
      </c>
      <c r="P22" s="723">
        <v>99.835998877665546</v>
      </c>
      <c r="Q22" s="723">
        <v>99.835048901715567</v>
      </c>
      <c r="R22" s="500">
        <v>0.10953541430691871</v>
      </c>
      <c r="S22" s="500">
        <v>0.10205818424905999</v>
      </c>
      <c r="V22" s="799">
        <v>19</v>
      </c>
      <c r="W22" s="723">
        <v>117.91666666666666</v>
      </c>
      <c r="X22" s="723">
        <v>1.3571428571428572</v>
      </c>
      <c r="Y22" s="723">
        <v>8.4226190476190474</v>
      </c>
    </row>
    <row r="23" spans="1:33" s="714" customFormat="1" ht="30" hidden="1" customHeight="1">
      <c r="A23" s="732">
        <v>15</v>
      </c>
      <c r="B23" s="708" t="s">
        <v>53</v>
      </c>
      <c r="C23" s="718">
        <v>35</v>
      </c>
      <c r="D23" s="718">
        <v>35</v>
      </c>
      <c r="E23" s="716">
        <v>5.5312499999999973</v>
      </c>
      <c r="F23" s="722">
        <v>39.42777777777777</v>
      </c>
      <c r="G23" s="716">
        <v>8.8194444444444446</v>
      </c>
      <c r="H23" s="716">
        <v>13.201388888888891</v>
      </c>
      <c r="I23" s="711">
        <v>22.020833333333336</v>
      </c>
      <c r="J23" s="711">
        <v>27.552083333333332</v>
      </c>
      <c r="K23" s="711">
        <v>0.78720238095238093</v>
      </c>
      <c r="L23" s="723">
        <v>99.887246117084828</v>
      </c>
      <c r="M23" s="723">
        <v>99.858924304488824</v>
      </c>
      <c r="N23" s="722">
        <v>331.52986111111113</v>
      </c>
      <c r="O23" s="713">
        <v>9.4722817460317472</v>
      </c>
      <c r="P23" s="723">
        <v>99.811833413500082</v>
      </c>
      <c r="Q23" s="723">
        <v>99.808640772807436</v>
      </c>
      <c r="R23" s="500">
        <v>7.5412703584746055E-2</v>
      </c>
      <c r="S23" s="500">
        <v>5.0283531681387217E-2</v>
      </c>
      <c r="V23" s="799">
        <v>109</v>
      </c>
      <c r="W23" s="723">
        <v>661.25</v>
      </c>
      <c r="X23" s="723">
        <v>3.1142857142857143</v>
      </c>
      <c r="Y23" s="723">
        <v>18.892857142857142</v>
      </c>
    </row>
    <row r="24" spans="1:33" s="714" customFormat="1" ht="25.5" hidden="1" customHeight="1">
      <c r="A24" s="732">
        <v>16</v>
      </c>
      <c r="B24" s="708" t="s">
        <v>54</v>
      </c>
      <c r="C24" s="718">
        <v>42</v>
      </c>
      <c r="D24" s="718">
        <v>42</v>
      </c>
      <c r="E24" s="716">
        <v>0.97916666666666663</v>
      </c>
      <c r="F24" s="722">
        <v>14.941527777777775</v>
      </c>
      <c r="G24" s="716">
        <v>7.9826388888888902</v>
      </c>
      <c r="H24" s="716">
        <v>11.704861111111107</v>
      </c>
      <c r="I24" s="711">
        <v>19.687499999999996</v>
      </c>
      <c r="J24" s="711">
        <v>20.666666666666664</v>
      </c>
      <c r="K24" s="711">
        <v>0.49206349206349198</v>
      </c>
      <c r="L24" s="723">
        <v>99.915994623655919</v>
      </c>
      <c r="M24" s="723">
        <v>99.911816578483226</v>
      </c>
      <c r="N24" s="722">
        <v>332.51611111111112</v>
      </c>
      <c r="O24" s="713">
        <v>7.9170502645502649</v>
      </c>
      <c r="P24" s="723">
        <v>99.840530570252795</v>
      </c>
      <c r="Q24" s="723">
        <v>99.840059590615141</v>
      </c>
      <c r="R24" s="500">
        <v>7.5464053403123899E-2</v>
      </c>
      <c r="S24" s="500">
        <v>7.1756987868084821E-2</v>
      </c>
      <c r="V24" s="799">
        <v>1935</v>
      </c>
      <c r="W24" s="723">
        <v>495.99999999999994</v>
      </c>
      <c r="X24" s="723">
        <v>46.071428571428569</v>
      </c>
      <c r="Y24" s="723">
        <v>11.809523809523808</v>
      </c>
    </row>
    <row r="25" spans="1:33" s="714" customFormat="1" ht="25.5" customHeight="1">
      <c r="A25" s="715">
        <v>13</v>
      </c>
      <c r="B25" s="708" t="s">
        <v>52</v>
      </c>
      <c r="C25" s="709">
        <v>91</v>
      </c>
      <c r="D25" s="709">
        <v>91</v>
      </c>
      <c r="E25" s="710">
        <v>7.1687499999999975</v>
      </c>
      <c r="F25" s="722">
        <v>67.575555555555553</v>
      </c>
      <c r="G25" s="710">
        <v>19.740972222222222</v>
      </c>
      <c r="H25" s="710">
        <v>26.222222222222221</v>
      </c>
      <c r="I25" s="710">
        <v>45.96319444444444</v>
      </c>
      <c r="J25" s="711">
        <v>53.131944444444436</v>
      </c>
      <c r="K25" s="711">
        <v>0.58386752136752129</v>
      </c>
      <c r="L25" s="723">
        <v>99.909482070100353</v>
      </c>
      <c r="M25" s="723">
        <v>99.895364243482518</v>
      </c>
      <c r="N25" s="722">
        <v>778.35708333333332</v>
      </c>
      <c r="O25" s="713">
        <v>8.5533745421245424</v>
      </c>
      <c r="P25" s="723">
        <v>99.828796018796012</v>
      </c>
      <c r="Q25" s="723">
        <v>99.827204554704565</v>
      </c>
      <c r="R25" s="500"/>
      <c r="S25" s="500"/>
      <c r="V25" s="785">
        <v>2063</v>
      </c>
      <c r="W25" s="723">
        <v>1275.1666666666665</v>
      </c>
      <c r="X25" s="723">
        <v>22.670329670329672</v>
      </c>
      <c r="Y25" s="723">
        <v>14.012820512820511</v>
      </c>
    </row>
    <row r="26" spans="1:33" s="714" customFormat="1" ht="25.5" customHeight="1">
      <c r="A26" s="338">
        <v>14</v>
      </c>
      <c r="B26" s="708" t="s">
        <v>94</v>
      </c>
      <c r="C26" s="709">
        <v>19</v>
      </c>
      <c r="D26" s="709">
        <v>19</v>
      </c>
      <c r="E26" s="710">
        <v>0.70486111111111116</v>
      </c>
      <c r="F26" s="722">
        <v>3.1909722222222223</v>
      </c>
      <c r="G26" s="710">
        <v>5.75</v>
      </c>
      <c r="H26" s="710">
        <v>9.2340277777777793</v>
      </c>
      <c r="I26" s="711">
        <v>14.984027777777779</v>
      </c>
      <c r="J26" s="711">
        <v>15.68888888888889</v>
      </c>
      <c r="K26" s="711">
        <v>0.82573099415204687</v>
      </c>
      <c r="L26" s="723">
        <v>99.85866791381082</v>
      </c>
      <c r="M26" s="723">
        <v>99.852019535098194</v>
      </c>
      <c r="N26" s="722">
        <v>104.61666666666667</v>
      </c>
      <c r="O26" s="713">
        <v>5.5061403508771933</v>
      </c>
      <c r="P26" s="723">
        <v>99.889514294996744</v>
      </c>
      <c r="Q26" s="723">
        <v>99.888764841396423</v>
      </c>
      <c r="R26" s="500">
        <v>-3.0846381185924088E-2</v>
      </c>
      <c r="S26" s="500">
        <v>-3.6745306298229252E-2</v>
      </c>
      <c r="V26" s="785">
        <v>481.04861111111109</v>
      </c>
      <c r="W26" s="723">
        <v>376.53333333333336</v>
      </c>
      <c r="X26" s="723">
        <v>25.318347953216374</v>
      </c>
      <c r="Y26" s="723">
        <v>19.817543859649124</v>
      </c>
    </row>
    <row r="27" spans="1:33" s="714" customFormat="1" ht="25.5" hidden="1" customHeight="1">
      <c r="A27" s="730">
        <v>18</v>
      </c>
      <c r="B27" s="708" t="s">
        <v>32</v>
      </c>
      <c r="C27" s="718">
        <v>39</v>
      </c>
      <c r="D27" s="718">
        <v>39</v>
      </c>
      <c r="E27" s="716">
        <v>1.3743055555555554</v>
      </c>
      <c r="F27" s="722">
        <v>7.5715277777777779</v>
      </c>
      <c r="G27" s="716">
        <v>78.569444444444471</v>
      </c>
      <c r="H27" s="716">
        <v>22.161805555555553</v>
      </c>
      <c r="I27" s="711">
        <v>100.73125000000002</v>
      </c>
      <c r="J27" s="711">
        <v>102.10555555555557</v>
      </c>
      <c r="K27" s="711">
        <v>2.6180911680911683</v>
      </c>
      <c r="L27" s="723">
        <v>99.537123196397388</v>
      </c>
      <c r="M27" s="723">
        <v>99.530808034392265</v>
      </c>
      <c r="N27" s="722">
        <v>683.32680555555555</v>
      </c>
      <c r="O27" s="713">
        <v>17.521200142450141</v>
      </c>
      <c r="P27" s="723">
        <v>99.646748251748249</v>
      </c>
      <c r="Q27" s="723">
        <v>99.646036360758586</v>
      </c>
      <c r="R27" s="500">
        <v>-0.10962505535086109</v>
      </c>
      <c r="S27" s="500">
        <v>-0.11522832636632074</v>
      </c>
      <c r="V27" s="799">
        <v>3363</v>
      </c>
      <c r="W27" s="723">
        <v>2450.5333333333338</v>
      </c>
      <c r="X27" s="723">
        <v>86.230769230769226</v>
      </c>
      <c r="Y27" s="723">
        <v>62.834188034188045</v>
      </c>
    </row>
    <row r="28" spans="1:33" s="714" customFormat="1" ht="25.5" hidden="1" customHeight="1">
      <c r="A28" s="730">
        <v>19</v>
      </c>
      <c r="B28" s="708" t="s">
        <v>55</v>
      </c>
      <c r="C28" s="718">
        <v>47</v>
      </c>
      <c r="D28" s="718">
        <v>47</v>
      </c>
      <c r="E28" s="716">
        <v>1.526388888888889</v>
      </c>
      <c r="F28" s="722">
        <v>32.627916666666671</v>
      </c>
      <c r="G28" s="728">
        <v>25.855555555555554</v>
      </c>
      <c r="H28" s="728">
        <v>12.651388888888887</v>
      </c>
      <c r="I28" s="711">
        <v>38.506944444444443</v>
      </c>
      <c r="J28" s="711">
        <v>40.033333333333331</v>
      </c>
      <c r="K28" s="711">
        <v>0.85177304964539002</v>
      </c>
      <c r="L28" s="723">
        <v>99.853172636145644</v>
      </c>
      <c r="M28" s="723">
        <v>99.84735250006355</v>
      </c>
      <c r="N28" s="722">
        <v>349.69555555555553</v>
      </c>
      <c r="O28" s="713">
        <v>7.4403309692671389</v>
      </c>
      <c r="P28" s="723">
        <v>99.850346371516594</v>
      </c>
      <c r="Q28" s="723">
        <v>99.849690283449149</v>
      </c>
      <c r="R28" s="500">
        <v>2.8262646290500015E-3</v>
      </c>
      <c r="S28" s="500">
        <v>-2.3377833855988683E-3</v>
      </c>
      <c r="V28" s="799">
        <v>2637</v>
      </c>
      <c r="W28" s="723">
        <v>960.8</v>
      </c>
      <c r="X28" s="723">
        <v>56.106382978723403</v>
      </c>
      <c r="Y28" s="723">
        <v>20.44255319148936</v>
      </c>
    </row>
    <row r="29" spans="1:33" s="714" customFormat="1" ht="25.5" customHeight="1">
      <c r="A29" s="338">
        <v>15</v>
      </c>
      <c r="B29" s="708" t="s">
        <v>32</v>
      </c>
      <c r="C29" s="709">
        <v>86</v>
      </c>
      <c r="D29" s="709">
        <v>86</v>
      </c>
      <c r="E29" s="710">
        <v>2.9006944444444445</v>
      </c>
      <c r="F29" s="722">
        <v>41.763333333333335</v>
      </c>
      <c r="G29" s="710">
        <v>104.42500000000003</v>
      </c>
      <c r="H29" s="710">
        <v>34.813194444444441</v>
      </c>
      <c r="I29" s="710">
        <v>139.23819444444445</v>
      </c>
      <c r="J29" s="711">
        <v>142.13888888888889</v>
      </c>
      <c r="K29" s="711">
        <v>1.6527777777777777</v>
      </c>
      <c r="L29" s="723">
        <v>99.709847890213297</v>
      </c>
      <c r="M29" s="723">
        <v>99.703803265631223</v>
      </c>
      <c r="N29" s="722">
        <v>1034.5862499999998</v>
      </c>
      <c r="O29" s="713">
        <v>12.030072674418603</v>
      </c>
      <c r="P29" s="723">
        <v>99.757649622843417</v>
      </c>
      <c r="Q29" s="723">
        <v>99.756968228799622</v>
      </c>
      <c r="R29" s="500"/>
      <c r="S29" s="500"/>
      <c r="V29" s="785">
        <v>6000</v>
      </c>
      <c r="W29" s="723">
        <v>3411.333333333333</v>
      </c>
      <c r="X29" s="723">
        <v>69.767441860465112</v>
      </c>
      <c r="Y29" s="723">
        <v>39.666666666666664</v>
      </c>
      <c r="AF29" s="729"/>
      <c r="AG29" s="729"/>
    </row>
    <row r="30" spans="1:33" s="714" customFormat="1" ht="25.5" customHeight="1">
      <c r="A30" s="715">
        <v>16</v>
      </c>
      <c r="B30" s="708" t="s">
        <v>56</v>
      </c>
      <c r="C30" s="715">
        <v>64</v>
      </c>
      <c r="D30" s="709">
        <v>64</v>
      </c>
      <c r="E30" s="710">
        <v>0.44722222222222219</v>
      </c>
      <c r="F30" s="722">
        <v>4.0472222222222225</v>
      </c>
      <c r="G30" s="710">
        <v>53.868749999999999</v>
      </c>
      <c r="H30" s="710">
        <v>29.55</v>
      </c>
      <c r="I30" s="711">
        <v>83.418750000000003</v>
      </c>
      <c r="J30" s="713">
        <v>83.865972222222226</v>
      </c>
      <c r="K30" s="710">
        <v>1.3104058159722223</v>
      </c>
      <c r="L30" s="723">
        <v>99.766412550403246</v>
      </c>
      <c r="M30" s="723">
        <v>99.765160248033652</v>
      </c>
      <c r="N30" s="722">
        <v>825.41666666666674</v>
      </c>
      <c r="O30" s="710">
        <v>12.897135416666668</v>
      </c>
      <c r="P30" s="723">
        <v>99.739592978395052</v>
      </c>
      <c r="Q30" s="723">
        <v>99.739451809764304</v>
      </c>
      <c r="R30" s="500">
        <v>2.6819572008193404E-2</v>
      </c>
      <c r="S30" s="500">
        <v>2.5708438269347766E-2</v>
      </c>
      <c r="V30" s="785">
        <v>776</v>
      </c>
      <c r="W30" s="723">
        <v>2012.7833333333333</v>
      </c>
      <c r="X30" s="723">
        <v>12.125</v>
      </c>
      <c r="Y30" s="723">
        <v>31.449739583333333</v>
      </c>
    </row>
    <row r="31" spans="1:33" ht="15.75" hidden="1">
      <c r="C31" s="497">
        <v>2344</v>
      </c>
      <c r="D31" s="497">
        <v>2288</v>
      </c>
      <c r="E31" s="497">
        <v>130.66030228758171</v>
      </c>
      <c r="F31" s="722">
        <v>3050.229885620915</v>
      </c>
      <c r="G31" s="497">
        <v>1359.4529166666669</v>
      </c>
      <c r="H31" s="497">
        <v>987.7352777777777</v>
      </c>
      <c r="I31" s="497">
        <v>2347.1881944444444</v>
      </c>
      <c r="J31" s="497">
        <v>2477.8484967320264</v>
      </c>
      <c r="K31" s="497">
        <v>21.817138536109258</v>
      </c>
      <c r="L31" s="723">
        <v>99.820544775768184</v>
      </c>
      <c r="M31" s="723">
        <v>99.810555089427439</v>
      </c>
      <c r="N31" s="722">
        <v>22783.831801130174</v>
      </c>
      <c r="O31" s="497">
        <v>208.48356648722242</v>
      </c>
      <c r="P31" s="723">
        <v>99.804761165418327</v>
      </c>
      <c r="Q31" s="723">
        <v>99.803635055321749</v>
      </c>
      <c r="R31" s="500">
        <v>1.5783610349856758E-2</v>
      </c>
      <c r="V31" s="767"/>
      <c r="W31" s="767"/>
      <c r="X31" s="723">
        <v>0</v>
      </c>
      <c r="Y31" s="767"/>
    </row>
    <row r="32" spans="1:33" ht="12.75" hidden="1" customHeight="1">
      <c r="A32" s="895" t="s">
        <v>33</v>
      </c>
      <c r="B32" s="896"/>
      <c r="C32" s="896"/>
      <c r="D32" s="896"/>
      <c r="E32" s="896"/>
      <c r="F32" s="896"/>
      <c r="G32" s="896"/>
      <c r="H32" s="896"/>
      <c r="I32" s="896"/>
      <c r="J32" s="896"/>
      <c r="K32" s="896"/>
      <c r="L32" s="896"/>
      <c r="M32" s="896"/>
      <c r="N32" s="896"/>
      <c r="O32" s="896"/>
      <c r="P32" s="896"/>
      <c r="Q32" s="897"/>
      <c r="R32" s="500">
        <v>0</v>
      </c>
      <c r="V32" s="767"/>
      <c r="W32" s="767"/>
      <c r="X32" s="723" t="e">
        <v>#DIV/0!</v>
      </c>
      <c r="Y32" s="767"/>
    </row>
    <row r="33" spans="1:25" ht="28.5" hidden="1" customHeight="1" thickBot="1">
      <c r="A33" s="898"/>
      <c r="B33" s="899"/>
      <c r="C33" s="899"/>
      <c r="D33" s="899"/>
      <c r="E33" s="899"/>
      <c r="F33" s="899"/>
      <c r="G33" s="899"/>
      <c r="H33" s="899"/>
      <c r="I33" s="899"/>
      <c r="J33" s="899"/>
      <c r="K33" s="899"/>
      <c r="L33" s="899"/>
      <c r="M33" s="899"/>
      <c r="N33" s="899"/>
      <c r="O33" s="899"/>
      <c r="P33" s="899"/>
      <c r="Q33" s="900"/>
      <c r="R33" s="500">
        <v>0</v>
      </c>
      <c r="V33" s="767"/>
      <c r="W33" s="767"/>
      <c r="X33" s="723" t="e">
        <v>#DIV/0!</v>
      </c>
      <c r="Y33" s="767"/>
    </row>
    <row r="34" spans="1:25" ht="12.75" hidden="1" customHeight="1">
      <c r="A34" s="907" t="s">
        <v>34</v>
      </c>
      <c r="B34" s="908"/>
      <c r="C34" s="908"/>
      <c r="D34" s="908"/>
      <c r="E34" s="908"/>
      <c r="F34" s="908"/>
      <c r="G34" s="908"/>
      <c r="H34" s="908"/>
      <c r="I34" s="908"/>
      <c r="J34" s="908"/>
      <c r="K34" s="908"/>
      <c r="L34" s="908"/>
      <c r="M34" s="908"/>
      <c r="N34" s="908"/>
      <c r="O34" s="908"/>
      <c r="P34" s="908"/>
      <c r="Q34" s="909"/>
      <c r="R34" s="500">
        <v>0</v>
      </c>
      <c r="V34" s="767"/>
      <c r="W34" s="767"/>
      <c r="X34" s="723" t="e">
        <v>#DIV/0!</v>
      </c>
      <c r="Y34" s="767"/>
    </row>
    <row r="35" spans="1:25" ht="12.75" hidden="1" customHeight="1">
      <c r="A35" s="910"/>
      <c r="B35" s="911"/>
      <c r="C35" s="911"/>
      <c r="D35" s="911"/>
      <c r="E35" s="911"/>
      <c r="F35" s="911"/>
      <c r="G35" s="911"/>
      <c r="H35" s="911"/>
      <c r="I35" s="911"/>
      <c r="J35" s="911"/>
      <c r="K35" s="911"/>
      <c r="L35" s="911"/>
      <c r="M35" s="911"/>
      <c r="N35" s="911"/>
      <c r="O35" s="911"/>
      <c r="P35" s="911"/>
      <c r="Q35" s="912"/>
      <c r="R35" s="500">
        <v>0</v>
      </c>
      <c r="V35" s="767"/>
      <c r="W35" s="767"/>
      <c r="X35" s="723" t="e">
        <v>#DIV/0!</v>
      </c>
      <c r="Y35" s="767"/>
    </row>
    <row r="36" spans="1:25" ht="13.5" hidden="1" customHeight="1" thickBot="1">
      <c r="A36" s="913"/>
      <c r="B36" s="914"/>
      <c r="C36" s="914"/>
      <c r="D36" s="914"/>
      <c r="E36" s="914"/>
      <c r="F36" s="914"/>
      <c r="G36" s="914"/>
      <c r="H36" s="914"/>
      <c r="I36" s="914"/>
      <c r="J36" s="914"/>
      <c r="K36" s="914"/>
      <c r="L36" s="914"/>
      <c r="M36" s="914"/>
      <c r="N36" s="914"/>
      <c r="O36" s="914"/>
      <c r="P36" s="914"/>
      <c r="Q36" s="915"/>
      <c r="R36" s="500">
        <v>0</v>
      </c>
      <c r="V36" s="767"/>
      <c r="W36" s="767"/>
      <c r="X36" s="723" t="e">
        <v>#DIV/0!</v>
      </c>
      <c r="Y36" s="767"/>
    </row>
    <row r="37" spans="1:25" ht="15.75" hidden="1">
      <c r="A37" s="895" t="s">
        <v>35</v>
      </c>
      <c r="B37" s="896"/>
      <c r="C37" s="896"/>
      <c r="D37" s="896"/>
      <c r="E37" s="896"/>
      <c r="F37" s="896"/>
      <c r="G37" s="896"/>
      <c r="H37" s="896"/>
      <c r="I37" s="896"/>
      <c r="J37" s="896"/>
      <c r="K37" s="896"/>
      <c r="L37" s="896"/>
      <c r="M37" s="896"/>
      <c r="N37" s="896"/>
      <c r="O37" s="896"/>
      <c r="P37" s="896"/>
      <c r="Q37" s="897"/>
      <c r="R37" s="500">
        <v>0</v>
      </c>
      <c r="V37" s="767"/>
      <c r="W37" s="767"/>
      <c r="X37" s="723" t="e">
        <v>#DIV/0!</v>
      </c>
      <c r="Y37" s="767"/>
    </row>
    <row r="38" spans="1:25" ht="20.25" hidden="1" customHeight="1" thickBot="1">
      <c r="A38" s="898"/>
      <c r="B38" s="899"/>
      <c r="C38" s="899"/>
      <c r="D38" s="899"/>
      <c r="E38" s="899"/>
      <c r="F38" s="899"/>
      <c r="G38" s="899"/>
      <c r="H38" s="899"/>
      <c r="I38" s="899"/>
      <c r="J38" s="899"/>
      <c r="K38" s="899"/>
      <c r="L38" s="899"/>
      <c r="M38" s="899"/>
      <c r="N38" s="899"/>
      <c r="O38" s="899"/>
      <c r="P38" s="899"/>
      <c r="Q38" s="900"/>
      <c r="R38" s="500">
        <v>0</v>
      </c>
      <c r="V38" s="767"/>
      <c r="W38" s="767"/>
      <c r="X38" s="723" t="e">
        <v>#DIV/0!</v>
      </c>
      <c r="Y38" s="767"/>
    </row>
    <row r="39" spans="1:25" ht="18.75" hidden="1" customHeight="1">
      <c r="A39" s="895" t="s">
        <v>36</v>
      </c>
      <c r="B39" s="896"/>
      <c r="C39" s="896"/>
      <c r="D39" s="896"/>
      <c r="E39" s="896"/>
      <c r="F39" s="896"/>
      <c r="G39" s="896"/>
      <c r="H39" s="896"/>
      <c r="I39" s="896"/>
      <c r="J39" s="896"/>
      <c r="K39" s="896"/>
      <c r="L39" s="896"/>
      <c r="M39" s="896"/>
      <c r="N39" s="896"/>
      <c r="O39" s="896"/>
      <c r="P39" s="896"/>
      <c r="Q39" s="897"/>
      <c r="R39" s="500">
        <v>0</v>
      </c>
      <c r="V39" s="767"/>
      <c r="W39" s="767"/>
      <c r="X39" s="723" t="e">
        <v>#DIV/0!</v>
      </c>
      <c r="Y39" s="767"/>
    </row>
    <row r="40" spans="1:25" ht="29.25" hidden="1" customHeight="1" thickBot="1">
      <c r="A40" s="898"/>
      <c r="B40" s="899"/>
      <c r="C40" s="899"/>
      <c r="D40" s="899"/>
      <c r="E40" s="899"/>
      <c r="F40" s="899"/>
      <c r="G40" s="899"/>
      <c r="H40" s="899"/>
      <c r="I40" s="899"/>
      <c r="J40" s="899"/>
      <c r="K40" s="899"/>
      <c r="L40" s="899"/>
      <c r="M40" s="899"/>
      <c r="N40" s="899"/>
      <c r="O40" s="899"/>
      <c r="P40" s="899"/>
      <c r="Q40" s="900"/>
      <c r="R40" s="500">
        <v>0</v>
      </c>
      <c r="V40" s="767"/>
      <c r="W40" s="767"/>
      <c r="X40" s="723" t="e">
        <v>#DIV/0!</v>
      </c>
      <c r="Y40" s="767"/>
    </row>
    <row r="41" spans="1:25" ht="15.75" hidden="1">
      <c r="R41" s="500">
        <v>0</v>
      </c>
      <c r="V41" s="767"/>
      <c r="W41" s="767"/>
      <c r="X41" s="723" t="e">
        <v>#DIV/0!</v>
      </c>
      <c r="Y41" s="767"/>
    </row>
    <row r="42" spans="1:25" ht="15.75" hidden="1">
      <c r="R42" s="500">
        <v>0</v>
      </c>
      <c r="V42" s="767"/>
      <c r="W42" s="767"/>
      <c r="X42" s="723" t="e">
        <v>#DIV/0!</v>
      </c>
      <c r="Y42" s="767"/>
    </row>
    <row r="43" spans="1:25" ht="15.75" hidden="1">
      <c r="R43" s="500">
        <v>0</v>
      </c>
      <c r="V43" s="767"/>
      <c r="W43" s="767"/>
      <c r="X43" s="723" t="e">
        <v>#DIV/0!</v>
      </c>
      <c r="Y43" s="767"/>
    </row>
    <row r="44" spans="1:25" ht="15" hidden="1" customHeight="1">
      <c r="P44" s="751"/>
      <c r="Q44" s="751"/>
      <c r="R44" s="500">
        <v>0</v>
      </c>
      <c r="V44" s="767"/>
      <c r="W44" s="767"/>
      <c r="X44" s="723" t="e">
        <v>#DIV/0!</v>
      </c>
      <c r="Y44" s="767"/>
    </row>
    <row r="45" spans="1:25" ht="15" hidden="1" customHeight="1">
      <c r="P45" s="751">
        <v>98.57</v>
      </c>
      <c r="Q45" s="751">
        <v>97.92</v>
      </c>
      <c r="R45" s="500">
        <v>-98.57</v>
      </c>
      <c r="V45" s="767"/>
      <c r="W45" s="767"/>
      <c r="X45" s="723" t="e">
        <v>#DIV/0!</v>
      </c>
      <c r="Y45" s="767"/>
    </row>
    <row r="46" spans="1:25" ht="15" hidden="1" customHeight="1">
      <c r="R46" s="500">
        <v>0</v>
      </c>
      <c r="V46" s="767"/>
      <c r="W46" s="767"/>
      <c r="X46" s="723" t="e">
        <v>#DIV/0!</v>
      </c>
      <c r="Y46" s="767"/>
    </row>
    <row r="47" spans="1:25" ht="15" hidden="1" customHeight="1">
      <c r="C47" s="497"/>
      <c r="R47" s="500">
        <v>0</v>
      </c>
      <c r="V47" s="767"/>
      <c r="W47" s="767"/>
      <c r="X47" s="723" t="e">
        <v>#DIV/0!</v>
      </c>
      <c r="Y47" s="767"/>
    </row>
    <row r="48" spans="1:25" ht="15" hidden="1" customHeight="1">
      <c r="C48" s="497"/>
      <c r="R48" s="500">
        <v>0</v>
      </c>
      <c r="V48" s="767"/>
      <c r="W48" s="767"/>
      <c r="X48" s="723" t="e">
        <v>#DIV/0!</v>
      </c>
      <c r="Y48" s="767"/>
    </row>
    <row r="49" spans="1:34" ht="15" hidden="1" customHeight="1">
      <c r="K49" s="480">
        <v>265</v>
      </c>
      <c r="R49" s="500">
        <v>0</v>
      </c>
      <c r="V49" s="767"/>
      <c r="W49" s="767"/>
      <c r="X49" s="723" t="e">
        <v>#DIV/0!</v>
      </c>
      <c r="Y49" s="767"/>
    </row>
    <row r="50" spans="1:34" ht="15" hidden="1" customHeight="1">
      <c r="K50" s="480">
        <v>88.333333333333329</v>
      </c>
      <c r="R50" s="500">
        <v>0</v>
      </c>
      <c r="V50" s="767"/>
      <c r="W50" s="767"/>
      <c r="X50" s="723" t="e">
        <v>#DIV/0!</v>
      </c>
      <c r="Y50" s="767"/>
    </row>
    <row r="51" spans="1:34" ht="15" hidden="1" customHeight="1">
      <c r="R51" s="500">
        <v>0</v>
      </c>
      <c r="V51" s="767"/>
      <c r="W51" s="767"/>
      <c r="X51" s="723" t="e">
        <v>#DIV/0!</v>
      </c>
      <c r="Y51" s="767"/>
    </row>
    <row r="52" spans="1:34" ht="11.25" hidden="1" customHeight="1">
      <c r="R52" s="500">
        <v>0</v>
      </c>
      <c r="V52" s="767"/>
      <c r="W52" s="767"/>
      <c r="X52" s="723" t="e">
        <v>#DIV/0!</v>
      </c>
      <c r="Y52" s="767"/>
    </row>
    <row r="53" spans="1:34" ht="11.25" hidden="1" customHeight="1">
      <c r="R53" s="500">
        <v>0</v>
      </c>
      <c r="V53" s="767"/>
      <c r="W53" s="767"/>
      <c r="X53" s="723" t="e">
        <v>#DIV/0!</v>
      </c>
      <c r="Y53" s="767"/>
    </row>
    <row r="54" spans="1:34" ht="11.25" hidden="1" customHeight="1">
      <c r="R54" s="500">
        <v>0</v>
      </c>
      <c r="V54" s="767"/>
      <c r="W54" s="767"/>
      <c r="X54" s="723" t="e">
        <v>#DIV/0!</v>
      </c>
      <c r="Y54" s="767"/>
    </row>
    <row r="55" spans="1:34" ht="11.25" hidden="1" customHeight="1">
      <c r="R55" s="500">
        <v>0</v>
      </c>
      <c r="V55" s="787"/>
      <c r="W55" s="787"/>
      <c r="X55" s="788" t="e">
        <v>#DIV/0!</v>
      </c>
      <c r="Y55" s="787"/>
    </row>
    <row r="56" spans="1:34" s="789" customFormat="1" ht="54" customHeight="1">
      <c r="A56" s="984" t="s">
        <v>203</v>
      </c>
      <c r="B56" s="985"/>
      <c r="C56" s="985"/>
      <c r="D56" s="985"/>
      <c r="E56" s="985"/>
      <c r="F56" s="985"/>
      <c r="G56" s="985"/>
      <c r="H56" s="985"/>
      <c r="I56" s="985"/>
      <c r="J56" s="985"/>
      <c r="K56" s="985"/>
      <c r="L56" s="985"/>
      <c r="M56" s="985"/>
      <c r="N56" s="985"/>
      <c r="O56" s="985"/>
      <c r="P56" s="985"/>
      <c r="Q56" s="985"/>
      <c r="R56" s="985"/>
      <c r="S56" s="985"/>
      <c r="T56" s="985"/>
      <c r="U56" s="985"/>
      <c r="V56" s="985"/>
      <c r="W56" s="985"/>
      <c r="X56" s="985"/>
      <c r="Y56" s="986"/>
      <c r="AE56" s="815"/>
      <c r="AF56" s="815"/>
      <c r="AG56" s="815"/>
      <c r="AH56" s="815"/>
    </row>
    <row r="57" spans="1:34" s="792" customFormat="1" ht="31.5" hidden="1" customHeight="1">
      <c r="A57" s="810"/>
      <c r="B57" s="983" t="s">
        <v>190</v>
      </c>
      <c r="C57" s="983"/>
      <c r="D57" s="983"/>
      <c r="E57" s="983"/>
      <c r="F57" s="983"/>
      <c r="G57" s="983"/>
      <c r="H57" s="790"/>
      <c r="I57" s="790"/>
      <c r="J57" s="790"/>
      <c r="K57" s="791"/>
      <c r="P57" s="793"/>
    </row>
    <row r="58" spans="1:34" s="792" customFormat="1" ht="31.5" hidden="1" customHeight="1">
      <c r="A58" s="810"/>
      <c r="B58" s="983" t="s">
        <v>191</v>
      </c>
      <c r="C58" s="983"/>
      <c r="D58" s="983"/>
      <c r="E58" s="983"/>
      <c r="F58" s="983"/>
      <c r="G58" s="983"/>
      <c r="H58" s="790"/>
      <c r="I58" s="790"/>
      <c r="J58" s="790"/>
      <c r="K58" s="791"/>
      <c r="P58" s="793"/>
    </row>
    <row r="59" spans="1:34" s="794" customFormat="1" ht="31.5" hidden="1" customHeight="1">
      <c r="B59" s="983" t="s">
        <v>192</v>
      </c>
      <c r="C59" s="983"/>
      <c r="D59" s="983"/>
      <c r="E59" s="983"/>
      <c r="F59" s="983"/>
      <c r="G59" s="983"/>
      <c r="H59" s="795"/>
      <c r="I59" s="795"/>
      <c r="P59" s="796"/>
    </row>
    <row r="60" spans="1:34" s="792" customFormat="1" ht="31.5" hidden="1" customHeight="1">
      <c r="A60" s="797"/>
      <c r="B60" s="983" t="s">
        <v>193</v>
      </c>
      <c r="C60" s="983"/>
      <c r="D60" s="983"/>
      <c r="E60" s="983"/>
      <c r="F60" s="983"/>
      <c r="G60" s="983"/>
      <c r="H60" s="983"/>
      <c r="I60" s="797"/>
      <c r="P60" s="793"/>
    </row>
    <row r="61" spans="1:34" s="792" customFormat="1" ht="31.5" hidden="1" customHeight="1">
      <c r="A61" s="797"/>
      <c r="B61" s="983" t="s">
        <v>194</v>
      </c>
      <c r="C61" s="983"/>
      <c r="D61" s="983"/>
      <c r="E61" s="983"/>
      <c r="F61" s="983"/>
      <c r="G61" s="983"/>
      <c r="H61" s="810"/>
      <c r="I61" s="790"/>
      <c r="P61" s="793"/>
    </row>
    <row r="62" spans="1:34">
      <c r="G62" s="737"/>
      <c r="H62" s="737"/>
      <c r="I62" s="737"/>
    </row>
    <row r="63" spans="1:34" ht="18">
      <c r="F63" s="737"/>
      <c r="G63" s="798"/>
      <c r="H63" s="798"/>
      <c r="I63" s="737"/>
      <c r="J63" s="753"/>
      <c r="K63" s="753"/>
    </row>
    <row r="64" spans="1:34" ht="18">
      <c r="F64" s="737"/>
      <c r="G64" s="737"/>
      <c r="H64" s="737"/>
      <c r="I64" s="757"/>
      <c r="J64" s="757"/>
      <c r="K64" s="753"/>
    </row>
    <row r="65" spans="6:10" ht="18">
      <c r="F65" s="754"/>
      <c r="G65" s="737"/>
      <c r="H65" s="737"/>
      <c r="I65" s="757"/>
      <c r="J65" s="757"/>
    </row>
    <row r="66" spans="6:10" ht="18.75">
      <c r="F66" s="755"/>
      <c r="G66" s="737"/>
      <c r="H66" s="737"/>
      <c r="I66" s="758"/>
      <c r="J66" s="758"/>
    </row>
    <row r="67" spans="6:10" ht="18">
      <c r="F67" s="755"/>
      <c r="I67" s="759"/>
      <c r="J67" s="759"/>
    </row>
    <row r="68" spans="6:10" ht="18">
      <c r="F68" s="756"/>
    </row>
  </sheetData>
  <mergeCells count="24"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V5:Y5"/>
    <mergeCell ref="A32:Q33"/>
    <mergeCell ref="B60:H60"/>
    <mergeCell ref="B61:G61"/>
    <mergeCell ref="A37:Q38"/>
    <mergeCell ref="A39:Q40"/>
    <mergeCell ref="A56:Y56"/>
    <mergeCell ref="B57:G57"/>
    <mergeCell ref="B58:G58"/>
    <mergeCell ref="B59:G59"/>
    <mergeCell ref="A34:Q36"/>
  </mergeCells>
  <printOptions horizontalCentered="1"/>
  <pageMargins left="0" right="0" top="0.5" bottom="0" header="0.19" footer="0.5"/>
  <pageSetup paperSize="9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view="pageBreakPreview" topLeftCell="A6" zoomScale="60" workbookViewId="0">
      <selection activeCell="I34" activeCellId="1" sqref="I34 L36"/>
    </sheetView>
  </sheetViews>
  <sheetFormatPr defaultRowHeight="12.75"/>
  <cols>
    <col min="1" max="1" width="7.140625" style="146" customWidth="1"/>
    <col min="2" max="2" width="24.140625" style="146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9.7109375" style="146" customWidth="1"/>
    <col min="13" max="13" width="10.7109375" style="146" customWidth="1"/>
    <col min="14" max="14" width="12.85546875" style="146" customWidth="1"/>
    <col min="15" max="15" width="11.85546875" style="146" customWidth="1"/>
    <col min="16" max="16" width="13.85546875" style="146" customWidth="1"/>
    <col min="17" max="17" width="11.7109375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37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91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3" customFormat="1" ht="14.25" customHeight="1">
      <c r="A11" s="821" t="s">
        <v>2</v>
      </c>
      <c r="B11" s="837" t="s">
        <v>38</v>
      </c>
      <c r="C11" s="821" t="s">
        <v>4</v>
      </c>
      <c r="D11" s="821" t="s">
        <v>5</v>
      </c>
      <c r="E11" s="821" t="s">
        <v>6</v>
      </c>
      <c r="F11" s="821" t="s">
        <v>7</v>
      </c>
      <c r="G11" s="845" t="s">
        <v>39</v>
      </c>
      <c r="H11" s="845"/>
      <c r="I11" s="845"/>
      <c r="J11" s="845" t="s">
        <v>90</v>
      </c>
      <c r="K11" s="845"/>
      <c r="L11" s="845"/>
      <c r="M11" s="845"/>
      <c r="N11" s="845" t="s">
        <v>84</v>
      </c>
      <c r="O11" s="845"/>
      <c r="P11" s="845"/>
      <c r="Q11" s="845"/>
    </row>
    <row r="12" spans="1:20" s="3" customFormat="1" ht="117.75" customHeight="1">
      <c r="A12" s="821"/>
      <c r="B12" s="838"/>
      <c r="C12" s="821"/>
      <c r="D12" s="821"/>
      <c r="E12" s="821"/>
      <c r="F12" s="821"/>
      <c r="G12" s="75" t="s">
        <v>9</v>
      </c>
      <c r="H12" s="75" t="s">
        <v>10</v>
      </c>
      <c r="I12" s="75" t="s">
        <v>11</v>
      </c>
      <c r="J12" s="75" t="s">
        <v>12</v>
      </c>
      <c r="K12" s="75" t="s">
        <v>13</v>
      </c>
      <c r="L12" s="75" t="s">
        <v>78</v>
      </c>
      <c r="M12" s="75" t="s">
        <v>14</v>
      </c>
      <c r="N12" s="75" t="s">
        <v>15</v>
      </c>
      <c r="O12" s="75" t="s">
        <v>16</v>
      </c>
      <c r="P12" s="75" t="s">
        <v>17</v>
      </c>
      <c r="Q12" s="75" t="s">
        <v>18</v>
      </c>
    </row>
    <row r="13" spans="1:20" ht="14.25" customHeight="1">
      <c r="A13" s="147">
        <v>1</v>
      </c>
      <c r="B13" s="147" t="s">
        <v>40</v>
      </c>
      <c r="C13" s="147">
        <v>3</v>
      </c>
      <c r="D13" s="147">
        <v>4</v>
      </c>
      <c r="E13" s="147">
        <v>5</v>
      </c>
      <c r="F13" s="147" t="s">
        <v>19</v>
      </c>
      <c r="G13" s="147">
        <v>6</v>
      </c>
      <c r="H13" s="147">
        <v>7</v>
      </c>
      <c r="I13" s="147" t="s">
        <v>20</v>
      </c>
      <c r="J13" s="147" t="s">
        <v>21</v>
      </c>
      <c r="K13" s="148" t="s">
        <v>22</v>
      </c>
      <c r="L13" s="147" t="s">
        <v>23</v>
      </c>
      <c r="M13" s="147" t="s">
        <v>24</v>
      </c>
      <c r="N13" s="147">
        <v>13</v>
      </c>
      <c r="O13" s="147" t="s">
        <v>25</v>
      </c>
      <c r="P13" s="147">
        <v>15</v>
      </c>
      <c r="Q13" s="147">
        <v>16</v>
      </c>
    </row>
    <row r="14" spans="1:20" s="155" customFormat="1" ht="24.95" customHeight="1">
      <c r="A14" s="149">
        <v>1</v>
      </c>
      <c r="B14" s="150" t="s">
        <v>41</v>
      </c>
      <c r="C14" s="151">
        <v>1</v>
      </c>
      <c r="D14" s="151">
        <v>1</v>
      </c>
      <c r="E14" s="152">
        <v>11.5</v>
      </c>
      <c r="F14" s="152" t="e">
        <f>E14+#REF!</f>
        <v>#REF!</v>
      </c>
      <c r="G14" s="152">
        <v>27.5</v>
      </c>
      <c r="H14" s="152">
        <v>9.6</v>
      </c>
      <c r="I14" s="152">
        <f>G14+H14</f>
        <v>37.1</v>
      </c>
      <c r="J14" s="152">
        <f>E14+I14</f>
        <v>48.6</v>
      </c>
      <c r="K14" s="152">
        <f>J14/C14</f>
        <v>48.6</v>
      </c>
      <c r="L14" s="153">
        <f>+(((C14*24)*31)-I14)*100/((C14*24)*31)</f>
        <v>95.013440860215056</v>
      </c>
      <c r="M14" s="153">
        <f>+(((C14*24)*31)-J14)*100/((C14*24)*31)</f>
        <v>93.467741935483872</v>
      </c>
      <c r="N14" s="152" t="e">
        <f>J14+#REF!</f>
        <v>#REF!</v>
      </c>
      <c r="O14" s="153" t="e">
        <f>N14/C14</f>
        <v>#REF!</v>
      </c>
      <c r="P14" s="153" t="e">
        <f>((C14*24*61)-(N14-E14))*100/(C14*24*61)</f>
        <v>#REF!</v>
      </c>
      <c r="Q14" s="153" t="e">
        <f>((C14*24*61)-(N14))*100/(C14*24*61)</f>
        <v>#REF!</v>
      </c>
      <c r="R14" s="154"/>
      <c r="S14" s="154" t="e">
        <f>L14-P14</f>
        <v>#REF!</v>
      </c>
      <c r="T14" s="154" t="e">
        <f>M14-Q14</f>
        <v>#REF!</v>
      </c>
    </row>
    <row r="15" spans="1:20" s="155" customFormat="1" ht="24.95" customHeight="1">
      <c r="A15" s="149">
        <v>2</v>
      </c>
      <c r="B15" s="150" t="s">
        <v>42</v>
      </c>
      <c r="C15" s="151">
        <v>1</v>
      </c>
      <c r="D15" s="151">
        <v>1</v>
      </c>
      <c r="E15" s="152">
        <v>21</v>
      </c>
      <c r="F15" s="152" t="e">
        <f>E15+#REF!</f>
        <v>#REF!</v>
      </c>
      <c r="G15" s="152">
        <v>20.350000000000001</v>
      </c>
      <c r="H15" s="152">
        <v>0.5</v>
      </c>
      <c r="I15" s="152">
        <f t="shared" ref="I15:I39" si="0">G15+H15</f>
        <v>20.85</v>
      </c>
      <c r="J15" s="152">
        <f t="shared" ref="J15:J39" si="1">E15+I15</f>
        <v>41.85</v>
      </c>
      <c r="K15" s="152">
        <f t="shared" ref="K15:K39" si="2">J15/C15</f>
        <v>41.85</v>
      </c>
      <c r="L15" s="153">
        <f t="shared" ref="L15:L39" si="3">+(((C15*24)*31)-I15)*100/((C15*24)*31)</f>
        <v>97.197580645161295</v>
      </c>
      <c r="M15" s="153">
        <f t="shared" ref="M15:M39" si="4">+(((C15*24)*31)-J15)*100/((C15*24)*31)</f>
        <v>94.375</v>
      </c>
      <c r="N15" s="152" t="e">
        <f>J15+#REF!</f>
        <v>#REF!</v>
      </c>
      <c r="O15" s="153" t="e">
        <f t="shared" ref="O15:O39" si="5">N15/C15</f>
        <v>#REF!</v>
      </c>
      <c r="P15" s="153" t="e">
        <f t="shared" ref="P15:P39" si="6">((C15*24*61)-(N15-E15))*100/(C15*24*61)</f>
        <v>#REF!</v>
      </c>
      <c r="Q15" s="153" t="e">
        <f t="shared" ref="Q15:Q39" si="7">((C15*24*61)-(N15))*100/(C15*24*61)</f>
        <v>#REF!</v>
      </c>
      <c r="R15" s="154"/>
      <c r="S15" s="154" t="e">
        <f t="shared" ref="S15:T39" si="8">L15-P15</f>
        <v>#REF!</v>
      </c>
      <c r="T15" s="154" t="e">
        <f t="shared" si="8"/>
        <v>#REF!</v>
      </c>
    </row>
    <row r="16" spans="1:20" s="155" customFormat="1" ht="24.95" customHeight="1">
      <c r="A16" s="149">
        <v>3</v>
      </c>
      <c r="B16" s="150" t="s">
        <v>43</v>
      </c>
      <c r="C16" s="151">
        <v>17</v>
      </c>
      <c r="D16" s="151">
        <v>17</v>
      </c>
      <c r="E16" s="152">
        <v>46.36</v>
      </c>
      <c r="F16" s="152" t="e">
        <f>E16+#REF!</f>
        <v>#REF!</v>
      </c>
      <c r="G16" s="152">
        <v>327.55</v>
      </c>
      <c r="H16" s="152">
        <v>533.15</v>
      </c>
      <c r="I16" s="152">
        <f t="shared" si="0"/>
        <v>860.7</v>
      </c>
      <c r="J16" s="152">
        <f t="shared" si="1"/>
        <v>907.06000000000006</v>
      </c>
      <c r="K16" s="152">
        <f t="shared" si="2"/>
        <v>53.356470588235297</v>
      </c>
      <c r="L16" s="153">
        <f t="shared" si="3"/>
        <v>93.194971537001891</v>
      </c>
      <c r="M16" s="153">
        <f t="shared" si="4"/>
        <v>92.828431372549019</v>
      </c>
      <c r="N16" s="152" t="e">
        <f>J16+#REF!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54"/>
      <c r="S16" s="154" t="e">
        <f t="shared" si="8"/>
        <v>#REF!</v>
      </c>
      <c r="T16" s="154" t="e">
        <f t="shared" si="8"/>
        <v>#REF!</v>
      </c>
    </row>
    <row r="17" spans="1:20" s="155" customFormat="1" ht="24.95" customHeight="1">
      <c r="A17" s="149">
        <v>4</v>
      </c>
      <c r="B17" s="150" t="s">
        <v>73</v>
      </c>
      <c r="C17" s="151">
        <v>3</v>
      </c>
      <c r="D17" s="151">
        <v>3</v>
      </c>
      <c r="E17" s="152">
        <v>39.450000000000003</v>
      </c>
      <c r="F17" s="152" t="e">
        <f>E17+#REF!</f>
        <v>#REF!</v>
      </c>
      <c r="G17" s="152">
        <v>130.19999999999999</v>
      </c>
      <c r="H17" s="152">
        <v>37.5</v>
      </c>
      <c r="I17" s="152">
        <f t="shared" si="0"/>
        <v>167.7</v>
      </c>
      <c r="J17" s="152">
        <f t="shared" si="1"/>
        <v>207.14999999999998</v>
      </c>
      <c r="K17" s="152">
        <f t="shared" si="2"/>
        <v>69.05</v>
      </c>
      <c r="L17" s="153">
        <f t="shared" si="3"/>
        <v>92.486559139784958</v>
      </c>
      <c r="M17" s="153">
        <f t="shared" si="4"/>
        <v>90.719086021505376</v>
      </c>
      <c r="N17" s="152" t="e">
        <f>J17+#REF!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54"/>
      <c r="S17" s="154" t="e">
        <f>L17-P17</f>
        <v>#REF!</v>
      </c>
      <c r="T17" s="154" t="e">
        <f>M17-Q17</f>
        <v>#REF!</v>
      </c>
    </row>
    <row r="18" spans="1:20" s="155" customFormat="1" ht="24.95" customHeight="1">
      <c r="A18" s="149">
        <v>5</v>
      </c>
      <c r="B18" s="150" t="s">
        <v>79</v>
      </c>
      <c r="C18" s="151">
        <v>9</v>
      </c>
      <c r="D18" s="151">
        <v>9</v>
      </c>
      <c r="E18" s="152">
        <v>24.3</v>
      </c>
      <c r="F18" s="152" t="e">
        <f>E18+#REF!</f>
        <v>#REF!</v>
      </c>
      <c r="G18" s="152">
        <v>172.2</v>
      </c>
      <c r="H18" s="152">
        <v>88.5</v>
      </c>
      <c r="I18" s="152">
        <f t="shared" si="0"/>
        <v>260.7</v>
      </c>
      <c r="J18" s="152">
        <f t="shared" si="1"/>
        <v>285</v>
      </c>
      <c r="K18" s="152">
        <f t="shared" si="2"/>
        <v>31.666666666666668</v>
      </c>
      <c r="L18" s="153">
        <f t="shared" si="3"/>
        <v>96.106630824372758</v>
      </c>
      <c r="M18" s="153">
        <f t="shared" si="4"/>
        <v>95.743727598566309</v>
      </c>
      <c r="N18" s="152" t="e">
        <f>J18+#REF!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54"/>
      <c r="S18" s="154" t="e">
        <f>L18-P18</f>
        <v>#REF!</v>
      </c>
      <c r="T18" s="154" t="e">
        <f>M18-Q18</f>
        <v>#REF!</v>
      </c>
    </row>
    <row r="19" spans="1:20" s="155" customFormat="1" ht="24.95" customHeight="1">
      <c r="A19" s="149">
        <v>6</v>
      </c>
      <c r="B19" s="150" t="s">
        <v>80</v>
      </c>
      <c r="C19" s="151">
        <v>1</v>
      </c>
      <c r="D19" s="151">
        <v>1</v>
      </c>
      <c r="E19" s="152">
        <v>2.5</v>
      </c>
      <c r="F19" s="152" t="e">
        <f>E19+#REF!</f>
        <v>#REF!</v>
      </c>
      <c r="G19" s="152">
        <v>20.55</v>
      </c>
      <c r="H19" s="152">
        <v>12.66</v>
      </c>
      <c r="I19" s="152">
        <f t="shared" si="0"/>
        <v>33.21</v>
      </c>
      <c r="J19" s="152">
        <f t="shared" si="1"/>
        <v>35.71</v>
      </c>
      <c r="K19" s="152">
        <f t="shared" si="2"/>
        <v>35.71</v>
      </c>
      <c r="L19" s="153">
        <f t="shared" si="3"/>
        <v>95.536290322580641</v>
      </c>
      <c r="M19" s="153">
        <f t="shared" si="4"/>
        <v>95.200268817204304</v>
      </c>
      <c r="N19" s="152" t="e">
        <f>J19+#REF!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54"/>
      <c r="S19" s="154" t="e">
        <f t="shared" si="8"/>
        <v>#REF!</v>
      </c>
      <c r="T19" s="154" t="e">
        <f t="shared" si="8"/>
        <v>#REF!</v>
      </c>
    </row>
    <row r="20" spans="1:20" s="155" customFormat="1" ht="24.95" customHeight="1">
      <c r="A20" s="149">
        <v>7</v>
      </c>
      <c r="B20" s="150" t="s">
        <v>74</v>
      </c>
      <c r="C20" s="151">
        <v>2</v>
      </c>
      <c r="D20" s="151">
        <v>2</v>
      </c>
      <c r="E20" s="152">
        <v>4.5</v>
      </c>
      <c r="F20" s="152" t="e">
        <f>E20+#REF!</f>
        <v>#REF!</v>
      </c>
      <c r="G20" s="152">
        <v>44.9</v>
      </c>
      <c r="H20" s="152">
        <v>37.75</v>
      </c>
      <c r="I20" s="152">
        <f t="shared" si="0"/>
        <v>82.65</v>
      </c>
      <c r="J20" s="152">
        <f t="shared" si="1"/>
        <v>87.15</v>
      </c>
      <c r="K20" s="152">
        <f t="shared" si="2"/>
        <v>43.575000000000003</v>
      </c>
      <c r="L20" s="153">
        <f t="shared" si="3"/>
        <v>94.445564516129039</v>
      </c>
      <c r="M20" s="153">
        <f t="shared" si="4"/>
        <v>94.14314516129032</v>
      </c>
      <c r="N20" s="152" t="e">
        <f>J20+#REF!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54"/>
      <c r="S20" s="154" t="e">
        <f t="shared" si="8"/>
        <v>#REF!</v>
      </c>
      <c r="T20" s="154" t="e">
        <f t="shared" si="8"/>
        <v>#REF!</v>
      </c>
    </row>
    <row r="21" spans="1:20" s="155" customFormat="1" ht="24.95" customHeight="1">
      <c r="A21" s="149">
        <v>8</v>
      </c>
      <c r="B21" s="150" t="s">
        <v>44</v>
      </c>
      <c r="C21" s="151">
        <v>3</v>
      </c>
      <c r="D21" s="151">
        <v>3</v>
      </c>
      <c r="E21" s="152">
        <v>8.3537499999999998</v>
      </c>
      <c r="F21" s="152" t="e">
        <f>E21+#REF!</f>
        <v>#REF!</v>
      </c>
      <c r="G21" s="152">
        <v>21.1</v>
      </c>
      <c r="H21" s="152">
        <v>6.15</v>
      </c>
      <c r="I21" s="152">
        <f t="shared" si="0"/>
        <v>27.25</v>
      </c>
      <c r="J21" s="152">
        <f t="shared" si="1"/>
        <v>35.603749999999998</v>
      </c>
      <c r="K21" s="152">
        <f t="shared" si="2"/>
        <v>11.867916666666666</v>
      </c>
      <c r="L21" s="153">
        <f t="shared" si="3"/>
        <v>98.77912186379929</v>
      </c>
      <c r="M21" s="153">
        <f t="shared" si="4"/>
        <v>98.404849910394248</v>
      </c>
      <c r="N21" s="152" t="e">
        <f>J21+#REF!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54"/>
      <c r="S21" s="154" t="e">
        <f t="shared" si="8"/>
        <v>#REF!</v>
      </c>
      <c r="T21" s="154" t="e">
        <f t="shared" si="8"/>
        <v>#REF!</v>
      </c>
    </row>
    <row r="22" spans="1:20" s="155" customFormat="1" ht="24.95" customHeight="1">
      <c r="A22" s="149">
        <v>9</v>
      </c>
      <c r="B22" s="150" t="s">
        <v>75</v>
      </c>
      <c r="C22" s="151">
        <v>5</v>
      </c>
      <c r="D22" s="151">
        <v>5</v>
      </c>
      <c r="E22" s="152">
        <v>9.6862499999999994</v>
      </c>
      <c r="F22" s="152" t="e">
        <f>E22+#REF!</f>
        <v>#REF!</v>
      </c>
      <c r="G22" s="152">
        <v>9.58</v>
      </c>
      <c r="H22" s="152">
        <v>6.45</v>
      </c>
      <c r="I22" s="152">
        <f t="shared" si="0"/>
        <v>16.03</v>
      </c>
      <c r="J22" s="152">
        <f t="shared" si="1"/>
        <v>25.716250000000002</v>
      </c>
      <c r="K22" s="152">
        <f t="shared" si="2"/>
        <v>5.1432500000000001</v>
      </c>
      <c r="L22" s="153">
        <f t="shared" si="3"/>
        <v>99.56908602150537</v>
      </c>
      <c r="M22" s="153">
        <f t="shared" si="4"/>
        <v>99.308702956989251</v>
      </c>
      <c r="N22" s="152" t="e">
        <f>J22+#REF!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54"/>
      <c r="S22" s="154" t="e">
        <f t="shared" si="8"/>
        <v>#REF!</v>
      </c>
      <c r="T22" s="154" t="e">
        <f t="shared" si="8"/>
        <v>#REF!</v>
      </c>
    </row>
    <row r="23" spans="1:20" s="155" customFormat="1" ht="24.95" customHeight="1">
      <c r="A23" s="149">
        <v>10</v>
      </c>
      <c r="B23" s="150" t="s">
        <v>76</v>
      </c>
      <c r="C23" s="151">
        <v>1</v>
      </c>
      <c r="D23" s="151">
        <v>1</v>
      </c>
      <c r="E23" s="152">
        <v>0.56375000000000008</v>
      </c>
      <c r="F23" s="152" t="e">
        <f>E23+#REF!</f>
        <v>#REF!</v>
      </c>
      <c r="G23" s="152">
        <v>4.3499999999999996</v>
      </c>
      <c r="H23" s="152">
        <v>1.05</v>
      </c>
      <c r="I23" s="152">
        <f t="shared" si="0"/>
        <v>5.3999999999999995</v>
      </c>
      <c r="J23" s="152">
        <f t="shared" si="1"/>
        <v>5.9637499999999992</v>
      </c>
      <c r="K23" s="152">
        <f t="shared" si="2"/>
        <v>5.9637499999999992</v>
      </c>
      <c r="L23" s="153">
        <f t="shared" si="3"/>
        <v>99.274193548387103</v>
      </c>
      <c r="M23" s="153">
        <f t="shared" si="4"/>
        <v>99.198420698924735</v>
      </c>
      <c r="N23" s="152" t="e">
        <f>J23+#REF!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54"/>
      <c r="S23" s="154" t="e">
        <f t="shared" si="8"/>
        <v>#REF!</v>
      </c>
      <c r="T23" s="154" t="e">
        <f t="shared" si="8"/>
        <v>#REF!</v>
      </c>
    </row>
    <row r="24" spans="1:20" s="1" customFormat="1" ht="24.95" customHeight="1">
      <c r="A24" s="149">
        <v>11</v>
      </c>
      <c r="B24" s="150" t="s">
        <v>28</v>
      </c>
      <c r="C24" s="156">
        <v>7</v>
      </c>
      <c r="D24" s="156">
        <v>7</v>
      </c>
      <c r="E24" s="153">
        <v>18</v>
      </c>
      <c r="F24" s="152" t="e">
        <f>E24+#REF!</f>
        <v>#REF!</v>
      </c>
      <c r="G24" s="153">
        <v>256</v>
      </c>
      <c r="H24" s="153">
        <v>125</v>
      </c>
      <c r="I24" s="152">
        <f t="shared" si="0"/>
        <v>381</v>
      </c>
      <c r="J24" s="152">
        <f t="shared" si="1"/>
        <v>399</v>
      </c>
      <c r="K24" s="152">
        <f t="shared" si="2"/>
        <v>57</v>
      </c>
      <c r="L24" s="153">
        <f t="shared" si="3"/>
        <v>92.684331797235018</v>
      </c>
      <c r="M24" s="153">
        <f t="shared" si="4"/>
        <v>92.338709677419359</v>
      </c>
      <c r="N24" s="152" t="e">
        <f>J24+#REF!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54"/>
      <c r="S24" s="154" t="e">
        <f t="shared" si="8"/>
        <v>#REF!</v>
      </c>
      <c r="T24" s="154" t="e">
        <f t="shared" si="8"/>
        <v>#REF!</v>
      </c>
    </row>
    <row r="25" spans="1:20" s="1" customFormat="1" ht="24.95" customHeight="1">
      <c r="A25" s="149">
        <v>12</v>
      </c>
      <c r="B25" s="150" t="s">
        <v>45</v>
      </c>
      <c r="C25" s="156">
        <v>11</v>
      </c>
      <c r="D25" s="156">
        <v>11</v>
      </c>
      <c r="E25" s="153">
        <v>15</v>
      </c>
      <c r="F25" s="152" t="e">
        <f>E25+#REF!</f>
        <v>#REF!</v>
      </c>
      <c r="G25" s="153">
        <v>198</v>
      </c>
      <c r="H25" s="153">
        <v>141</v>
      </c>
      <c r="I25" s="152">
        <f>G25+H25</f>
        <v>339</v>
      </c>
      <c r="J25" s="152">
        <f t="shared" si="1"/>
        <v>354</v>
      </c>
      <c r="K25" s="152">
        <f t="shared" si="2"/>
        <v>32.18181818181818</v>
      </c>
      <c r="L25" s="153">
        <f t="shared" si="3"/>
        <v>95.857771260997069</v>
      </c>
      <c r="M25" s="153">
        <f t="shared" si="4"/>
        <v>95.674486803519059</v>
      </c>
      <c r="N25" s="152" t="e">
        <f>J25+#REF!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54"/>
      <c r="S25" s="154" t="e">
        <f t="shared" si="8"/>
        <v>#REF!</v>
      </c>
      <c r="T25" s="154" t="e">
        <f t="shared" si="8"/>
        <v>#REF!</v>
      </c>
    </row>
    <row r="26" spans="1:20" s="1" customFormat="1" ht="24.95" customHeight="1">
      <c r="A26" s="149">
        <v>13</v>
      </c>
      <c r="B26" s="150" t="s">
        <v>46</v>
      </c>
      <c r="C26" s="156">
        <v>10</v>
      </c>
      <c r="D26" s="156">
        <v>10</v>
      </c>
      <c r="E26" s="153">
        <v>14</v>
      </c>
      <c r="F26" s="152" t="e">
        <f>E26+#REF!</f>
        <v>#REF!</v>
      </c>
      <c r="G26" s="153">
        <v>295</v>
      </c>
      <c r="H26" s="153">
        <v>105</v>
      </c>
      <c r="I26" s="152">
        <f t="shared" si="0"/>
        <v>400</v>
      </c>
      <c r="J26" s="152">
        <f t="shared" si="1"/>
        <v>414</v>
      </c>
      <c r="K26" s="152">
        <f t="shared" si="2"/>
        <v>41.4</v>
      </c>
      <c r="L26" s="153">
        <f t="shared" si="3"/>
        <v>94.623655913978496</v>
      </c>
      <c r="M26" s="153">
        <f t="shared" si="4"/>
        <v>94.435483870967744</v>
      </c>
      <c r="N26" s="152" t="e">
        <f>J26+#REF!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54"/>
      <c r="S26" s="154" t="e">
        <f t="shared" si="8"/>
        <v>#REF!</v>
      </c>
      <c r="T26" s="154" t="e">
        <f t="shared" si="8"/>
        <v>#REF!</v>
      </c>
    </row>
    <row r="27" spans="1:20" s="1" customFormat="1" ht="24.95" customHeight="1">
      <c r="A27" s="149">
        <v>14</v>
      </c>
      <c r="B27" s="150" t="s">
        <v>77</v>
      </c>
      <c r="C27" s="156">
        <v>4</v>
      </c>
      <c r="D27" s="156">
        <v>4</v>
      </c>
      <c r="E27" s="153">
        <v>1.43</v>
      </c>
      <c r="F27" s="152" t="e">
        <f>E27+#REF!</f>
        <v>#REF!</v>
      </c>
      <c r="G27" s="153">
        <v>24.43</v>
      </c>
      <c r="H27" s="153">
        <v>18.11</v>
      </c>
      <c r="I27" s="152">
        <f t="shared" si="0"/>
        <v>42.54</v>
      </c>
      <c r="J27" s="152">
        <f t="shared" si="1"/>
        <v>43.97</v>
      </c>
      <c r="K27" s="152">
        <f t="shared" si="2"/>
        <v>10.9925</v>
      </c>
      <c r="L27" s="153">
        <f t="shared" si="3"/>
        <v>98.570564516129039</v>
      </c>
      <c r="M27" s="153">
        <f t="shared" si="4"/>
        <v>98.522513440860209</v>
      </c>
      <c r="N27" s="152" t="e">
        <f>J27+#REF!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54"/>
      <c r="S27" s="154" t="e">
        <f>L27-P27</f>
        <v>#REF!</v>
      </c>
      <c r="T27" s="154" t="e">
        <f>M27-Q27</f>
        <v>#REF!</v>
      </c>
    </row>
    <row r="28" spans="1:20" s="1" customFormat="1" ht="24.95" customHeight="1">
      <c r="A28" s="149">
        <v>15</v>
      </c>
      <c r="B28" s="150" t="s">
        <v>47</v>
      </c>
      <c r="C28" s="156">
        <v>30</v>
      </c>
      <c r="D28" s="156">
        <v>30</v>
      </c>
      <c r="E28" s="153">
        <v>71</v>
      </c>
      <c r="F28" s="152" t="e">
        <f>E28+#REF!</f>
        <v>#REF!</v>
      </c>
      <c r="G28" s="153">
        <v>94.3</v>
      </c>
      <c r="H28" s="153">
        <v>53</v>
      </c>
      <c r="I28" s="152">
        <f t="shared" si="0"/>
        <v>147.30000000000001</v>
      </c>
      <c r="J28" s="152">
        <f t="shared" si="1"/>
        <v>218.3</v>
      </c>
      <c r="K28" s="152">
        <f t="shared" si="2"/>
        <v>7.2766666666666673</v>
      </c>
      <c r="L28" s="153">
        <f t="shared" si="3"/>
        <v>99.340053763440864</v>
      </c>
      <c r="M28" s="153">
        <f t="shared" si="4"/>
        <v>99.021953405017925</v>
      </c>
      <c r="N28" s="152" t="e">
        <f>J28+#REF!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54"/>
      <c r="S28" s="154" t="e">
        <f t="shared" si="8"/>
        <v>#REF!</v>
      </c>
      <c r="T28" s="154" t="e">
        <f t="shared" si="8"/>
        <v>#REF!</v>
      </c>
    </row>
    <row r="29" spans="1:20" s="1" customFormat="1" ht="24.95" customHeight="1">
      <c r="A29" s="149">
        <v>16</v>
      </c>
      <c r="B29" s="150" t="s">
        <v>48</v>
      </c>
      <c r="C29" s="156">
        <v>15</v>
      </c>
      <c r="D29" s="156">
        <v>15</v>
      </c>
      <c r="E29" s="153">
        <v>58.45</v>
      </c>
      <c r="F29" s="152" t="e">
        <f>E29+#REF!</f>
        <v>#REF!</v>
      </c>
      <c r="G29" s="153">
        <v>63.24</v>
      </c>
      <c r="H29" s="153">
        <v>43.08</v>
      </c>
      <c r="I29" s="152">
        <f t="shared" si="0"/>
        <v>106.32</v>
      </c>
      <c r="J29" s="152">
        <f t="shared" si="1"/>
        <v>164.76999999999998</v>
      </c>
      <c r="K29" s="152">
        <f t="shared" si="2"/>
        <v>10.984666666666666</v>
      </c>
      <c r="L29" s="153">
        <f t="shared" si="3"/>
        <v>99.047311827956989</v>
      </c>
      <c r="M29" s="153">
        <f t="shared" si="4"/>
        <v>98.52356630824373</v>
      </c>
      <c r="N29" s="152" t="e">
        <f>J29+#REF!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54"/>
      <c r="S29" s="154" t="e">
        <f t="shared" si="8"/>
        <v>#REF!</v>
      </c>
      <c r="T29" s="154" t="e">
        <f t="shared" si="8"/>
        <v>#REF!</v>
      </c>
    </row>
    <row r="30" spans="1:20" s="1" customFormat="1" ht="24.95" customHeight="1">
      <c r="A30" s="149">
        <v>17</v>
      </c>
      <c r="B30" s="150" t="s">
        <v>63</v>
      </c>
      <c r="C30" s="156">
        <v>12</v>
      </c>
      <c r="D30" s="156">
        <v>12</v>
      </c>
      <c r="E30" s="153">
        <v>10.35</v>
      </c>
      <c r="F30" s="152" t="e">
        <f>E30+#REF!</f>
        <v>#REF!</v>
      </c>
      <c r="G30" s="153">
        <v>78.33</v>
      </c>
      <c r="H30" s="153">
        <v>58.11</v>
      </c>
      <c r="I30" s="152">
        <f t="shared" si="0"/>
        <v>136.44</v>
      </c>
      <c r="J30" s="152">
        <f t="shared" si="1"/>
        <v>146.79</v>
      </c>
      <c r="K30" s="152">
        <f t="shared" si="2"/>
        <v>12.2325</v>
      </c>
      <c r="L30" s="153">
        <f t="shared" si="3"/>
        <v>98.471774193548384</v>
      </c>
      <c r="M30" s="153">
        <f t="shared" si="4"/>
        <v>98.355846774193537</v>
      </c>
      <c r="N30" s="152" t="e">
        <f>J30+#REF!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54"/>
      <c r="S30" s="154" t="e">
        <f t="shared" si="8"/>
        <v>#REF!</v>
      </c>
      <c r="T30" s="154" t="e">
        <f t="shared" si="8"/>
        <v>#REF!</v>
      </c>
    </row>
    <row r="31" spans="1:20" s="1" customFormat="1" ht="24.95" customHeight="1">
      <c r="A31" s="149">
        <v>18</v>
      </c>
      <c r="B31" s="150" t="s">
        <v>50</v>
      </c>
      <c r="C31" s="156">
        <v>49</v>
      </c>
      <c r="D31" s="156">
        <v>49</v>
      </c>
      <c r="E31" s="153">
        <v>34.4</v>
      </c>
      <c r="F31" s="152" t="e">
        <f>E31+#REF!</f>
        <v>#REF!</v>
      </c>
      <c r="G31" s="153">
        <v>13.45</v>
      </c>
      <c r="H31" s="153">
        <v>14.716666666666667</v>
      </c>
      <c r="I31" s="152">
        <f t="shared" si="0"/>
        <v>28.166666666666664</v>
      </c>
      <c r="J31" s="152">
        <f t="shared" si="1"/>
        <v>62.566666666666663</v>
      </c>
      <c r="K31" s="152">
        <f t="shared" si="2"/>
        <v>1.2768707482993196</v>
      </c>
      <c r="L31" s="153">
        <f t="shared" si="3"/>
        <v>99.922737912369257</v>
      </c>
      <c r="M31" s="153">
        <f t="shared" si="4"/>
        <v>99.828377587594176</v>
      </c>
      <c r="N31" s="152" t="e">
        <f>J31+#REF!</f>
        <v>#REF!</v>
      </c>
      <c r="O31" s="153" t="e">
        <f t="shared" si="5"/>
        <v>#REF!</v>
      </c>
      <c r="P31" s="153" t="e">
        <f t="shared" si="6"/>
        <v>#REF!</v>
      </c>
      <c r="Q31" s="153" t="e">
        <f t="shared" si="7"/>
        <v>#REF!</v>
      </c>
      <c r="R31" s="154" t="str">
        <f>'[2]Annexure II'!B8</f>
        <v>Devanahalli</v>
      </c>
      <c r="S31" s="154" t="e">
        <f t="shared" si="8"/>
        <v>#REF!</v>
      </c>
      <c r="T31" s="154" t="e">
        <f t="shared" si="8"/>
        <v>#REF!</v>
      </c>
    </row>
    <row r="32" spans="1:20" s="1" customFormat="1" ht="24.95" customHeight="1">
      <c r="A32" s="149">
        <v>19</v>
      </c>
      <c r="B32" s="157" t="s">
        <v>51</v>
      </c>
      <c r="C32" s="158">
        <v>60</v>
      </c>
      <c r="D32" s="158">
        <v>60</v>
      </c>
      <c r="E32" s="153">
        <v>56.398472222222217</v>
      </c>
      <c r="F32" s="152" t="e">
        <f>E32+#REF!</f>
        <v>#REF!</v>
      </c>
      <c r="G32" s="153">
        <v>379.41041666666666</v>
      </c>
      <c r="H32" s="153">
        <v>365.22527777777776</v>
      </c>
      <c r="I32" s="152">
        <f t="shared" si="0"/>
        <v>744.63569444444443</v>
      </c>
      <c r="J32" s="152">
        <f t="shared" si="1"/>
        <v>801.03416666666669</v>
      </c>
      <c r="K32" s="152">
        <f t="shared" si="2"/>
        <v>13.350569444444444</v>
      </c>
      <c r="L32" s="153">
        <f t="shared" si="3"/>
        <v>98.331909286638805</v>
      </c>
      <c r="M32" s="153">
        <f t="shared" si="4"/>
        <v>98.205568623058554</v>
      </c>
      <c r="N32" s="152" t="e">
        <f>J32+#REF!</f>
        <v>#REF!</v>
      </c>
      <c r="O32" s="153" t="e">
        <f t="shared" si="5"/>
        <v>#REF!</v>
      </c>
      <c r="P32" s="153" t="e">
        <f t="shared" si="6"/>
        <v>#REF!</v>
      </c>
      <c r="Q32" s="153" t="e">
        <f t="shared" si="7"/>
        <v>#REF!</v>
      </c>
      <c r="R32" s="154" t="str">
        <f>'[2]Annexure II'!B9</f>
        <v>Hosakote</v>
      </c>
      <c r="S32" s="154" t="e">
        <f t="shared" si="8"/>
        <v>#REF!</v>
      </c>
      <c r="T32" s="154" t="e">
        <f t="shared" si="8"/>
        <v>#REF!</v>
      </c>
    </row>
    <row r="33" spans="1:20" s="1" customFormat="1" ht="24.95" customHeight="1">
      <c r="A33" s="149">
        <v>20</v>
      </c>
      <c r="B33" s="157" t="s">
        <v>52</v>
      </c>
      <c r="C33" s="158">
        <v>48</v>
      </c>
      <c r="D33" s="158">
        <v>48</v>
      </c>
      <c r="E33" s="153">
        <v>14.22</v>
      </c>
      <c r="F33" s="152" t="e">
        <f>E33+#REF!</f>
        <v>#REF!</v>
      </c>
      <c r="G33" s="153">
        <v>885.98999999999978</v>
      </c>
      <c r="H33" s="153">
        <v>1428.0499999999997</v>
      </c>
      <c r="I33" s="152">
        <f t="shared" si="0"/>
        <v>2314.0399999999995</v>
      </c>
      <c r="J33" s="152">
        <f t="shared" si="1"/>
        <v>2328.2599999999993</v>
      </c>
      <c r="K33" s="152">
        <f t="shared" si="2"/>
        <v>48.505416666666655</v>
      </c>
      <c r="L33" s="153">
        <f t="shared" si="3"/>
        <v>93.520273297491045</v>
      </c>
      <c r="M33" s="153">
        <f t="shared" si="4"/>
        <v>93.480454749103941</v>
      </c>
      <c r="N33" s="152" t="e">
        <f>J33+#REF!</f>
        <v>#REF!</v>
      </c>
      <c r="O33" s="153" t="e">
        <f t="shared" si="5"/>
        <v>#REF!</v>
      </c>
      <c r="P33" s="153" t="e">
        <f t="shared" si="6"/>
        <v>#REF!</v>
      </c>
      <c r="Q33" s="153" t="e">
        <f t="shared" si="7"/>
        <v>#REF!</v>
      </c>
      <c r="R33" s="154" t="str">
        <f>'[2]Annexure II'!B10</f>
        <v>Nelamangala</v>
      </c>
      <c r="S33" s="154" t="e">
        <f t="shared" si="8"/>
        <v>#REF!</v>
      </c>
      <c r="T33" s="154" t="e">
        <f t="shared" si="8"/>
        <v>#REF!</v>
      </c>
    </row>
    <row r="34" spans="1:20" s="1" customFormat="1" ht="28.5" customHeight="1">
      <c r="A34" s="149">
        <v>21</v>
      </c>
      <c r="B34" s="150" t="s">
        <v>53</v>
      </c>
      <c r="C34" s="156">
        <v>36</v>
      </c>
      <c r="D34" s="156">
        <v>36</v>
      </c>
      <c r="E34" s="153">
        <v>15.3</v>
      </c>
      <c r="F34" s="152" t="e">
        <f>E34+#REF!</f>
        <v>#REF!</v>
      </c>
      <c r="G34" s="153">
        <v>382.89999999999992</v>
      </c>
      <c r="H34" s="153">
        <v>604.29999999999984</v>
      </c>
      <c r="I34" s="152">
        <f t="shared" si="0"/>
        <v>987.19999999999982</v>
      </c>
      <c r="J34" s="152">
        <f t="shared" si="1"/>
        <v>1002.4999999999998</v>
      </c>
      <c r="K34" s="152">
        <f t="shared" si="2"/>
        <v>27.847222222222214</v>
      </c>
      <c r="L34" s="153">
        <f t="shared" si="3"/>
        <v>96.314217443249703</v>
      </c>
      <c r="M34" s="153">
        <f t="shared" si="4"/>
        <v>96.25709378733572</v>
      </c>
      <c r="N34" s="152" t="e">
        <f>J34+#REF!</f>
        <v>#REF!</v>
      </c>
      <c r="O34" s="153" t="e">
        <f t="shared" si="5"/>
        <v>#REF!</v>
      </c>
      <c r="P34" s="153" t="e">
        <f t="shared" si="6"/>
        <v>#REF!</v>
      </c>
      <c r="Q34" s="153" t="e">
        <f t="shared" si="7"/>
        <v>#REF!</v>
      </c>
      <c r="R34" s="154" t="str">
        <f>'[2]Annexure II'!B11</f>
        <v>Doddaballapura</v>
      </c>
      <c r="S34" s="154" t="e">
        <f t="shared" si="8"/>
        <v>#REF!</v>
      </c>
      <c r="T34" s="154" t="e">
        <f t="shared" si="8"/>
        <v>#REF!</v>
      </c>
    </row>
    <row r="35" spans="1:20" s="1" customFormat="1" ht="24.95" customHeight="1">
      <c r="A35" s="149">
        <v>22</v>
      </c>
      <c r="B35" s="150" t="s">
        <v>54</v>
      </c>
      <c r="C35" s="156">
        <v>24</v>
      </c>
      <c r="D35" s="156">
        <v>24</v>
      </c>
      <c r="E35" s="153">
        <v>28.79</v>
      </c>
      <c r="F35" s="152" t="e">
        <f>E35+#REF!</f>
        <v>#REF!</v>
      </c>
      <c r="G35" s="153">
        <v>275.19</v>
      </c>
      <c r="H35" s="153">
        <v>618.96000000000015</v>
      </c>
      <c r="I35" s="152">
        <f t="shared" si="0"/>
        <v>894.15000000000009</v>
      </c>
      <c r="J35" s="152">
        <f t="shared" si="1"/>
        <v>922.94</v>
      </c>
      <c r="K35" s="152">
        <f t="shared" si="2"/>
        <v>38.455833333333338</v>
      </c>
      <c r="L35" s="153">
        <f t="shared" si="3"/>
        <v>94.992439516129025</v>
      </c>
      <c r="M35" s="153">
        <f t="shared" si="4"/>
        <v>94.831205197132633</v>
      </c>
      <c r="N35" s="152" t="e">
        <f>J35+#REF!</f>
        <v>#REF!</v>
      </c>
      <c r="O35" s="153" t="e">
        <f t="shared" si="5"/>
        <v>#REF!</v>
      </c>
      <c r="P35" s="153" t="e">
        <f t="shared" si="6"/>
        <v>#REF!</v>
      </c>
      <c r="Q35" s="153" t="e">
        <f t="shared" si="7"/>
        <v>#REF!</v>
      </c>
      <c r="R35" s="154" t="str">
        <f>'[2]Annexure II'!B12</f>
        <v>Magadi</v>
      </c>
      <c r="S35" s="154" t="e">
        <f t="shared" si="8"/>
        <v>#REF!</v>
      </c>
      <c r="T35" s="154" t="e">
        <f t="shared" si="8"/>
        <v>#REF!</v>
      </c>
    </row>
    <row r="36" spans="1:20" s="1" customFormat="1" ht="24.95" customHeight="1">
      <c r="A36" s="149">
        <v>23</v>
      </c>
      <c r="B36" s="150" t="s">
        <v>49</v>
      </c>
      <c r="C36" s="156">
        <v>127</v>
      </c>
      <c r="D36" s="156">
        <v>127</v>
      </c>
      <c r="E36" s="153">
        <v>85.614583333333357</v>
      </c>
      <c r="F36" s="152" t="e">
        <f>E36+#REF!</f>
        <v>#REF!</v>
      </c>
      <c r="G36" s="153">
        <v>85.614583333333357</v>
      </c>
      <c r="H36" s="153">
        <v>75.267361111111128</v>
      </c>
      <c r="I36" s="152">
        <f t="shared" si="0"/>
        <v>160.88194444444449</v>
      </c>
      <c r="J36" s="152">
        <f t="shared" si="1"/>
        <v>246.49652777777783</v>
      </c>
      <c r="K36" s="152">
        <f t="shared" si="2"/>
        <v>1.9409175415573057</v>
      </c>
      <c r="L36" s="153">
        <f t="shared" si="3"/>
        <v>99.829732934928842</v>
      </c>
      <c r="M36" s="153">
        <f t="shared" si="4"/>
        <v>99.739123986349824</v>
      </c>
      <c r="N36" s="152" t="e">
        <f>J36+#REF!</f>
        <v>#REF!</v>
      </c>
      <c r="O36" s="153" t="e">
        <f t="shared" si="5"/>
        <v>#REF!</v>
      </c>
      <c r="P36" s="153" t="e">
        <f t="shared" si="6"/>
        <v>#REF!</v>
      </c>
      <c r="Q36" s="153" t="e">
        <f t="shared" si="7"/>
        <v>#REF!</v>
      </c>
      <c r="R36" s="154" t="str">
        <f>'[2]Annexure II'!B7</f>
        <v>Anekal</v>
      </c>
      <c r="S36" s="154" t="e">
        <f>L36-P36</f>
        <v>#REF!</v>
      </c>
      <c r="T36" s="154" t="e">
        <f>M36-Q36</f>
        <v>#REF!</v>
      </c>
    </row>
    <row r="37" spans="1:20" s="1" customFormat="1" ht="24.95" customHeight="1">
      <c r="A37" s="149">
        <v>24</v>
      </c>
      <c r="B37" s="150" t="s">
        <v>32</v>
      </c>
      <c r="C37" s="156">
        <v>24</v>
      </c>
      <c r="D37" s="156">
        <v>24</v>
      </c>
      <c r="E37" s="153">
        <v>45.11999999999999</v>
      </c>
      <c r="F37" s="152" t="e">
        <f>E37+#REF!</f>
        <v>#REF!</v>
      </c>
      <c r="G37" s="153">
        <v>15.603472222222223</v>
      </c>
      <c r="H37" s="153">
        <v>7.4874999999999998</v>
      </c>
      <c r="I37" s="152">
        <f t="shared" si="0"/>
        <v>23.090972222222224</v>
      </c>
      <c r="J37" s="152">
        <f t="shared" si="1"/>
        <v>68.21097222222221</v>
      </c>
      <c r="K37" s="152">
        <f t="shared" si="2"/>
        <v>2.8421238425925921</v>
      </c>
      <c r="L37" s="153">
        <f t="shared" si="3"/>
        <v>99.870682279221441</v>
      </c>
      <c r="M37" s="153">
        <f t="shared" si="4"/>
        <v>99.617994107178419</v>
      </c>
      <c r="N37" s="152" t="e">
        <f>J37+#REF!</f>
        <v>#REF!</v>
      </c>
      <c r="O37" s="153" t="e">
        <f t="shared" si="5"/>
        <v>#REF!</v>
      </c>
      <c r="P37" s="153" t="e">
        <f t="shared" si="6"/>
        <v>#REF!</v>
      </c>
      <c r="Q37" s="153" t="e">
        <f t="shared" si="7"/>
        <v>#REF!</v>
      </c>
      <c r="R37" s="154" t="str">
        <f>'[2]Annexure II'!B13</f>
        <v>Ramanagara</v>
      </c>
      <c r="S37" s="154" t="e">
        <f t="shared" si="8"/>
        <v>#REF!</v>
      </c>
      <c r="T37" s="154" t="e">
        <f t="shared" si="8"/>
        <v>#REF!</v>
      </c>
    </row>
    <row r="38" spans="1:20" s="1" customFormat="1" ht="24.95" customHeight="1">
      <c r="A38" s="149">
        <v>25</v>
      </c>
      <c r="B38" s="150" t="s">
        <v>55</v>
      </c>
      <c r="C38" s="156">
        <v>7</v>
      </c>
      <c r="D38" s="156">
        <v>7</v>
      </c>
      <c r="E38" s="153">
        <v>14.639999999999999</v>
      </c>
      <c r="F38" s="152" t="e">
        <f>E38+#REF!</f>
        <v>#REF!</v>
      </c>
      <c r="G38" s="153">
        <v>3.0577777777777779</v>
      </c>
      <c r="H38" s="153">
        <v>2.8319444444444448</v>
      </c>
      <c r="I38" s="152">
        <f t="shared" si="0"/>
        <v>5.8897222222222227</v>
      </c>
      <c r="J38" s="152">
        <f t="shared" si="1"/>
        <v>20.529722222222222</v>
      </c>
      <c r="K38" s="152">
        <f t="shared" si="2"/>
        <v>2.9328174603174602</v>
      </c>
      <c r="L38" s="153">
        <f t="shared" si="3"/>
        <v>99.886910095579452</v>
      </c>
      <c r="M38" s="153">
        <f t="shared" si="4"/>
        <v>99.605804104796036</v>
      </c>
      <c r="N38" s="152" t="e">
        <f>J38+#REF!</f>
        <v>#REF!</v>
      </c>
      <c r="O38" s="153" t="e">
        <f t="shared" si="5"/>
        <v>#REF!</v>
      </c>
      <c r="P38" s="153" t="e">
        <f t="shared" si="6"/>
        <v>#REF!</v>
      </c>
      <c r="Q38" s="153" t="e">
        <f t="shared" si="7"/>
        <v>#REF!</v>
      </c>
      <c r="R38" s="154" t="str">
        <f>'[2]Annexure II'!B14</f>
        <v>Channapatna</v>
      </c>
      <c r="S38" s="154" t="e">
        <f t="shared" si="8"/>
        <v>#REF!</v>
      </c>
      <c r="T38" s="154" t="e">
        <f t="shared" si="8"/>
        <v>#REF!</v>
      </c>
    </row>
    <row r="39" spans="1:20" s="1" customFormat="1" ht="24.95" customHeight="1">
      <c r="A39" s="149">
        <v>26</v>
      </c>
      <c r="B39" s="150" t="s">
        <v>56</v>
      </c>
      <c r="C39" s="156">
        <v>22</v>
      </c>
      <c r="D39" s="156">
        <v>22</v>
      </c>
      <c r="E39" s="153">
        <v>1.08</v>
      </c>
      <c r="F39" s="152" t="e">
        <f>E39+#REF!</f>
        <v>#REF!</v>
      </c>
      <c r="G39" s="153">
        <v>6.6395833333333334</v>
      </c>
      <c r="H39" s="153">
        <v>6.2659722222222216</v>
      </c>
      <c r="I39" s="152">
        <f t="shared" si="0"/>
        <v>12.905555555555555</v>
      </c>
      <c r="J39" s="152">
        <f t="shared" si="1"/>
        <v>13.985555555555555</v>
      </c>
      <c r="K39" s="152">
        <f t="shared" si="2"/>
        <v>0.63570707070707066</v>
      </c>
      <c r="L39" s="153">
        <f t="shared" si="3"/>
        <v>99.921153741718257</v>
      </c>
      <c r="M39" s="153">
        <f t="shared" si="4"/>
        <v>99.914555501249055</v>
      </c>
      <c r="N39" s="152" t="e">
        <f>J39+#REF!</f>
        <v>#REF!</v>
      </c>
      <c r="O39" s="153" t="e">
        <f t="shared" si="5"/>
        <v>#REF!</v>
      </c>
      <c r="P39" s="153" t="e">
        <f t="shared" si="6"/>
        <v>#REF!</v>
      </c>
      <c r="Q39" s="153" t="e">
        <f t="shared" si="7"/>
        <v>#REF!</v>
      </c>
      <c r="R39" s="154" t="str">
        <f>'[2]Annexure II'!B15</f>
        <v>Kanakapura</v>
      </c>
      <c r="S39" s="154" t="e">
        <f t="shared" si="8"/>
        <v>#REF!</v>
      </c>
      <c r="T39" s="154" t="e">
        <f t="shared" si="8"/>
        <v>#REF!</v>
      </c>
    </row>
    <row r="40" spans="1:20" ht="18.75" customHeight="1" thickBot="1">
      <c r="B40" s="159"/>
      <c r="C40" s="160">
        <f>SUM(C14:C39)</f>
        <v>529</v>
      </c>
      <c r="D40" s="160">
        <f t="shared" ref="D40:O40" si="9">SUM(D14:D39)</f>
        <v>529</v>
      </c>
      <c r="E40" s="160">
        <f t="shared" si="9"/>
        <v>652.00680555555562</v>
      </c>
      <c r="F40" s="160" t="e">
        <f t="shared" si="9"/>
        <v>#REF!</v>
      </c>
      <c r="G40" s="160">
        <f t="shared" si="9"/>
        <v>3835.435833333333</v>
      </c>
      <c r="H40" s="160">
        <f t="shared" si="9"/>
        <v>4399.714722222222</v>
      </c>
      <c r="I40" s="160">
        <f t="shared" si="9"/>
        <v>8235.1505555555559</v>
      </c>
      <c r="J40" s="160">
        <f t="shared" si="9"/>
        <v>8887.1573611111089</v>
      </c>
      <c r="K40" s="160">
        <f t="shared" si="9"/>
        <v>656.63868376686037</v>
      </c>
      <c r="L40" s="64">
        <f>+(((C40*24)*30)-I40)*100/((C40*24)*30)</f>
        <v>97.837862172979541</v>
      </c>
      <c r="M40" s="64">
        <f>+(((C40*24)*30)-J40)*100/((C40*24)*30)</f>
        <v>97.666677861502023</v>
      </c>
      <c r="N40" s="160" t="e">
        <f t="shared" si="9"/>
        <v>#REF!</v>
      </c>
      <c r="O40" s="160" t="e">
        <f t="shared" si="9"/>
        <v>#REF!</v>
      </c>
      <c r="P40" s="64" t="e">
        <f>((C40*24*30)-(N40-E40))*100/(C40*24*30)</f>
        <v>#REF!</v>
      </c>
      <c r="Q40" s="64" t="e">
        <f>((C40*24*30)-(N40))*100/(C40*24*30)</f>
        <v>#REF!</v>
      </c>
    </row>
    <row r="41" spans="1:20" s="175" customFormat="1" ht="12.75" customHeight="1">
      <c r="A41" s="846" t="s">
        <v>100</v>
      </c>
      <c r="B41" s="847"/>
      <c r="C41" s="847"/>
      <c r="D41" s="847"/>
      <c r="E41" s="847"/>
      <c r="F41" s="847"/>
      <c r="G41" s="847"/>
      <c r="H41" s="847"/>
      <c r="I41" s="847"/>
      <c r="J41" s="847"/>
      <c r="K41" s="847"/>
      <c r="L41" s="847"/>
      <c r="M41" s="847"/>
      <c r="N41" s="847"/>
      <c r="O41" s="847"/>
      <c r="P41" s="847"/>
      <c r="Q41" s="848"/>
    </row>
    <row r="42" spans="1:20" s="175" customFormat="1" ht="31.5" customHeight="1" thickBot="1">
      <c r="A42" s="849"/>
      <c r="B42" s="850"/>
      <c r="C42" s="850"/>
      <c r="D42" s="850"/>
      <c r="E42" s="850"/>
      <c r="F42" s="850"/>
      <c r="G42" s="850"/>
      <c r="H42" s="850"/>
      <c r="I42" s="850"/>
      <c r="J42" s="850"/>
      <c r="K42" s="850"/>
      <c r="L42" s="850"/>
      <c r="M42" s="850"/>
      <c r="N42" s="850"/>
      <c r="O42" s="850"/>
      <c r="P42" s="850"/>
      <c r="Q42" s="851"/>
    </row>
    <row r="43" spans="1:20" s="175" customFormat="1" ht="31.5" customHeight="1">
      <c r="A43" s="846" t="s">
        <v>101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s="175" customFormat="1" ht="31.5" customHeight="1" thickBot="1">
      <c r="A44" s="849"/>
      <c r="B44" s="850"/>
      <c r="C44" s="850"/>
      <c r="D44" s="850"/>
      <c r="E44" s="850"/>
      <c r="F44" s="850"/>
      <c r="G44" s="850"/>
      <c r="H44" s="850"/>
      <c r="I44" s="850"/>
      <c r="J44" s="850"/>
      <c r="K44" s="850"/>
      <c r="L44" s="850"/>
      <c r="M44" s="850"/>
      <c r="N44" s="850"/>
      <c r="O44" s="850"/>
      <c r="P44" s="850"/>
      <c r="Q44" s="851"/>
    </row>
    <row r="45" spans="1:20" ht="20.25" hidden="1" customHeight="1">
      <c r="A45" s="839" t="s">
        <v>36</v>
      </c>
      <c r="B45" s="840"/>
      <c r="C45" s="840"/>
      <c r="D45" s="840"/>
      <c r="E45" s="840"/>
      <c r="F45" s="840"/>
      <c r="G45" s="840"/>
      <c r="H45" s="840"/>
      <c r="I45" s="840"/>
      <c r="J45" s="840"/>
      <c r="K45" s="840"/>
      <c r="L45" s="840"/>
      <c r="M45" s="840"/>
      <c r="N45" s="840"/>
      <c r="O45" s="840"/>
      <c r="P45" s="840"/>
      <c r="Q45" s="841"/>
    </row>
    <row r="46" spans="1:20" ht="27" hidden="1" customHeight="1" thickBot="1">
      <c r="A46" s="842"/>
      <c r="B46" s="843"/>
      <c r="C46" s="843"/>
      <c r="D46" s="843"/>
      <c r="E46" s="843"/>
      <c r="F46" s="843"/>
      <c r="G46" s="843"/>
      <c r="H46" s="843"/>
      <c r="I46" s="843"/>
      <c r="J46" s="843"/>
      <c r="K46" s="843"/>
      <c r="L46" s="843"/>
      <c r="M46" s="843"/>
      <c r="N46" s="843"/>
      <c r="O46" s="843"/>
      <c r="P46" s="843"/>
      <c r="Q46" s="844"/>
    </row>
    <row r="47" spans="1:20" hidden="1"/>
    <row r="54" spans="3:17">
      <c r="C54" s="146" t="e">
        <f>su</f>
        <v>#NAME?</v>
      </c>
      <c r="P54" s="161"/>
      <c r="Q54" s="161"/>
    </row>
    <row r="55" spans="3:17">
      <c r="C55" s="160"/>
      <c r="N55" s="161"/>
    </row>
    <row r="56" spans="3:17">
      <c r="N56" s="161"/>
    </row>
    <row r="58" spans="3:17">
      <c r="H58" s="146">
        <f>4667/89</f>
        <v>52.438202247191015</v>
      </c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>
      <c r="G70" s="162"/>
      <c r="H70" s="162"/>
      <c r="I70" s="162"/>
      <c r="J70" s="162"/>
      <c r="K70" s="162"/>
      <c r="L70" s="162"/>
      <c r="M70" s="162"/>
    </row>
    <row r="71" spans="7:18" ht="20.25">
      <c r="G71" s="162"/>
      <c r="H71" s="162"/>
      <c r="I71" s="163">
        <f>20000</f>
        <v>20000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5000</v>
      </c>
      <c r="J73" s="162"/>
      <c r="K73" s="162"/>
      <c r="L73" s="162"/>
      <c r="M73" s="162"/>
    </row>
    <row r="74" spans="7:18" ht="20.25">
      <c r="G74" s="162"/>
      <c r="H74" s="162"/>
      <c r="I74" s="163">
        <v>8000</v>
      </c>
      <c r="J74" s="162"/>
      <c r="K74" s="162"/>
      <c r="L74" s="162"/>
      <c r="M74" s="162"/>
    </row>
    <row r="75" spans="7:18" ht="20.25">
      <c r="G75" s="162"/>
      <c r="H75" s="162"/>
      <c r="I75" s="163">
        <f>SUM(I72:I74)</f>
        <v>18000</v>
      </c>
      <c r="J75" s="162"/>
      <c r="K75" s="162"/>
      <c r="L75" s="162"/>
      <c r="M75" s="162"/>
    </row>
    <row r="76" spans="7:18" ht="20.25">
      <c r="G76" s="162"/>
      <c r="H76" s="162"/>
      <c r="I76" s="163">
        <f>I71-I75</f>
        <v>2000</v>
      </c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2"/>
      <c r="M77" s="162"/>
    </row>
    <row r="78" spans="7:18" ht="20.25">
      <c r="G78" s="162"/>
      <c r="H78" s="162"/>
      <c r="I78" s="163"/>
      <c r="J78" s="162"/>
      <c r="K78" s="162"/>
      <c r="L78" s="161">
        <f>L14+L15+L16+L18+L17+L19+L20+L21+L22+L23+L24+L25+L26+L27+L28+L29+L30+L36+L31+L32+L33+L34+L35+L37+L38+L39</f>
        <v>2522.7889590595491</v>
      </c>
      <c r="M78" s="161">
        <f>M14+M15+M16+M18+M17+M19+M20+M21+M22+M23+M24+M25+M26+M27+M28+M29+M30+M36+M31+M32+M33+M34+M35+M37+M38+M39</f>
        <v>2511.742112396927</v>
      </c>
      <c r="P78" s="161" t="e">
        <f>P14+P15+P16+P18+P17+P19+P20+P21+P22+P23+P24+P25+P26+P27+P28+P29+P30+P36+P31+P32+P33+P34+P35+P37+P38+P39</f>
        <v>#REF!</v>
      </c>
      <c r="Q78" s="161" t="e">
        <f>Q14+Q15+Q16+Q18+Q17+Q19+Q20+Q21+Q22+Q23+Q24+Q25+Q26+Q27+Q28+Q29+Q30+Q36+Q31+Q32+Q33+Q34+Q35+Q37+Q38+Q39</f>
        <v>#REF!</v>
      </c>
      <c r="R78" s="161" t="e">
        <f>R14+R15+R16+R18+R17+R19+R20+R23+R24+R25+R26+R27+R28+R29+R30+R36+R31+R32+R33+R34+R35+R37+R38+R39</f>
        <v>#VALUE!</v>
      </c>
    </row>
    <row r="79" spans="7:18">
      <c r="G79" s="162"/>
      <c r="H79" s="162"/>
      <c r="I79" s="162"/>
      <c r="J79" s="162"/>
      <c r="K79" s="162"/>
      <c r="L79" s="146">
        <f>L78/26</f>
        <v>97.030344579213434</v>
      </c>
      <c r="M79" s="146">
        <f>M78/26</f>
        <v>96.605465861420271</v>
      </c>
      <c r="P79" s="146" t="e">
        <f>P78/26</f>
        <v>#REF!</v>
      </c>
      <c r="Q79" s="146" t="e">
        <f>Q78/26</f>
        <v>#REF!</v>
      </c>
    </row>
    <row r="80" spans="7:18">
      <c r="G80" s="162"/>
      <c r="H80" s="162"/>
      <c r="I80" s="162"/>
      <c r="J80" s="162"/>
      <c r="K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  <row r="88" spans="7:13">
      <c r="G88" s="162"/>
      <c r="H88" s="162"/>
      <c r="I88" s="162"/>
      <c r="J88" s="162"/>
      <c r="K88" s="162"/>
      <c r="L88" s="162"/>
      <c r="M88" s="162"/>
    </row>
  </sheetData>
  <mergeCells count="16">
    <mergeCell ref="A45:Q46"/>
    <mergeCell ref="G11:I11"/>
    <mergeCell ref="J11:M11"/>
    <mergeCell ref="N11:Q11"/>
    <mergeCell ref="A41:Q42"/>
    <mergeCell ref="A43:Q44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1" manualBreakCount="1">
    <brk id="40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workbookViewId="0">
      <selection activeCell="I34" activeCellId="1" sqref="I34 L36"/>
    </sheetView>
  </sheetViews>
  <sheetFormatPr defaultRowHeight="12.75"/>
  <cols>
    <col min="1" max="1" width="3.85546875" style="2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4.42578125" style="2" customWidth="1"/>
    <col min="8" max="8" width="15" style="2" customWidth="1"/>
    <col min="9" max="9" width="18.570312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5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5" ht="18" customHeight="1">
      <c r="A3" s="826" t="s">
        <v>102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5" ht="15" customHeight="1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5" s="5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23" t="s">
        <v>103</v>
      </c>
      <c r="K5" s="823"/>
      <c r="L5" s="823"/>
      <c r="M5" s="823"/>
      <c r="N5" s="823" t="s">
        <v>84</v>
      </c>
      <c r="O5" s="823"/>
      <c r="P5" s="823"/>
      <c r="Q5" s="823"/>
      <c r="V5" s="35">
        <v>42583</v>
      </c>
      <c r="W5" s="36">
        <v>31</v>
      </c>
      <c r="X5" s="36">
        <f t="shared" si="0"/>
        <v>31</v>
      </c>
      <c r="Y5" s="29"/>
    </row>
    <row r="6" spans="1:25" s="3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75" t="s">
        <v>11</v>
      </c>
      <c r="J6" s="75" t="s">
        <v>12</v>
      </c>
      <c r="K6" s="75" t="s">
        <v>13</v>
      </c>
      <c r="L6" s="75" t="s">
        <v>78</v>
      </c>
      <c r="M6" s="75" t="s">
        <v>14</v>
      </c>
      <c r="N6" s="75" t="s">
        <v>15</v>
      </c>
      <c r="O6" s="75" t="s">
        <v>16</v>
      </c>
      <c r="P6" s="75" t="s">
        <v>17</v>
      </c>
      <c r="Q6" s="75" t="s">
        <v>18</v>
      </c>
      <c r="V6" s="35">
        <v>42614</v>
      </c>
      <c r="W6" s="36">
        <v>30</v>
      </c>
      <c r="X6" s="36">
        <f t="shared" si="0"/>
        <v>30</v>
      </c>
      <c r="Y6" s="27"/>
    </row>
    <row r="7" spans="1:25" s="1" customFormat="1" ht="24" customHeigh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 t="s">
        <v>19</v>
      </c>
      <c r="G7" s="6">
        <v>6</v>
      </c>
      <c r="H7" s="6">
        <v>7</v>
      </c>
      <c r="I7" s="6" t="s">
        <v>20</v>
      </c>
      <c r="J7" s="6" t="s">
        <v>21</v>
      </c>
      <c r="K7" s="7" t="s">
        <v>22</v>
      </c>
      <c r="L7" s="6" t="s">
        <v>23</v>
      </c>
      <c r="M7" s="6" t="s">
        <v>24</v>
      </c>
      <c r="N7" s="6">
        <v>13</v>
      </c>
      <c r="O7" s="6" t="s">
        <v>64</v>
      </c>
      <c r="P7" s="6">
        <v>15</v>
      </c>
      <c r="Q7" s="6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5" s="10" customFormat="1" ht="42" customHeight="1">
      <c r="A8" s="78">
        <v>1</v>
      </c>
      <c r="B8" s="73" t="s">
        <v>26</v>
      </c>
      <c r="C8" s="61">
        <v>33</v>
      </c>
      <c r="D8" s="61">
        <v>30</v>
      </c>
      <c r="E8" s="62">
        <v>22.43</v>
      </c>
      <c r="F8" s="62" t="e">
        <f>E8+#REF!</f>
        <v>#REF!</v>
      </c>
      <c r="G8" s="62">
        <v>373.00000000000011</v>
      </c>
      <c r="H8" s="62">
        <v>115.75</v>
      </c>
      <c r="I8" s="63">
        <f>G8+H8</f>
        <v>488.75000000000011</v>
      </c>
      <c r="J8" s="63">
        <f>E8+I8</f>
        <v>511.18000000000012</v>
      </c>
      <c r="K8" s="63">
        <f>J8/C8</f>
        <v>15.490303030303034</v>
      </c>
      <c r="L8" s="64">
        <f>+(((C8*24)*30)-I8)*100/((C8*24)*30)</f>
        <v>97.942971380471377</v>
      </c>
      <c r="M8" s="64">
        <f>+(((C8*24)*30)-J8)*100/((C8*24)*30)</f>
        <v>97.848569023569027</v>
      </c>
      <c r="N8" s="63" t="e">
        <f>J8+#REF!</f>
        <v>#REF!</v>
      </c>
      <c r="O8" s="64" t="e">
        <f>N8/C8</f>
        <v>#REF!</v>
      </c>
      <c r="P8" s="64" t="e">
        <f>((C8*24*91)-(N8-E8))*100/(C8*24*91)</f>
        <v>#REF!</v>
      </c>
      <c r="Q8" s="64" t="e">
        <f>((C8*24*91)-(N8))*100/(C8*24*91)</f>
        <v>#REF!</v>
      </c>
      <c r="R8" s="8"/>
      <c r="S8" s="43" t="e">
        <f>L8-P8</f>
        <v>#REF!</v>
      </c>
      <c r="T8" s="43" t="e">
        <f>M8-Q8</f>
        <v>#REF!</v>
      </c>
      <c r="V8" s="39">
        <v>42675</v>
      </c>
      <c r="W8" s="40">
        <v>30</v>
      </c>
      <c r="X8" s="40">
        <f t="shared" si="0"/>
        <v>30</v>
      </c>
      <c r="Y8" s="31"/>
    </row>
    <row r="9" spans="1:25" s="10" customFormat="1" ht="42" customHeight="1">
      <c r="A9" s="78">
        <v>2</v>
      </c>
      <c r="B9" s="73" t="s">
        <v>27</v>
      </c>
      <c r="C9" s="65">
        <v>11</v>
      </c>
      <c r="D9" s="65">
        <v>11</v>
      </c>
      <c r="E9" s="62">
        <v>5.5</v>
      </c>
      <c r="F9" s="62" t="e">
        <f>E9+#REF!</f>
        <v>#REF!</v>
      </c>
      <c r="G9" s="62">
        <v>199.2</v>
      </c>
      <c r="H9" s="62">
        <v>154.5</v>
      </c>
      <c r="I9" s="63">
        <f t="shared" ref="I9:I14" si="1">G9+H9</f>
        <v>353.7</v>
      </c>
      <c r="J9" s="63">
        <f t="shared" ref="J9:J14" si="2">E9+I9</f>
        <v>359.2</v>
      </c>
      <c r="K9" s="63">
        <f t="shared" ref="K9:K14" si="3">J9/C9</f>
        <v>32.654545454545456</v>
      </c>
      <c r="L9" s="64">
        <f t="shared" ref="L9:L14" si="4">+(((C9*24)*30)-I9)*100/((C9*24)*30)</f>
        <v>95.534090909090907</v>
      </c>
      <c r="M9" s="64">
        <f t="shared" ref="M9:M14" si="5">+(((C9*24)*30)-J9)*100/((C9*24)*30)</f>
        <v>95.464646464646464</v>
      </c>
      <c r="N9" s="63" t="e">
        <f>J9+#REF!</f>
        <v>#REF!</v>
      </c>
      <c r="O9" s="64" t="e">
        <f t="shared" ref="O9:O14" si="6">N9/C9</f>
        <v>#REF!</v>
      </c>
      <c r="P9" s="64" t="e">
        <f t="shared" ref="P9:P14" si="7">((C9*24*91)-(N9-E9))*100/(C9*24*91)</f>
        <v>#REF!</v>
      </c>
      <c r="Q9" s="64" t="e">
        <f t="shared" ref="Q9:Q14" si="8">((C9*24*91)-(N9))*100/(C9*24*91)</f>
        <v>#REF!</v>
      </c>
      <c r="R9" s="8"/>
      <c r="S9" s="43" t="e">
        <f t="shared" ref="S9:T24" si="9">L9-P9</f>
        <v>#REF!</v>
      </c>
      <c r="T9" s="43" t="e">
        <f t="shared" si="9"/>
        <v>#REF!</v>
      </c>
      <c r="V9" s="39">
        <v>42705</v>
      </c>
      <c r="W9" s="40">
        <v>31</v>
      </c>
      <c r="X9" s="40">
        <v>31</v>
      </c>
      <c r="Y9" s="31"/>
    </row>
    <row r="10" spans="1:25" s="11" customFormat="1" ht="42" customHeight="1">
      <c r="A10" s="78">
        <v>3</v>
      </c>
      <c r="B10" s="73" t="s">
        <v>28</v>
      </c>
      <c r="C10" s="66">
        <v>30</v>
      </c>
      <c r="D10" s="66">
        <v>30</v>
      </c>
      <c r="E10" s="64">
        <v>10</v>
      </c>
      <c r="F10" s="62" t="e">
        <f>E10+#REF!</f>
        <v>#REF!</v>
      </c>
      <c r="G10" s="62">
        <v>256</v>
      </c>
      <c r="H10" s="62">
        <v>188</v>
      </c>
      <c r="I10" s="63">
        <f t="shared" si="1"/>
        <v>444</v>
      </c>
      <c r="J10" s="63">
        <f t="shared" si="2"/>
        <v>454</v>
      </c>
      <c r="K10" s="63">
        <f t="shared" si="3"/>
        <v>15.133333333333333</v>
      </c>
      <c r="L10" s="64">
        <f t="shared" si="4"/>
        <v>97.944444444444443</v>
      </c>
      <c r="M10" s="64">
        <f t="shared" si="5"/>
        <v>97.898148148148152</v>
      </c>
      <c r="N10" s="63" t="e">
        <f>J10+#REF!</f>
        <v>#REF!</v>
      </c>
      <c r="O10" s="64" t="e">
        <f t="shared" si="6"/>
        <v>#REF!</v>
      </c>
      <c r="P10" s="64" t="e">
        <f t="shared" si="7"/>
        <v>#REF!</v>
      </c>
      <c r="Q10" s="64" t="e">
        <f t="shared" si="8"/>
        <v>#REF!</v>
      </c>
      <c r="R10" s="9"/>
      <c r="S10" s="43" t="e">
        <f t="shared" si="9"/>
        <v>#REF!</v>
      </c>
      <c r="T10" s="43" t="e">
        <f t="shared" si="9"/>
        <v>#REF!</v>
      </c>
      <c r="V10" s="38">
        <v>42370</v>
      </c>
      <c r="W10" s="37">
        <v>31</v>
      </c>
      <c r="X10" s="37">
        <f t="shared" si="0"/>
        <v>31</v>
      </c>
      <c r="Y10" s="32"/>
    </row>
    <row r="11" spans="1:25" s="13" customFormat="1" ht="42" customHeight="1">
      <c r="A11" s="79">
        <v>4</v>
      </c>
      <c r="B11" s="74" t="s">
        <v>29</v>
      </c>
      <c r="C11" s="66">
        <v>1321</v>
      </c>
      <c r="D11" s="66">
        <v>1130</v>
      </c>
      <c r="E11" s="68">
        <v>431.45</v>
      </c>
      <c r="F11" s="62" t="e">
        <f>E11+#REF!</f>
        <v>#REF!</v>
      </c>
      <c r="G11" s="62">
        <v>5461.36</v>
      </c>
      <c r="H11" s="62">
        <v>4875.59</v>
      </c>
      <c r="I11" s="63">
        <f>G11+H11</f>
        <v>10336.950000000001</v>
      </c>
      <c r="J11" s="69">
        <f t="shared" si="2"/>
        <v>10768.400000000001</v>
      </c>
      <c r="K11" s="69">
        <f t="shared" si="3"/>
        <v>8.1517032551097657</v>
      </c>
      <c r="L11" s="64">
        <f t="shared" si="4"/>
        <v>98.91318130204391</v>
      </c>
      <c r="M11" s="64">
        <f t="shared" si="5"/>
        <v>98.86781899234586</v>
      </c>
      <c r="N11" s="63" t="e">
        <f>J11+#REF!</f>
        <v>#REF!</v>
      </c>
      <c r="O11" s="68" t="e">
        <f t="shared" si="6"/>
        <v>#REF!</v>
      </c>
      <c r="P11" s="64" t="e">
        <f t="shared" si="7"/>
        <v>#REF!</v>
      </c>
      <c r="Q11" s="64" t="e">
        <f t="shared" si="8"/>
        <v>#REF!</v>
      </c>
      <c r="R11" s="12"/>
      <c r="S11" s="43" t="e">
        <f t="shared" si="9"/>
        <v>#REF!</v>
      </c>
      <c r="T11" s="43" t="e">
        <f t="shared" si="9"/>
        <v>#REF!</v>
      </c>
      <c r="V11" s="41">
        <v>42401</v>
      </c>
      <c r="W11" s="42">
        <v>29</v>
      </c>
      <c r="X11" s="42">
        <f t="shared" si="0"/>
        <v>29</v>
      </c>
      <c r="Y11" s="33"/>
    </row>
    <row r="12" spans="1:25" s="14" customFormat="1" ht="42" customHeight="1">
      <c r="A12" s="78">
        <v>5</v>
      </c>
      <c r="B12" s="74" t="s">
        <v>32</v>
      </c>
      <c r="C12" s="70">
        <v>4</v>
      </c>
      <c r="D12" s="70">
        <v>4</v>
      </c>
      <c r="E12" s="70">
        <v>1.4</v>
      </c>
      <c r="F12" s="62" t="e">
        <f>E12+#REF!</f>
        <v>#REF!</v>
      </c>
      <c r="G12" s="62">
        <v>35.32</v>
      </c>
      <c r="H12" s="62">
        <v>21.01</v>
      </c>
      <c r="I12" s="63">
        <f>G12+H12</f>
        <v>56.33</v>
      </c>
      <c r="J12" s="63">
        <f t="shared" si="2"/>
        <v>57.73</v>
      </c>
      <c r="K12" s="63">
        <f t="shared" si="3"/>
        <v>14.432499999999999</v>
      </c>
      <c r="L12" s="64">
        <f t="shared" si="4"/>
        <v>98.04409722222222</v>
      </c>
      <c r="M12" s="64">
        <f t="shared" si="5"/>
        <v>97.995486111111106</v>
      </c>
      <c r="N12" s="63" t="e">
        <f>J12+#REF!</f>
        <v>#REF!</v>
      </c>
      <c r="O12" s="64" t="e">
        <f t="shared" si="6"/>
        <v>#REF!</v>
      </c>
      <c r="P12" s="64" t="e">
        <f t="shared" si="7"/>
        <v>#REF!</v>
      </c>
      <c r="Q12" s="64" t="e">
        <f t="shared" si="8"/>
        <v>#REF!</v>
      </c>
      <c r="R12" s="9"/>
      <c r="S12" s="43" t="e">
        <f t="shared" si="9"/>
        <v>#REF!</v>
      </c>
      <c r="T12" s="43" t="e">
        <f t="shared" si="9"/>
        <v>#REF!</v>
      </c>
      <c r="V12" s="38">
        <v>42430</v>
      </c>
      <c r="W12" s="37">
        <v>31</v>
      </c>
      <c r="X12" s="37">
        <v>31</v>
      </c>
      <c r="Y12" s="34"/>
    </row>
    <row r="13" spans="1:25" s="14" customFormat="1" ht="42" customHeight="1">
      <c r="A13" s="78">
        <v>6</v>
      </c>
      <c r="B13" s="74" t="s">
        <v>30</v>
      </c>
      <c r="C13" s="66">
        <v>12</v>
      </c>
      <c r="D13" s="66">
        <v>12</v>
      </c>
      <c r="E13" s="62">
        <v>8.5399999999999991</v>
      </c>
      <c r="F13" s="62" t="e">
        <f>E13+#REF!</f>
        <v>#REF!</v>
      </c>
      <c r="G13" s="62">
        <v>70.459999999999994</v>
      </c>
      <c r="H13" s="62">
        <v>64.930000000000007</v>
      </c>
      <c r="I13" s="63">
        <f t="shared" si="1"/>
        <v>135.38999999999999</v>
      </c>
      <c r="J13" s="63">
        <f t="shared" si="2"/>
        <v>143.92999999999998</v>
      </c>
      <c r="K13" s="63">
        <f t="shared" si="3"/>
        <v>11.994166666666665</v>
      </c>
      <c r="L13" s="64">
        <f t="shared" si="4"/>
        <v>98.432986111111106</v>
      </c>
      <c r="M13" s="64">
        <f t="shared" si="5"/>
        <v>98.334143518518516</v>
      </c>
      <c r="N13" s="63" t="e">
        <f>J13+#REF!</f>
        <v>#REF!</v>
      </c>
      <c r="O13" s="64" t="e">
        <f t="shared" si="6"/>
        <v>#REF!</v>
      </c>
      <c r="P13" s="64" t="e">
        <f t="shared" si="7"/>
        <v>#REF!</v>
      </c>
      <c r="Q13" s="64" t="e">
        <f t="shared" si="8"/>
        <v>#REF!</v>
      </c>
      <c r="R13" s="9"/>
      <c r="S13" s="43" t="e">
        <f>L14-P14</f>
        <v>#REF!</v>
      </c>
      <c r="T13" s="43" t="e">
        <f>M14-Q14</f>
        <v>#REF!</v>
      </c>
      <c r="V13" s="37"/>
      <c r="W13" s="37">
        <f>SUM(W1:W12)</f>
        <v>366</v>
      </c>
      <c r="X13" s="37">
        <f>SUM(W14)</f>
        <v>0</v>
      </c>
      <c r="Y13" s="34"/>
    </row>
    <row r="14" spans="1:25" s="14" customFormat="1" ht="42" customHeight="1">
      <c r="A14" s="78">
        <v>7</v>
      </c>
      <c r="B14" s="74" t="s">
        <v>31</v>
      </c>
      <c r="C14" s="145">
        <v>9</v>
      </c>
      <c r="D14" s="145">
        <v>9</v>
      </c>
      <c r="E14" s="72">
        <v>10.199999999999999</v>
      </c>
      <c r="F14" s="62" t="e">
        <f>E14+#REF!</f>
        <v>#REF!</v>
      </c>
      <c r="G14" s="62">
        <v>33.549999999999997</v>
      </c>
      <c r="H14" s="62">
        <v>26.05</v>
      </c>
      <c r="I14" s="63">
        <f t="shared" si="1"/>
        <v>59.599999999999994</v>
      </c>
      <c r="J14" s="63">
        <f t="shared" si="2"/>
        <v>69.8</v>
      </c>
      <c r="K14" s="63">
        <f t="shared" si="3"/>
        <v>7.7555555555555555</v>
      </c>
      <c r="L14" s="64">
        <f t="shared" si="4"/>
        <v>99.080246913580254</v>
      </c>
      <c r="M14" s="64">
        <f t="shared" si="5"/>
        <v>98.922839506172835</v>
      </c>
      <c r="N14" s="63" t="e">
        <f>J14+#REF!</f>
        <v>#REF!</v>
      </c>
      <c r="O14" s="64" t="e">
        <f t="shared" si="6"/>
        <v>#REF!</v>
      </c>
      <c r="P14" s="64" t="e">
        <f t="shared" si="7"/>
        <v>#REF!</v>
      </c>
      <c r="Q14" s="64" t="e">
        <f t="shared" si="8"/>
        <v>#REF!</v>
      </c>
      <c r="R14" s="15"/>
      <c r="S14" s="43" t="e">
        <f t="shared" si="9"/>
        <v>#REF!</v>
      </c>
      <c r="T14" s="43" t="e">
        <f t="shared" si="9"/>
        <v>#REF!</v>
      </c>
      <c r="V14" s="34"/>
      <c r="W14" s="34"/>
      <c r="X14" s="34"/>
      <c r="Y14" s="34"/>
    </row>
    <row r="15" spans="1:25" ht="27.75" hidden="1" customHeight="1" thickBot="1">
      <c r="A15" s="16"/>
      <c r="B15" s="17"/>
      <c r="C15" s="18">
        <f t="shared" ref="C15:K15" si="10">C8+C9+C10+C11+C12+C14+C14</f>
        <v>1417</v>
      </c>
      <c r="D15" s="18">
        <f t="shared" si="10"/>
        <v>1223</v>
      </c>
      <c r="E15" s="18">
        <f t="shared" si="10"/>
        <v>491.17999999999995</v>
      </c>
      <c r="F15" s="18" t="e">
        <f t="shared" si="10"/>
        <v>#REF!</v>
      </c>
      <c r="G15" s="18">
        <f>G8+G9+G10+G11+G12+G14+G14</f>
        <v>6391.98</v>
      </c>
      <c r="H15" s="18">
        <f>H8+H9+H10+H11+H12+H14+H14</f>
        <v>5406.9500000000007</v>
      </c>
      <c r="I15" s="18">
        <f t="shared" si="10"/>
        <v>11798.930000000002</v>
      </c>
      <c r="J15" s="18">
        <f t="shared" si="10"/>
        <v>12290.11</v>
      </c>
      <c r="K15" s="18">
        <f t="shared" si="10"/>
        <v>101.37349618440271</v>
      </c>
      <c r="L15" s="9">
        <f>+(((C15*24)*30)-I15)*100/((C15*24)*30)</f>
        <v>98.843514271151889</v>
      </c>
      <c r="M15" s="9">
        <f>+(((D15*24)*30)-J15)*100/((D15*24)*30)</f>
        <v>98.604284773326071</v>
      </c>
      <c r="N15" s="18" t="e">
        <f>N8+N9+N10+N11+N12+N14+N14</f>
        <v>#REF!</v>
      </c>
      <c r="O15" s="18" t="e">
        <f>O8+O9+O10+O11+O12+O14+O14</f>
        <v>#REF!</v>
      </c>
      <c r="P15" s="9" t="e">
        <f>((C15*24*30)-(N15-E15))*100/(C15*24*30)</f>
        <v>#REF!</v>
      </c>
      <c r="Q15" s="9" t="e">
        <f>((D15*24*30)-(N15))*100/(D15*24*30)</f>
        <v>#REF!</v>
      </c>
      <c r="T15" s="43" t="e">
        <f t="shared" si="9"/>
        <v>#REF!</v>
      </c>
    </row>
    <row r="16" spans="1:25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4:20" ht="24.75" hidden="1" customHeight="1">
      <c r="P33" s="21"/>
      <c r="Q33" s="21"/>
      <c r="T33" s="43">
        <f t="shared" si="11"/>
        <v>0</v>
      </c>
    </row>
    <row r="34" spans="14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4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4:20" ht="18" hidden="1">
      <c r="T36" s="43">
        <f t="shared" si="11"/>
        <v>0</v>
      </c>
    </row>
    <row r="37" spans="14:20" ht="18" hidden="1">
      <c r="T37" s="43">
        <f t="shared" si="11"/>
        <v>0</v>
      </c>
    </row>
    <row r="38" spans="14:20" ht="18" hidden="1">
      <c r="N38" s="23"/>
      <c r="O38" s="23"/>
      <c r="P38" s="24"/>
      <c r="Q38" s="24"/>
      <c r="R38" s="21"/>
      <c r="T38" s="43">
        <f t="shared" si="11"/>
        <v>0</v>
      </c>
    </row>
    <row r="39" spans="14:20" ht="18" hidden="1">
      <c r="N39" s="23"/>
      <c r="O39" s="23"/>
      <c r="P39" s="23"/>
      <c r="Q39" s="23"/>
      <c r="T39" s="43">
        <f t="shared" si="11"/>
        <v>0</v>
      </c>
    </row>
    <row r="40" spans="14:20" ht="18" hidden="1">
      <c r="N40" s="23"/>
      <c r="O40" s="23"/>
      <c r="P40" s="23"/>
      <c r="Q40" s="23"/>
      <c r="T40" s="43">
        <f t="shared" si="11"/>
        <v>0</v>
      </c>
    </row>
    <row r="41" spans="14:20" ht="18" hidden="1">
      <c r="N41" s="23"/>
      <c r="O41" s="23"/>
      <c r="P41" s="23"/>
      <c r="Q41" s="23"/>
      <c r="T41" s="43">
        <f t="shared" si="11"/>
        <v>0</v>
      </c>
    </row>
    <row r="42" spans="14:20" ht="18" hidden="1">
      <c r="N42" s="23"/>
      <c r="O42" s="23"/>
      <c r="P42" s="23"/>
      <c r="Q42" s="23"/>
      <c r="T42" s="43">
        <f t="shared" si="11"/>
        <v>0</v>
      </c>
    </row>
    <row r="43" spans="14:20" ht="18" hidden="1">
      <c r="N43" s="23"/>
      <c r="O43" s="23"/>
      <c r="P43" s="23"/>
      <c r="Q43" s="23"/>
      <c r="T43" s="43">
        <f t="shared" si="11"/>
        <v>0</v>
      </c>
    </row>
    <row r="44" spans="14:20" ht="18" hidden="1">
      <c r="N44" s="23"/>
      <c r="O44" s="23"/>
      <c r="P44" s="23"/>
      <c r="Q44" s="23"/>
      <c r="T44" s="43">
        <f t="shared" si="11"/>
        <v>0</v>
      </c>
    </row>
    <row r="45" spans="14:20" s="25" customFormat="1" ht="18" hidden="1">
      <c r="T45" s="43">
        <f t="shared" si="11"/>
        <v>0</v>
      </c>
    </row>
    <row r="46" spans="14:20" s="25" customFormat="1" ht="18" hidden="1">
      <c r="P46" s="26"/>
      <c r="Q46" s="26"/>
      <c r="T46" s="43">
        <f t="shared" si="11"/>
        <v>0</v>
      </c>
    </row>
    <row r="47" spans="14:20" s="25" customFormat="1" ht="18" hidden="1">
      <c r="P47" s="26"/>
      <c r="Q47" s="26"/>
      <c r="T47" s="43">
        <f t="shared" si="11"/>
        <v>0</v>
      </c>
    </row>
    <row r="48" spans="14:20" s="25" customFormat="1" ht="18" hidden="1"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2:20" s="25" customFormat="1" ht="18" hidden="1"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2:20" s="25" customFormat="1" ht="18" hidden="1">
      <c r="T50" s="43">
        <f t="shared" si="11"/>
        <v>0</v>
      </c>
    </row>
    <row r="51" spans="2:20" s="25" customFormat="1" ht="18" hidden="1">
      <c r="T51" s="43">
        <f t="shared" si="11"/>
        <v>0</v>
      </c>
    </row>
    <row r="52" spans="2:20" ht="18" hidden="1">
      <c r="T52" s="43">
        <f t="shared" si="11"/>
        <v>0</v>
      </c>
    </row>
    <row r="53" spans="2:20" ht="18" hidden="1">
      <c r="T53" s="43">
        <f t="shared" si="11"/>
        <v>0</v>
      </c>
    </row>
    <row r="54" spans="2:20" ht="18" hidden="1">
      <c r="T54" s="43">
        <f t="shared" si="11"/>
        <v>0</v>
      </c>
    </row>
    <row r="55" spans="2:20" ht="18" hidden="1">
      <c r="T55" s="43">
        <f t="shared" si="11"/>
        <v>0</v>
      </c>
    </row>
    <row r="57" spans="2:20">
      <c r="C57" s="144"/>
    </row>
    <row r="58" spans="2:20" ht="48.75" customHeight="1">
      <c r="C58" s="144"/>
      <c r="L58" s="21"/>
      <c r="M58" s="21"/>
    </row>
    <row r="59" spans="2:20" ht="18.75" customHeight="1">
      <c r="B59" s="819" t="s">
        <v>67</v>
      </c>
      <c r="C59" s="819"/>
      <c r="D59" s="819"/>
      <c r="E59" s="819"/>
      <c r="F59" s="819"/>
      <c r="G59" s="118"/>
      <c r="H59" s="118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2:20" ht="18.75" customHeight="1">
      <c r="B60" s="819" t="s">
        <v>69</v>
      </c>
      <c r="C60" s="819"/>
      <c r="D60" s="819"/>
      <c r="E60" s="819"/>
      <c r="F60" s="819"/>
      <c r="G60" s="118"/>
      <c r="H60" s="118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2:20" ht="18.75">
      <c r="B61" s="121"/>
      <c r="C61" s="122"/>
      <c r="D61" s="122"/>
      <c r="E61" s="118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2:20" ht="18.75">
      <c r="B62" s="121"/>
      <c r="C62" s="122"/>
      <c r="D62" s="122"/>
      <c r="E62" s="118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9" spans="10:10">
      <c r="J69" s="174">
        <f>686.1</f>
        <v>686.1</v>
      </c>
    </row>
    <row r="70" spans="10:10">
      <c r="J70" s="2">
        <f>J69/7</f>
        <v>98.01428571428572</v>
      </c>
    </row>
  </sheetData>
  <mergeCells count="25"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view="pageBreakPreview" topLeftCell="A11" zoomScale="60" workbookViewId="0">
      <selection activeCell="I34" activeCellId="1" sqref="I34 L36"/>
    </sheetView>
  </sheetViews>
  <sheetFormatPr defaultRowHeight="12.75"/>
  <cols>
    <col min="1" max="1" width="7.140625" style="146" customWidth="1"/>
    <col min="2" max="2" width="24.140625" style="146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9.7109375" style="146" customWidth="1"/>
    <col min="13" max="13" width="10.7109375" style="146" customWidth="1"/>
    <col min="14" max="14" width="12.85546875" style="146" customWidth="1"/>
    <col min="15" max="15" width="11.85546875" style="146" customWidth="1"/>
    <col min="16" max="16" width="13.85546875" style="146" customWidth="1"/>
    <col min="17" max="17" width="11.7109375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37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104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3" customFormat="1" ht="14.25" customHeight="1">
      <c r="A11" s="821" t="s">
        <v>2</v>
      </c>
      <c r="B11" s="837" t="s">
        <v>38</v>
      </c>
      <c r="C11" s="821" t="s">
        <v>4</v>
      </c>
      <c r="D11" s="821" t="s">
        <v>5</v>
      </c>
      <c r="E11" s="821" t="s">
        <v>6</v>
      </c>
      <c r="F11" s="821" t="s">
        <v>7</v>
      </c>
      <c r="G11" s="845" t="s">
        <v>39</v>
      </c>
      <c r="H11" s="845"/>
      <c r="I11" s="845"/>
      <c r="J11" s="845" t="s">
        <v>103</v>
      </c>
      <c r="K11" s="845"/>
      <c r="L11" s="845"/>
      <c r="M11" s="845"/>
      <c r="N11" s="845" t="s">
        <v>84</v>
      </c>
      <c r="O11" s="845"/>
      <c r="P11" s="845"/>
      <c r="Q11" s="845"/>
    </row>
    <row r="12" spans="1:20" s="3" customFormat="1" ht="117.75" customHeight="1">
      <c r="A12" s="821"/>
      <c r="B12" s="838"/>
      <c r="C12" s="821"/>
      <c r="D12" s="821"/>
      <c r="E12" s="821"/>
      <c r="F12" s="821"/>
      <c r="G12" s="75" t="s">
        <v>9</v>
      </c>
      <c r="H12" s="75" t="s">
        <v>10</v>
      </c>
      <c r="I12" s="75" t="s">
        <v>11</v>
      </c>
      <c r="J12" s="75" t="s">
        <v>12</v>
      </c>
      <c r="K12" s="75" t="s">
        <v>13</v>
      </c>
      <c r="L12" s="75" t="s">
        <v>78</v>
      </c>
      <c r="M12" s="75" t="s">
        <v>14</v>
      </c>
      <c r="N12" s="75" t="s">
        <v>15</v>
      </c>
      <c r="O12" s="75" t="s">
        <v>16</v>
      </c>
      <c r="P12" s="75" t="s">
        <v>17</v>
      </c>
      <c r="Q12" s="75" t="s">
        <v>18</v>
      </c>
    </row>
    <row r="13" spans="1:20" ht="14.25" customHeight="1">
      <c r="A13" s="147">
        <v>1</v>
      </c>
      <c r="B13" s="147" t="s">
        <v>40</v>
      </c>
      <c r="C13" s="147">
        <v>3</v>
      </c>
      <c r="D13" s="147">
        <v>4</v>
      </c>
      <c r="E13" s="147">
        <v>5</v>
      </c>
      <c r="F13" s="147" t="s">
        <v>19</v>
      </c>
      <c r="G13" s="147">
        <v>6</v>
      </c>
      <c r="H13" s="147">
        <v>7</v>
      </c>
      <c r="I13" s="147" t="s">
        <v>20</v>
      </c>
      <c r="J13" s="147" t="s">
        <v>21</v>
      </c>
      <c r="K13" s="148" t="s">
        <v>22</v>
      </c>
      <c r="L13" s="147" t="s">
        <v>23</v>
      </c>
      <c r="M13" s="147" t="s">
        <v>24</v>
      </c>
      <c r="N13" s="147">
        <v>13</v>
      </c>
      <c r="O13" s="147" t="s">
        <v>25</v>
      </c>
      <c r="P13" s="147">
        <v>15</v>
      </c>
      <c r="Q13" s="147">
        <v>16</v>
      </c>
    </row>
    <row r="14" spans="1:20" s="155" customFormat="1" ht="24.95" customHeight="1">
      <c r="A14" s="149">
        <v>1</v>
      </c>
      <c r="B14" s="150" t="s">
        <v>41</v>
      </c>
      <c r="C14" s="151">
        <v>1</v>
      </c>
      <c r="D14" s="151">
        <v>1</v>
      </c>
      <c r="E14" s="152">
        <v>1.2</v>
      </c>
      <c r="F14" s="152" t="e">
        <f>E14+#REF!</f>
        <v>#REF!</v>
      </c>
      <c r="G14" s="152">
        <v>25.6</v>
      </c>
      <c r="H14" s="152">
        <v>4.6999999999999993</v>
      </c>
      <c r="I14" s="152">
        <f>G14+H14</f>
        <v>30.3</v>
      </c>
      <c r="J14" s="152">
        <f>E14+I14</f>
        <v>31.5</v>
      </c>
      <c r="K14" s="152">
        <f>J14/C14</f>
        <v>31.5</v>
      </c>
      <c r="L14" s="153">
        <f>+(((C14*24)*30)-I14)*100/((C14*24)*30)</f>
        <v>95.791666666666671</v>
      </c>
      <c r="M14" s="153">
        <f>+(((C14*24)*30)-J14)*100/((C14*24)*30)</f>
        <v>95.625</v>
      </c>
      <c r="N14" s="152" t="e">
        <f>J14+#REF!</f>
        <v>#REF!</v>
      </c>
      <c r="O14" s="153" t="e">
        <f>N14/C14</f>
        <v>#REF!</v>
      </c>
      <c r="P14" s="153" t="e">
        <f>((C14*24*91)-(N14-E14))*100/(C14*24*91)</f>
        <v>#REF!</v>
      </c>
      <c r="Q14" s="153" t="e">
        <f>((C14*24*91)-(N14))*100/(C14*24*91)</f>
        <v>#REF!</v>
      </c>
      <c r="R14" s="154"/>
      <c r="S14" s="154" t="e">
        <f>L14-P14</f>
        <v>#REF!</v>
      </c>
      <c r="T14" s="154" t="e">
        <f>M14-Q14</f>
        <v>#REF!</v>
      </c>
    </row>
    <row r="15" spans="1:20" s="155" customFormat="1" ht="24.95" customHeight="1">
      <c r="A15" s="149">
        <v>2</v>
      </c>
      <c r="B15" s="150" t="s">
        <v>42</v>
      </c>
      <c r="C15" s="151">
        <v>1</v>
      </c>
      <c r="D15" s="151">
        <v>1</v>
      </c>
      <c r="E15" s="152">
        <v>9.1</v>
      </c>
      <c r="F15" s="152" t="e">
        <f>E15+#REF!</f>
        <v>#REF!</v>
      </c>
      <c r="G15" s="152">
        <v>21.55</v>
      </c>
      <c r="H15" s="152">
        <v>2.2000000000000002</v>
      </c>
      <c r="I15" s="152">
        <f t="shared" ref="I15:I39" si="0">G15+H15</f>
        <v>23.75</v>
      </c>
      <c r="J15" s="152">
        <f t="shared" ref="J15:J39" si="1">E15+I15</f>
        <v>32.85</v>
      </c>
      <c r="K15" s="152">
        <f t="shared" ref="K15:K39" si="2">J15/C15</f>
        <v>32.85</v>
      </c>
      <c r="L15" s="153">
        <f t="shared" ref="L15:L39" si="3">+(((C15*24)*30)-I15)*100/((C15*24)*30)</f>
        <v>96.701388888888886</v>
      </c>
      <c r="M15" s="153">
        <f t="shared" ref="M15:M39" si="4">+(((C15*24)*30)-J15)*100/((C15*24)*30)</f>
        <v>95.4375</v>
      </c>
      <c r="N15" s="152" t="e">
        <f>J15+#REF!</f>
        <v>#REF!</v>
      </c>
      <c r="O15" s="153" t="e">
        <f t="shared" ref="O15:O39" si="5">N15/C15</f>
        <v>#REF!</v>
      </c>
      <c r="P15" s="153" t="e">
        <f t="shared" ref="P15:P39" si="6">((C15*24*91)-(N15-E15))*100/(C15*24*91)</f>
        <v>#REF!</v>
      </c>
      <c r="Q15" s="153" t="e">
        <f t="shared" ref="Q15:Q39" si="7">((C15*24*91)-(N15))*100/(C15*24*91)</f>
        <v>#REF!</v>
      </c>
      <c r="R15" s="154"/>
      <c r="S15" s="154" t="e">
        <f t="shared" ref="S15:T39" si="8">L15-P15</f>
        <v>#REF!</v>
      </c>
      <c r="T15" s="154" t="e">
        <f t="shared" si="8"/>
        <v>#REF!</v>
      </c>
    </row>
    <row r="16" spans="1:20" s="155" customFormat="1" ht="24.95" customHeight="1">
      <c r="A16" s="149">
        <v>3</v>
      </c>
      <c r="B16" s="150" t="s">
        <v>43</v>
      </c>
      <c r="C16" s="151">
        <v>11</v>
      </c>
      <c r="D16" s="151">
        <v>11</v>
      </c>
      <c r="E16" s="152">
        <v>33.119999999999997</v>
      </c>
      <c r="F16" s="152" t="e">
        <f>E16+#REF!</f>
        <v>#REF!</v>
      </c>
      <c r="G16" s="152">
        <v>74.349999999999994</v>
      </c>
      <c r="H16" s="152">
        <v>88.25</v>
      </c>
      <c r="I16" s="152">
        <f t="shared" si="0"/>
        <v>162.6</v>
      </c>
      <c r="J16" s="152">
        <f t="shared" si="1"/>
        <v>195.72</v>
      </c>
      <c r="K16" s="152">
        <f t="shared" si="2"/>
        <v>17.792727272727273</v>
      </c>
      <c r="L16" s="153">
        <f t="shared" si="3"/>
        <v>97.946969696969703</v>
      </c>
      <c r="M16" s="153">
        <f t="shared" si="4"/>
        <v>97.528787878787881</v>
      </c>
      <c r="N16" s="152" t="e">
        <f>J16+#REF!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54"/>
      <c r="S16" s="154" t="e">
        <f t="shared" si="8"/>
        <v>#REF!</v>
      </c>
      <c r="T16" s="154" t="e">
        <f t="shared" si="8"/>
        <v>#REF!</v>
      </c>
    </row>
    <row r="17" spans="1:20" s="155" customFormat="1" ht="24.95" customHeight="1">
      <c r="A17" s="149">
        <v>4</v>
      </c>
      <c r="B17" s="150" t="s">
        <v>73</v>
      </c>
      <c r="C17" s="151">
        <v>2</v>
      </c>
      <c r="D17" s="151">
        <v>2</v>
      </c>
      <c r="E17" s="152">
        <v>12.25</v>
      </c>
      <c r="F17" s="152" t="e">
        <f>E17+#REF!</f>
        <v>#REF!</v>
      </c>
      <c r="G17" s="152">
        <v>54</v>
      </c>
      <c r="H17" s="152">
        <v>15.35</v>
      </c>
      <c r="I17" s="152">
        <f t="shared" si="0"/>
        <v>69.349999999999994</v>
      </c>
      <c r="J17" s="152">
        <f t="shared" si="1"/>
        <v>81.599999999999994</v>
      </c>
      <c r="K17" s="152">
        <f t="shared" si="2"/>
        <v>40.799999999999997</v>
      </c>
      <c r="L17" s="153">
        <f t="shared" si="3"/>
        <v>95.184027777777771</v>
      </c>
      <c r="M17" s="153">
        <f t="shared" si="4"/>
        <v>94.333333333333329</v>
      </c>
      <c r="N17" s="152" t="e">
        <f>J17+#REF!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54"/>
      <c r="S17" s="154" t="e">
        <f>L17-P17</f>
        <v>#REF!</v>
      </c>
      <c r="T17" s="154" t="e">
        <f>M17-Q17</f>
        <v>#REF!</v>
      </c>
    </row>
    <row r="18" spans="1:20" s="155" customFormat="1" ht="24.95" customHeight="1">
      <c r="A18" s="149">
        <v>5</v>
      </c>
      <c r="B18" s="150" t="s">
        <v>79</v>
      </c>
      <c r="C18" s="151">
        <v>4</v>
      </c>
      <c r="D18" s="151">
        <v>4</v>
      </c>
      <c r="E18" s="152">
        <v>6.2</v>
      </c>
      <c r="F18" s="152" t="e">
        <f>E18+#REF!</f>
        <v>#REF!</v>
      </c>
      <c r="G18" s="152">
        <v>41.45</v>
      </c>
      <c r="H18" s="152">
        <v>57.4</v>
      </c>
      <c r="I18" s="152">
        <f t="shared" si="0"/>
        <v>98.85</v>
      </c>
      <c r="J18" s="152">
        <f t="shared" si="1"/>
        <v>105.05</v>
      </c>
      <c r="K18" s="152">
        <f t="shared" si="2"/>
        <v>26.262499999999999</v>
      </c>
      <c r="L18" s="153">
        <f t="shared" si="3"/>
        <v>96.567708333333329</v>
      </c>
      <c r="M18" s="153">
        <f t="shared" si="4"/>
        <v>96.352430555555557</v>
      </c>
      <c r="N18" s="152" t="e">
        <f>J18+#REF!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54"/>
      <c r="S18" s="154" t="e">
        <f>L18-P18</f>
        <v>#REF!</v>
      </c>
      <c r="T18" s="154" t="e">
        <f>M18-Q18</f>
        <v>#REF!</v>
      </c>
    </row>
    <row r="19" spans="1:20" s="155" customFormat="1" ht="24.95" customHeight="1">
      <c r="A19" s="149">
        <v>6</v>
      </c>
      <c r="B19" s="150" t="s">
        <v>80</v>
      </c>
      <c r="C19" s="151">
        <v>1</v>
      </c>
      <c r="D19" s="151">
        <v>1</v>
      </c>
      <c r="E19" s="152">
        <v>4.2</v>
      </c>
      <c r="F19" s="152" t="e">
        <f>E19+#REF!</f>
        <v>#REF!</v>
      </c>
      <c r="G19" s="152">
        <v>20.57</v>
      </c>
      <c r="H19" s="152">
        <v>12.62</v>
      </c>
      <c r="I19" s="152">
        <f t="shared" si="0"/>
        <v>33.19</v>
      </c>
      <c r="J19" s="152">
        <f t="shared" si="1"/>
        <v>37.39</v>
      </c>
      <c r="K19" s="152">
        <f t="shared" si="2"/>
        <v>37.39</v>
      </c>
      <c r="L19" s="153">
        <f t="shared" si="3"/>
        <v>95.390277777777783</v>
      </c>
      <c r="M19" s="153">
        <f t="shared" si="4"/>
        <v>94.80694444444444</v>
      </c>
      <c r="N19" s="152" t="e">
        <f>J19+#REF!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54"/>
      <c r="S19" s="154" t="e">
        <f t="shared" si="8"/>
        <v>#REF!</v>
      </c>
      <c r="T19" s="154" t="e">
        <f t="shared" si="8"/>
        <v>#REF!</v>
      </c>
    </row>
    <row r="20" spans="1:20" s="155" customFormat="1" ht="24.95" customHeight="1">
      <c r="A20" s="149">
        <v>7</v>
      </c>
      <c r="B20" s="150" t="s">
        <v>74</v>
      </c>
      <c r="C20" s="151">
        <v>2</v>
      </c>
      <c r="D20" s="151">
        <v>2</v>
      </c>
      <c r="E20" s="152">
        <v>6.2</v>
      </c>
      <c r="F20" s="152" t="e">
        <f>E20+#REF!</f>
        <v>#REF!</v>
      </c>
      <c r="G20" s="152">
        <v>44.95</v>
      </c>
      <c r="H20" s="152">
        <v>37.67</v>
      </c>
      <c r="I20" s="152">
        <f t="shared" si="0"/>
        <v>82.62</v>
      </c>
      <c r="J20" s="152">
        <f t="shared" si="1"/>
        <v>88.820000000000007</v>
      </c>
      <c r="K20" s="152">
        <f t="shared" si="2"/>
        <v>44.410000000000004</v>
      </c>
      <c r="L20" s="153">
        <f t="shared" si="3"/>
        <v>94.262500000000003</v>
      </c>
      <c r="M20" s="153">
        <f t="shared" si="4"/>
        <v>93.831944444444446</v>
      </c>
      <c r="N20" s="152" t="e">
        <f>J20+#REF!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54"/>
      <c r="S20" s="154" t="e">
        <f t="shared" si="8"/>
        <v>#REF!</v>
      </c>
      <c r="T20" s="154" t="e">
        <f t="shared" si="8"/>
        <v>#REF!</v>
      </c>
    </row>
    <row r="21" spans="1:20" s="155" customFormat="1" ht="24.95" customHeight="1">
      <c r="A21" s="149">
        <v>8</v>
      </c>
      <c r="B21" s="150" t="s">
        <v>44</v>
      </c>
      <c r="C21" s="151">
        <v>3</v>
      </c>
      <c r="D21" s="151">
        <v>3</v>
      </c>
      <c r="E21" s="152">
        <v>8.5625937499999996</v>
      </c>
      <c r="F21" s="152" t="e">
        <f>E21+#REF!</f>
        <v>#REF!</v>
      </c>
      <c r="G21" s="152">
        <v>20.900000000000002</v>
      </c>
      <c r="H21" s="152">
        <v>5.95</v>
      </c>
      <c r="I21" s="152">
        <f t="shared" si="0"/>
        <v>26.85</v>
      </c>
      <c r="J21" s="152">
        <f t="shared" si="1"/>
        <v>35.412593749999999</v>
      </c>
      <c r="K21" s="152">
        <f t="shared" si="2"/>
        <v>11.804197916666666</v>
      </c>
      <c r="L21" s="153">
        <f t="shared" si="3"/>
        <v>98.756944444444443</v>
      </c>
      <c r="M21" s="153">
        <f t="shared" si="4"/>
        <v>98.360528067129636</v>
      </c>
      <c r="N21" s="152" t="e">
        <f>J21+#REF!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54"/>
      <c r="S21" s="154" t="e">
        <f t="shared" si="8"/>
        <v>#REF!</v>
      </c>
      <c r="T21" s="154" t="e">
        <f t="shared" si="8"/>
        <v>#REF!</v>
      </c>
    </row>
    <row r="22" spans="1:20" s="155" customFormat="1" ht="24.95" customHeight="1">
      <c r="A22" s="149">
        <v>9</v>
      </c>
      <c r="B22" s="150" t="s">
        <v>75</v>
      </c>
      <c r="C22" s="151">
        <v>5</v>
      </c>
      <c r="D22" s="151">
        <v>5</v>
      </c>
      <c r="E22" s="152">
        <v>9.9284062500000001</v>
      </c>
      <c r="F22" s="152" t="e">
        <f>E22+#REF!</f>
        <v>#REF!</v>
      </c>
      <c r="G22" s="152">
        <v>9.3800000000000008</v>
      </c>
      <c r="H22" s="152">
        <v>6.25</v>
      </c>
      <c r="I22" s="152">
        <f t="shared" si="0"/>
        <v>15.63</v>
      </c>
      <c r="J22" s="152">
        <f t="shared" si="1"/>
        <v>25.558406250000001</v>
      </c>
      <c r="K22" s="152">
        <f t="shared" si="2"/>
        <v>5.1116812500000002</v>
      </c>
      <c r="L22" s="153">
        <f t="shared" si="3"/>
        <v>99.56583333333333</v>
      </c>
      <c r="M22" s="153">
        <f t="shared" si="4"/>
        <v>99.290044270833334</v>
      </c>
      <c r="N22" s="152" t="e">
        <f>J22+#REF!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54"/>
      <c r="S22" s="154" t="e">
        <f t="shared" si="8"/>
        <v>#REF!</v>
      </c>
      <c r="T22" s="154" t="e">
        <f t="shared" si="8"/>
        <v>#REF!</v>
      </c>
    </row>
    <row r="23" spans="1:20" s="155" customFormat="1" ht="24.95" customHeight="1">
      <c r="A23" s="149">
        <v>10</v>
      </c>
      <c r="B23" s="150" t="s">
        <v>76</v>
      </c>
      <c r="C23" s="151">
        <v>1</v>
      </c>
      <c r="D23" s="151">
        <v>1</v>
      </c>
      <c r="E23" s="152">
        <v>0.5778437500000001</v>
      </c>
      <c r="F23" s="152" t="e">
        <f>E23+#REF!</f>
        <v>#REF!</v>
      </c>
      <c r="G23" s="152">
        <v>4.1499999999999995</v>
      </c>
      <c r="H23" s="152">
        <v>0.85000000000000009</v>
      </c>
      <c r="I23" s="152">
        <f t="shared" si="0"/>
        <v>5</v>
      </c>
      <c r="J23" s="152">
        <f t="shared" si="1"/>
        <v>5.5778437500000004</v>
      </c>
      <c r="K23" s="152">
        <f t="shared" si="2"/>
        <v>5.5778437500000004</v>
      </c>
      <c r="L23" s="153">
        <f t="shared" si="3"/>
        <v>99.305555555555557</v>
      </c>
      <c r="M23" s="153">
        <f t="shared" si="4"/>
        <v>99.225299479166665</v>
      </c>
      <c r="N23" s="152" t="e">
        <f>J23+#REF!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54"/>
      <c r="S23" s="154" t="e">
        <f t="shared" si="8"/>
        <v>#REF!</v>
      </c>
      <c r="T23" s="154" t="e">
        <f t="shared" si="8"/>
        <v>#REF!</v>
      </c>
    </row>
    <row r="24" spans="1:20" s="1" customFormat="1" ht="24.95" customHeight="1">
      <c r="A24" s="149">
        <v>11</v>
      </c>
      <c r="B24" s="150" t="s">
        <v>28</v>
      </c>
      <c r="C24" s="156">
        <v>7</v>
      </c>
      <c r="D24" s="156">
        <v>7</v>
      </c>
      <c r="E24" s="153">
        <v>14</v>
      </c>
      <c r="F24" s="152" t="e">
        <f>E24+#REF!</f>
        <v>#REF!</v>
      </c>
      <c r="G24" s="153">
        <v>324</v>
      </c>
      <c r="H24" s="153">
        <v>80</v>
      </c>
      <c r="I24" s="152">
        <f t="shared" si="0"/>
        <v>404</v>
      </c>
      <c r="J24" s="152">
        <f t="shared" si="1"/>
        <v>418</v>
      </c>
      <c r="K24" s="152">
        <f t="shared" si="2"/>
        <v>59.714285714285715</v>
      </c>
      <c r="L24" s="153">
        <f t="shared" si="3"/>
        <v>91.984126984126988</v>
      </c>
      <c r="M24" s="153">
        <f t="shared" si="4"/>
        <v>91.706349206349202</v>
      </c>
      <c r="N24" s="152" t="e">
        <f>J24+#REF!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54"/>
      <c r="S24" s="154" t="e">
        <f t="shared" si="8"/>
        <v>#REF!</v>
      </c>
      <c r="T24" s="154" t="e">
        <f t="shared" si="8"/>
        <v>#REF!</v>
      </c>
    </row>
    <row r="25" spans="1:20" s="1" customFormat="1" ht="24.95" customHeight="1">
      <c r="A25" s="149">
        <v>12</v>
      </c>
      <c r="B25" s="150" t="s">
        <v>45</v>
      </c>
      <c r="C25" s="156">
        <v>11</v>
      </c>
      <c r="D25" s="156">
        <v>11</v>
      </c>
      <c r="E25" s="153">
        <v>15</v>
      </c>
      <c r="F25" s="152" t="e">
        <f>E25+#REF!</f>
        <v>#REF!</v>
      </c>
      <c r="G25" s="153">
        <v>594</v>
      </c>
      <c r="H25" s="153">
        <v>423</v>
      </c>
      <c r="I25" s="152">
        <f>G25+H25</f>
        <v>1017</v>
      </c>
      <c r="J25" s="152">
        <f t="shared" si="1"/>
        <v>1032</v>
      </c>
      <c r="K25" s="152">
        <f t="shared" si="2"/>
        <v>93.818181818181813</v>
      </c>
      <c r="L25" s="153">
        <f t="shared" si="3"/>
        <v>87.159090909090907</v>
      </c>
      <c r="M25" s="153">
        <f t="shared" si="4"/>
        <v>86.969696969696969</v>
      </c>
      <c r="N25" s="152" t="e">
        <f>J25+#REF!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54"/>
      <c r="S25" s="154" t="e">
        <f t="shared" si="8"/>
        <v>#REF!</v>
      </c>
      <c r="T25" s="154" t="e">
        <f t="shared" si="8"/>
        <v>#REF!</v>
      </c>
    </row>
    <row r="26" spans="1:20" s="1" customFormat="1" ht="24.95" customHeight="1">
      <c r="A26" s="149">
        <v>13</v>
      </c>
      <c r="B26" s="150" t="s">
        <v>46</v>
      </c>
      <c r="C26" s="156">
        <v>10</v>
      </c>
      <c r="D26" s="156">
        <v>10</v>
      </c>
      <c r="E26" s="153">
        <v>5.47</v>
      </c>
      <c r="F26" s="152" t="e">
        <f>E26+#REF!</f>
        <v>#REF!</v>
      </c>
      <c r="G26" s="153">
        <v>239.4</v>
      </c>
      <c r="H26" s="153">
        <v>169.67</v>
      </c>
      <c r="I26" s="152">
        <f t="shared" si="0"/>
        <v>409.07</v>
      </c>
      <c r="J26" s="152">
        <f t="shared" si="1"/>
        <v>414.54</v>
      </c>
      <c r="K26" s="152">
        <f t="shared" si="2"/>
        <v>41.454000000000001</v>
      </c>
      <c r="L26" s="153">
        <f t="shared" si="3"/>
        <v>94.318472222222226</v>
      </c>
      <c r="M26" s="153">
        <f t="shared" si="4"/>
        <v>94.242500000000007</v>
      </c>
      <c r="N26" s="152" t="e">
        <f>J26+#REF!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54"/>
      <c r="S26" s="154" t="e">
        <f t="shared" si="8"/>
        <v>#REF!</v>
      </c>
      <c r="T26" s="154" t="e">
        <f t="shared" si="8"/>
        <v>#REF!</v>
      </c>
    </row>
    <row r="27" spans="1:20" s="1" customFormat="1" ht="24.95" customHeight="1">
      <c r="A27" s="149">
        <v>14</v>
      </c>
      <c r="B27" s="150" t="s">
        <v>77</v>
      </c>
      <c r="C27" s="156">
        <v>4</v>
      </c>
      <c r="D27" s="156">
        <v>4</v>
      </c>
      <c r="E27" s="153">
        <v>1.66</v>
      </c>
      <c r="F27" s="152" t="e">
        <f>E27+#REF!</f>
        <v>#REF!</v>
      </c>
      <c r="G27" s="153">
        <v>26.34</v>
      </c>
      <c r="H27" s="153">
        <v>17.91</v>
      </c>
      <c r="I27" s="152">
        <f t="shared" si="0"/>
        <v>44.25</v>
      </c>
      <c r="J27" s="152">
        <f t="shared" si="1"/>
        <v>45.91</v>
      </c>
      <c r="K27" s="152">
        <f t="shared" si="2"/>
        <v>11.477499999999999</v>
      </c>
      <c r="L27" s="153">
        <f t="shared" si="3"/>
        <v>98.463541666666671</v>
      </c>
      <c r="M27" s="153">
        <f t="shared" si="4"/>
        <v>98.405902777777783</v>
      </c>
      <c r="N27" s="152" t="e">
        <f>J27+#REF!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54"/>
      <c r="S27" s="154" t="e">
        <f>L27-P27</f>
        <v>#REF!</v>
      </c>
      <c r="T27" s="154" t="e">
        <f>M27-Q27</f>
        <v>#REF!</v>
      </c>
    </row>
    <row r="28" spans="1:20" s="1" customFormat="1" ht="24.95" customHeight="1">
      <c r="A28" s="149">
        <v>15</v>
      </c>
      <c r="B28" s="150" t="s">
        <v>47</v>
      </c>
      <c r="C28" s="156">
        <v>30</v>
      </c>
      <c r="D28" s="156">
        <v>30</v>
      </c>
      <c r="E28" s="153">
        <v>96</v>
      </c>
      <c r="F28" s="152" t="e">
        <f>E28+#REF!</f>
        <v>#REF!</v>
      </c>
      <c r="G28" s="153">
        <v>85</v>
      </c>
      <c r="H28" s="153">
        <v>63.05</v>
      </c>
      <c r="I28" s="152">
        <f t="shared" si="0"/>
        <v>148.05000000000001</v>
      </c>
      <c r="J28" s="152">
        <f t="shared" si="1"/>
        <v>244.05</v>
      </c>
      <c r="K28" s="152">
        <f t="shared" si="2"/>
        <v>8.1349999999999998</v>
      </c>
      <c r="L28" s="153">
        <f t="shared" si="3"/>
        <v>99.314583333333331</v>
      </c>
      <c r="M28" s="153">
        <f t="shared" si="4"/>
        <v>98.870138888888889</v>
      </c>
      <c r="N28" s="152" t="e">
        <f>J28+#REF!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54"/>
      <c r="S28" s="154" t="e">
        <f t="shared" si="8"/>
        <v>#REF!</v>
      </c>
      <c r="T28" s="154" t="e">
        <f t="shared" si="8"/>
        <v>#REF!</v>
      </c>
    </row>
    <row r="29" spans="1:20" s="1" customFormat="1" ht="24.95" customHeight="1">
      <c r="A29" s="149">
        <v>16</v>
      </c>
      <c r="B29" s="150" t="s">
        <v>48</v>
      </c>
      <c r="C29" s="156">
        <v>15</v>
      </c>
      <c r="D29" s="156">
        <v>15</v>
      </c>
      <c r="E29" s="153">
        <v>15.2</v>
      </c>
      <c r="F29" s="152" t="e">
        <f>E29+#REF!</f>
        <v>#REF!</v>
      </c>
      <c r="G29" s="153">
        <v>53.27</v>
      </c>
      <c r="H29" s="153">
        <v>45</v>
      </c>
      <c r="I29" s="152">
        <f t="shared" si="0"/>
        <v>98.27000000000001</v>
      </c>
      <c r="J29" s="152">
        <f t="shared" si="1"/>
        <v>113.47000000000001</v>
      </c>
      <c r="K29" s="152">
        <f t="shared" si="2"/>
        <v>7.5646666666666675</v>
      </c>
      <c r="L29" s="153">
        <f t="shared" si="3"/>
        <v>99.090092592592597</v>
      </c>
      <c r="M29" s="153">
        <f t="shared" si="4"/>
        <v>98.949351851851858</v>
      </c>
      <c r="N29" s="152" t="e">
        <f>J29+#REF!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54"/>
      <c r="S29" s="154" t="e">
        <f t="shared" si="8"/>
        <v>#REF!</v>
      </c>
      <c r="T29" s="154" t="e">
        <f t="shared" si="8"/>
        <v>#REF!</v>
      </c>
    </row>
    <row r="30" spans="1:20" s="1" customFormat="1" ht="24.95" customHeight="1">
      <c r="A30" s="149">
        <v>17</v>
      </c>
      <c r="B30" s="150" t="s">
        <v>63</v>
      </c>
      <c r="C30" s="156">
        <v>12</v>
      </c>
      <c r="D30" s="156">
        <v>12</v>
      </c>
      <c r="E30" s="153">
        <v>14.55</v>
      </c>
      <c r="F30" s="152" t="e">
        <f>E30+#REF!</f>
        <v>#REF!</v>
      </c>
      <c r="G30" s="153">
        <v>23.3</v>
      </c>
      <c r="H30" s="153">
        <v>20.43</v>
      </c>
      <c r="I30" s="152">
        <f t="shared" si="0"/>
        <v>43.730000000000004</v>
      </c>
      <c r="J30" s="152">
        <f t="shared" si="1"/>
        <v>58.28</v>
      </c>
      <c r="K30" s="152">
        <f t="shared" si="2"/>
        <v>4.8566666666666665</v>
      </c>
      <c r="L30" s="153">
        <f t="shared" si="3"/>
        <v>99.493865740740745</v>
      </c>
      <c r="M30" s="153">
        <f t="shared" si="4"/>
        <v>99.325462962962945</v>
      </c>
      <c r="N30" s="152" t="e">
        <f>J30+#REF!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54"/>
      <c r="S30" s="154" t="e">
        <f t="shared" si="8"/>
        <v>#REF!</v>
      </c>
      <c r="T30" s="154" t="e">
        <f t="shared" si="8"/>
        <v>#REF!</v>
      </c>
    </row>
    <row r="31" spans="1:20" s="1" customFormat="1" ht="24.95" customHeight="1">
      <c r="A31" s="149">
        <v>18</v>
      </c>
      <c r="B31" s="150" t="s">
        <v>50</v>
      </c>
      <c r="C31" s="156">
        <v>49</v>
      </c>
      <c r="D31" s="156">
        <v>49</v>
      </c>
      <c r="E31" s="153">
        <v>33.950000000000003</v>
      </c>
      <c r="F31" s="152" t="e">
        <f>E31+#REF!</f>
        <v>#REF!</v>
      </c>
      <c r="G31" s="153">
        <v>1050.9166666666665</v>
      </c>
      <c r="H31" s="153">
        <v>2861.1999999999989</v>
      </c>
      <c r="I31" s="152">
        <f t="shared" si="0"/>
        <v>3912.1166666666654</v>
      </c>
      <c r="J31" s="152">
        <f t="shared" si="1"/>
        <v>3946.0666666666652</v>
      </c>
      <c r="K31" s="152">
        <f t="shared" si="2"/>
        <v>80.531972789115613</v>
      </c>
      <c r="L31" s="153">
        <f t="shared" si="3"/>
        <v>88.911233938019663</v>
      </c>
      <c r="M31" s="153">
        <f t="shared" si="4"/>
        <v>88.815003779289498</v>
      </c>
      <c r="N31" s="152" t="e">
        <f>J31+#REF!</f>
        <v>#REF!</v>
      </c>
      <c r="O31" s="153" t="e">
        <f t="shared" si="5"/>
        <v>#REF!</v>
      </c>
      <c r="P31" s="153" t="e">
        <f t="shared" si="6"/>
        <v>#REF!</v>
      </c>
      <c r="Q31" s="153" t="e">
        <f t="shared" si="7"/>
        <v>#REF!</v>
      </c>
      <c r="R31" s="154" t="str">
        <f>'[2]Annexure II'!B8</f>
        <v>Devanahalli</v>
      </c>
      <c r="S31" s="154" t="e">
        <f t="shared" si="8"/>
        <v>#REF!</v>
      </c>
      <c r="T31" s="154" t="e">
        <f t="shared" si="8"/>
        <v>#REF!</v>
      </c>
    </row>
    <row r="32" spans="1:20" s="1" customFormat="1" ht="24.95" customHeight="1">
      <c r="A32" s="149">
        <v>19</v>
      </c>
      <c r="B32" s="157" t="s">
        <v>51</v>
      </c>
      <c r="C32" s="158">
        <v>59</v>
      </c>
      <c r="D32" s="158">
        <v>59</v>
      </c>
      <c r="E32" s="153">
        <v>84.520000000000067</v>
      </c>
      <c r="F32" s="152" t="e">
        <f>E32+#REF!</f>
        <v>#REF!</v>
      </c>
      <c r="G32" s="153">
        <v>810.32999999999993</v>
      </c>
      <c r="H32" s="153">
        <v>886.27999999999986</v>
      </c>
      <c r="I32" s="152">
        <f t="shared" si="0"/>
        <v>1696.6099999999997</v>
      </c>
      <c r="J32" s="152">
        <f t="shared" si="1"/>
        <v>1781.1299999999997</v>
      </c>
      <c r="K32" s="152">
        <f t="shared" si="2"/>
        <v>30.188644067796606</v>
      </c>
      <c r="L32" s="153">
        <f t="shared" si="3"/>
        <v>96.006096986817326</v>
      </c>
      <c r="M32" s="153">
        <f t="shared" si="4"/>
        <v>95.807132768361598</v>
      </c>
      <c r="N32" s="152" t="e">
        <f>J32+#REF!</f>
        <v>#REF!</v>
      </c>
      <c r="O32" s="153" t="e">
        <f t="shared" si="5"/>
        <v>#REF!</v>
      </c>
      <c r="P32" s="153" t="e">
        <f t="shared" si="6"/>
        <v>#REF!</v>
      </c>
      <c r="Q32" s="153" t="e">
        <f t="shared" si="7"/>
        <v>#REF!</v>
      </c>
      <c r="R32" s="154" t="str">
        <f>'[2]Annexure II'!B9</f>
        <v>Hosakote</v>
      </c>
      <c r="S32" s="154" t="e">
        <f t="shared" si="8"/>
        <v>#REF!</v>
      </c>
      <c r="T32" s="154" t="e">
        <f t="shared" si="8"/>
        <v>#REF!</v>
      </c>
    </row>
    <row r="33" spans="1:20" s="1" customFormat="1" ht="24.95" customHeight="1">
      <c r="A33" s="149">
        <v>20</v>
      </c>
      <c r="B33" s="157" t="s">
        <v>52</v>
      </c>
      <c r="C33" s="158">
        <v>47</v>
      </c>
      <c r="D33" s="158">
        <v>47</v>
      </c>
      <c r="E33" s="153">
        <v>1.5</v>
      </c>
      <c r="F33" s="152" t="e">
        <f>E33+#REF!</f>
        <v>#REF!</v>
      </c>
      <c r="G33" s="153">
        <v>770.21</v>
      </c>
      <c r="H33" s="153">
        <v>829.28000000000009</v>
      </c>
      <c r="I33" s="152">
        <f t="shared" si="0"/>
        <v>1599.4900000000002</v>
      </c>
      <c r="J33" s="152">
        <f t="shared" si="1"/>
        <v>1600.9900000000002</v>
      </c>
      <c r="K33" s="152">
        <f t="shared" si="2"/>
        <v>34.063617021276599</v>
      </c>
      <c r="L33" s="153">
        <f t="shared" si="3"/>
        <v>95.273374704491729</v>
      </c>
      <c r="M33" s="153">
        <f t="shared" si="4"/>
        <v>95.268942080378253</v>
      </c>
      <c r="N33" s="152" t="e">
        <f>J33+#REF!</f>
        <v>#REF!</v>
      </c>
      <c r="O33" s="153" t="e">
        <f t="shared" si="5"/>
        <v>#REF!</v>
      </c>
      <c r="P33" s="153" t="e">
        <f t="shared" si="6"/>
        <v>#REF!</v>
      </c>
      <c r="Q33" s="153" t="e">
        <f t="shared" si="7"/>
        <v>#REF!</v>
      </c>
      <c r="R33" s="154" t="str">
        <f>'[2]Annexure II'!B10</f>
        <v>Nelamangala</v>
      </c>
      <c r="S33" s="154" t="e">
        <f t="shared" si="8"/>
        <v>#REF!</v>
      </c>
      <c r="T33" s="154" t="e">
        <f t="shared" si="8"/>
        <v>#REF!</v>
      </c>
    </row>
    <row r="34" spans="1:20" s="1" customFormat="1" ht="28.5" customHeight="1">
      <c r="A34" s="149">
        <v>21</v>
      </c>
      <c r="B34" s="150" t="s">
        <v>53</v>
      </c>
      <c r="C34" s="156">
        <v>36</v>
      </c>
      <c r="D34" s="156">
        <v>36</v>
      </c>
      <c r="E34" s="153">
        <v>60</v>
      </c>
      <c r="F34" s="152" t="e">
        <f>E34+#REF!</f>
        <v>#REF!</v>
      </c>
      <c r="G34" s="153">
        <v>724.85000000000014</v>
      </c>
      <c r="H34" s="153">
        <v>719.15</v>
      </c>
      <c r="I34" s="152">
        <f t="shared" si="0"/>
        <v>1444</v>
      </c>
      <c r="J34" s="152">
        <f t="shared" si="1"/>
        <v>1504</v>
      </c>
      <c r="K34" s="152">
        <f t="shared" si="2"/>
        <v>41.777777777777779</v>
      </c>
      <c r="L34" s="153">
        <f t="shared" si="3"/>
        <v>94.429012345679013</v>
      </c>
      <c r="M34" s="153">
        <f t="shared" si="4"/>
        <v>94.197530864197532</v>
      </c>
      <c r="N34" s="152" t="e">
        <f>J34+#REF!</f>
        <v>#REF!</v>
      </c>
      <c r="O34" s="153" t="e">
        <f t="shared" si="5"/>
        <v>#REF!</v>
      </c>
      <c r="P34" s="153" t="e">
        <f t="shared" si="6"/>
        <v>#REF!</v>
      </c>
      <c r="Q34" s="153" t="e">
        <f t="shared" si="7"/>
        <v>#REF!</v>
      </c>
      <c r="R34" s="154" t="str">
        <f>'[2]Annexure II'!B11</f>
        <v>Doddaballapura</v>
      </c>
      <c r="S34" s="154" t="e">
        <f t="shared" si="8"/>
        <v>#REF!</v>
      </c>
      <c r="T34" s="154" t="e">
        <f t="shared" si="8"/>
        <v>#REF!</v>
      </c>
    </row>
    <row r="35" spans="1:20" s="1" customFormat="1" ht="24.95" customHeight="1">
      <c r="A35" s="149">
        <v>22</v>
      </c>
      <c r="B35" s="150" t="s">
        <v>54</v>
      </c>
      <c r="C35" s="156">
        <v>26</v>
      </c>
      <c r="D35" s="156">
        <v>26</v>
      </c>
      <c r="E35" s="153">
        <v>72.75</v>
      </c>
      <c r="F35" s="152" t="e">
        <f>E35+#REF!</f>
        <v>#REF!</v>
      </c>
      <c r="G35" s="153">
        <v>224.14</v>
      </c>
      <c r="H35" s="153">
        <v>115.28</v>
      </c>
      <c r="I35" s="152">
        <f t="shared" si="0"/>
        <v>339.41999999999996</v>
      </c>
      <c r="J35" s="152">
        <f t="shared" si="1"/>
        <v>412.16999999999996</v>
      </c>
      <c r="K35" s="152">
        <f t="shared" si="2"/>
        <v>15.852692307692307</v>
      </c>
      <c r="L35" s="153">
        <f t="shared" si="3"/>
        <v>98.186858974358984</v>
      </c>
      <c r="M35" s="153">
        <f t="shared" si="4"/>
        <v>97.798237179487188</v>
      </c>
      <c r="N35" s="152" t="e">
        <f>J35+#REF!</f>
        <v>#REF!</v>
      </c>
      <c r="O35" s="153" t="e">
        <f t="shared" si="5"/>
        <v>#REF!</v>
      </c>
      <c r="P35" s="153" t="e">
        <f t="shared" si="6"/>
        <v>#REF!</v>
      </c>
      <c r="Q35" s="153" t="e">
        <f t="shared" si="7"/>
        <v>#REF!</v>
      </c>
      <c r="R35" s="154" t="str">
        <f>'[2]Annexure II'!B12</f>
        <v>Magadi</v>
      </c>
      <c r="S35" s="154" t="e">
        <f t="shared" si="8"/>
        <v>#REF!</v>
      </c>
      <c r="T35" s="154" t="e">
        <f t="shared" si="8"/>
        <v>#REF!</v>
      </c>
    </row>
    <row r="36" spans="1:20" s="1" customFormat="1" ht="24.95" customHeight="1">
      <c r="A36" s="149">
        <v>23</v>
      </c>
      <c r="B36" s="150" t="s">
        <v>49</v>
      </c>
      <c r="C36" s="156">
        <v>127</v>
      </c>
      <c r="D36" s="156">
        <v>127</v>
      </c>
      <c r="E36" s="153">
        <v>111.34</v>
      </c>
      <c r="F36" s="152" t="e">
        <f>E36+#REF!</f>
        <v>#REF!</v>
      </c>
      <c r="G36" s="153">
        <v>111.33722222222222</v>
      </c>
      <c r="H36" s="153">
        <v>43.713888888888889</v>
      </c>
      <c r="I36" s="152">
        <f t="shared" si="0"/>
        <v>155.05111111111111</v>
      </c>
      <c r="J36" s="152">
        <f t="shared" si="1"/>
        <v>266.39111111111112</v>
      </c>
      <c r="K36" s="152">
        <f t="shared" si="2"/>
        <v>2.0975678040244969</v>
      </c>
      <c r="L36" s="153">
        <f t="shared" si="3"/>
        <v>99.830434042966843</v>
      </c>
      <c r="M36" s="153">
        <f t="shared" si="4"/>
        <v>99.708671138329947</v>
      </c>
      <c r="N36" s="152" t="e">
        <f>J36+#REF!</f>
        <v>#REF!</v>
      </c>
      <c r="O36" s="153" t="e">
        <f t="shared" si="5"/>
        <v>#REF!</v>
      </c>
      <c r="P36" s="153" t="e">
        <f t="shared" si="6"/>
        <v>#REF!</v>
      </c>
      <c r="Q36" s="153" t="e">
        <f t="shared" si="7"/>
        <v>#REF!</v>
      </c>
      <c r="R36" s="154" t="str">
        <f>'[2]Annexure II'!B7</f>
        <v>Anekal</v>
      </c>
      <c r="S36" s="154" t="e">
        <f>L36-P36</f>
        <v>#REF!</v>
      </c>
      <c r="T36" s="154" t="e">
        <f>M36-Q36</f>
        <v>#REF!</v>
      </c>
    </row>
    <row r="37" spans="1:20" s="1" customFormat="1" ht="24.95" customHeight="1">
      <c r="A37" s="149">
        <v>24</v>
      </c>
      <c r="B37" s="150" t="s">
        <v>32</v>
      </c>
      <c r="C37" s="156">
        <v>24</v>
      </c>
      <c r="D37" s="156">
        <v>24</v>
      </c>
      <c r="E37" s="153">
        <v>3.2</v>
      </c>
      <c r="F37" s="152" t="e">
        <f>E37+#REF!</f>
        <v>#REF!</v>
      </c>
      <c r="G37" s="153">
        <v>54.849999999999994</v>
      </c>
      <c r="H37" s="153">
        <v>21.35</v>
      </c>
      <c r="I37" s="152">
        <f t="shared" si="0"/>
        <v>76.199999999999989</v>
      </c>
      <c r="J37" s="152">
        <f t="shared" si="1"/>
        <v>79.399999999999991</v>
      </c>
      <c r="K37" s="152">
        <f t="shared" si="2"/>
        <v>3.3083333333333331</v>
      </c>
      <c r="L37" s="153">
        <f t="shared" si="3"/>
        <v>99.559027777777771</v>
      </c>
      <c r="M37" s="153">
        <f t="shared" si="4"/>
        <v>99.540509259259252</v>
      </c>
      <c r="N37" s="152" t="e">
        <f>J37+#REF!</f>
        <v>#REF!</v>
      </c>
      <c r="O37" s="153" t="e">
        <f t="shared" si="5"/>
        <v>#REF!</v>
      </c>
      <c r="P37" s="153" t="e">
        <f t="shared" si="6"/>
        <v>#REF!</v>
      </c>
      <c r="Q37" s="153" t="e">
        <f t="shared" si="7"/>
        <v>#REF!</v>
      </c>
      <c r="R37" s="154" t="str">
        <f>'[2]Annexure II'!B13</f>
        <v>Ramanagara</v>
      </c>
      <c r="S37" s="154" t="e">
        <f t="shared" si="8"/>
        <v>#REF!</v>
      </c>
      <c r="T37" s="154" t="e">
        <f t="shared" si="8"/>
        <v>#REF!</v>
      </c>
    </row>
    <row r="38" spans="1:20" s="1" customFormat="1" ht="24.95" customHeight="1">
      <c r="A38" s="149">
        <v>25</v>
      </c>
      <c r="B38" s="150" t="s">
        <v>55</v>
      </c>
      <c r="C38" s="156">
        <v>7</v>
      </c>
      <c r="D38" s="156">
        <v>7</v>
      </c>
      <c r="E38" s="153">
        <v>3.55</v>
      </c>
      <c r="F38" s="152" t="e">
        <f>E38+#REF!</f>
        <v>#REF!</v>
      </c>
      <c r="G38" s="153">
        <v>48.980000000000004</v>
      </c>
      <c r="H38" s="153">
        <v>14.43888888888889</v>
      </c>
      <c r="I38" s="152">
        <f t="shared" si="0"/>
        <v>63.418888888888894</v>
      </c>
      <c r="J38" s="152">
        <f t="shared" si="1"/>
        <v>66.968888888888898</v>
      </c>
      <c r="K38" s="152">
        <f t="shared" si="2"/>
        <v>9.5669841269841278</v>
      </c>
      <c r="L38" s="153">
        <f t="shared" si="3"/>
        <v>98.741688712522034</v>
      </c>
      <c r="M38" s="153">
        <f t="shared" si="4"/>
        <v>98.671252204585542</v>
      </c>
      <c r="N38" s="152" t="e">
        <f>J38+#REF!</f>
        <v>#REF!</v>
      </c>
      <c r="O38" s="153" t="e">
        <f t="shared" si="5"/>
        <v>#REF!</v>
      </c>
      <c r="P38" s="153" t="e">
        <f t="shared" si="6"/>
        <v>#REF!</v>
      </c>
      <c r="Q38" s="153" t="e">
        <f t="shared" si="7"/>
        <v>#REF!</v>
      </c>
      <c r="R38" s="154" t="str">
        <f>'[2]Annexure II'!B14</f>
        <v>Channapatna</v>
      </c>
      <c r="S38" s="154" t="e">
        <f t="shared" si="8"/>
        <v>#REF!</v>
      </c>
      <c r="T38" s="154" t="e">
        <f t="shared" si="8"/>
        <v>#REF!</v>
      </c>
    </row>
    <row r="39" spans="1:20" s="1" customFormat="1" ht="24.95" customHeight="1">
      <c r="A39" s="149">
        <v>26</v>
      </c>
      <c r="B39" s="150" t="s">
        <v>56</v>
      </c>
      <c r="C39" s="156">
        <v>22</v>
      </c>
      <c r="D39" s="156">
        <v>22</v>
      </c>
      <c r="E39" s="153">
        <v>0.43</v>
      </c>
      <c r="F39" s="152" t="e">
        <f>E39+#REF!</f>
        <v>#REF!</v>
      </c>
      <c r="G39" s="153">
        <v>7.2874999999999996</v>
      </c>
      <c r="H39" s="153">
        <v>2.8833333333333329</v>
      </c>
      <c r="I39" s="152">
        <f t="shared" si="0"/>
        <v>10.170833333333333</v>
      </c>
      <c r="J39" s="152">
        <f t="shared" si="1"/>
        <v>10.600833333333332</v>
      </c>
      <c r="K39" s="152">
        <f t="shared" si="2"/>
        <v>0.48185606060606057</v>
      </c>
      <c r="L39" s="153">
        <f t="shared" si="3"/>
        <v>99.935790193602699</v>
      </c>
      <c r="M39" s="153">
        <f t="shared" si="4"/>
        <v>99.933075547138031</v>
      </c>
      <c r="N39" s="152" t="e">
        <f>J39+#REF!</f>
        <v>#REF!</v>
      </c>
      <c r="O39" s="153" t="e">
        <f t="shared" si="5"/>
        <v>#REF!</v>
      </c>
      <c r="P39" s="153" t="e">
        <f t="shared" si="6"/>
        <v>#REF!</v>
      </c>
      <c r="Q39" s="153" t="e">
        <f t="shared" si="7"/>
        <v>#REF!</v>
      </c>
      <c r="R39" s="154" t="str">
        <f>'[2]Annexure II'!B15</f>
        <v>Kanakapura</v>
      </c>
      <c r="S39" s="154" t="e">
        <f t="shared" si="8"/>
        <v>#REF!</v>
      </c>
      <c r="T39" s="154" t="e">
        <f t="shared" si="8"/>
        <v>#REF!</v>
      </c>
    </row>
    <row r="40" spans="1:20" s="1" customFormat="1" ht="24.95" customHeight="1">
      <c r="A40" s="865" t="s">
        <v>111</v>
      </c>
      <c r="B40" s="865"/>
      <c r="C40" s="865"/>
      <c r="D40" s="865"/>
      <c r="E40" s="865"/>
      <c r="F40" s="865"/>
      <c r="G40" s="865"/>
      <c r="H40" s="865"/>
      <c r="I40" s="865"/>
      <c r="J40" s="865"/>
      <c r="K40" s="865"/>
      <c r="L40" s="865"/>
      <c r="M40" s="865"/>
      <c r="N40" s="865"/>
      <c r="O40" s="865"/>
      <c r="P40" s="865"/>
      <c r="Q40" s="865"/>
      <c r="R40" s="154"/>
      <c r="S40" s="154"/>
      <c r="T40" s="154"/>
    </row>
    <row r="41" spans="1:20" ht="18.75" customHeight="1" thickBot="1">
      <c r="B41" s="159"/>
      <c r="C41" s="160">
        <f>SUM(C14:C39)</f>
        <v>517</v>
      </c>
      <c r="D41" s="160">
        <f t="shared" ref="D41:O41" si="9">SUM(D14:D39)</f>
        <v>517</v>
      </c>
      <c r="E41" s="160">
        <f t="shared" si="9"/>
        <v>624.45884375000003</v>
      </c>
      <c r="F41" s="160" t="e">
        <f t="shared" si="9"/>
        <v>#REF!</v>
      </c>
      <c r="G41" s="160">
        <f t="shared" si="9"/>
        <v>5465.1113888888895</v>
      </c>
      <c r="H41" s="160">
        <f t="shared" si="9"/>
        <v>6543.8761111111089</v>
      </c>
      <c r="I41" s="160">
        <f t="shared" si="9"/>
        <v>12008.987499999999</v>
      </c>
      <c r="J41" s="160">
        <f t="shared" si="9"/>
        <v>12633.446343749998</v>
      </c>
      <c r="K41" s="160">
        <f t="shared" si="9"/>
        <v>698.38869634380183</v>
      </c>
      <c r="L41" s="64">
        <f>+(((C41*24)*30)-I41)*100/((C41*24)*30)</f>
        <v>96.773858935095632</v>
      </c>
      <c r="M41" s="64">
        <f>+(((C41*24)*30)-J41)*100/((C41*24)*30)</f>
        <v>96.606101884872672</v>
      </c>
      <c r="N41" s="160" t="e">
        <f t="shared" si="9"/>
        <v>#REF!</v>
      </c>
      <c r="O41" s="160" t="e">
        <f t="shared" si="9"/>
        <v>#REF!</v>
      </c>
      <c r="P41" s="64" t="e">
        <f>((C41*24*30)-(N41-E41))*100/(C41*24*30)</f>
        <v>#REF!</v>
      </c>
      <c r="Q41" s="64" t="e">
        <f>((C41*24*30)-(N41))*100/(C41*24*30)</f>
        <v>#REF!</v>
      </c>
    </row>
    <row r="42" spans="1:20" s="175" customFormat="1" ht="63" customHeight="1" thickBot="1">
      <c r="A42" s="846" t="s">
        <v>100</v>
      </c>
      <c r="B42" s="847"/>
      <c r="C42" s="847"/>
      <c r="D42" s="847"/>
      <c r="E42" s="847"/>
      <c r="F42" s="847"/>
      <c r="G42" s="847"/>
      <c r="H42" s="847"/>
      <c r="I42" s="847"/>
      <c r="J42" s="847"/>
      <c r="K42" s="847"/>
      <c r="L42" s="847"/>
      <c r="M42" s="847"/>
      <c r="N42" s="847"/>
      <c r="O42" s="847"/>
      <c r="P42" s="847"/>
      <c r="Q42" s="848"/>
    </row>
    <row r="43" spans="1:20" s="175" customFormat="1" ht="80.25" customHeight="1">
      <c r="A43" s="846" t="s">
        <v>101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ht="20.25" hidden="1" customHeight="1">
      <c r="A44" s="839" t="s">
        <v>36</v>
      </c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0"/>
      <c r="P44" s="840"/>
      <c r="Q44" s="841"/>
    </row>
    <row r="45" spans="1:20" ht="27" hidden="1" customHeight="1" thickBot="1">
      <c r="A45" s="842"/>
      <c r="B45" s="843"/>
      <c r="C45" s="843"/>
      <c r="D45" s="843"/>
      <c r="E45" s="843"/>
      <c r="F45" s="843"/>
      <c r="G45" s="843"/>
      <c r="H45" s="843"/>
      <c r="I45" s="843"/>
      <c r="J45" s="843"/>
      <c r="K45" s="843"/>
      <c r="L45" s="843"/>
      <c r="M45" s="843"/>
      <c r="N45" s="843"/>
      <c r="O45" s="843"/>
      <c r="P45" s="843"/>
      <c r="Q45" s="844"/>
    </row>
    <row r="46" spans="1:20" hidden="1"/>
    <row r="53" spans="3:17">
      <c r="C53" s="146" t="e">
        <f>su</f>
        <v>#NAME?</v>
      </c>
      <c r="P53" s="161"/>
      <c r="Q53" s="161"/>
    </row>
    <row r="54" spans="3:17">
      <c r="C54" s="160"/>
      <c r="N54" s="161"/>
    </row>
    <row r="55" spans="3:17">
      <c r="N55" s="161"/>
    </row>
    <row r="57" spans="3:17">
      <c r="H57" s="146">
        <f>4667/89</f>
        <v>52.438202247191015</v>
      </c>
    </row>
    <row r="63" spans="3:17">
      <c r="G63" s="162"/>
      <c r="H63" s="162"/>
      <c r="I63" s="162"/>
      <c r="J63" s="162"/>
      <c r="K63" s="162"/>
      <c r="L63" s="162"/>
      <c r="M63" s="162"/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 ht="20.25">
      <c r="G70" s="162"/>
      <c r="H70" s="162"/>
      <c r="I70" s="163">
        <f>20000</f>
        <v>20000</v>
      </c>
      <c r="J70" s="162"/>
      <c r="K70" s="162"/>
      <c r="L70" s="162"/>
      <c r="M70" s="162"/>
    </row>
    <row r="71" spans="7:18" ht="20.25">
      <c r="G71" s="162"/>
      <c r="H71" s="162"/>
      <c r="I71" s="163">
        <v>5000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8000</v>
      </c>
      <c r="J73" s="162"/>
      <c r="K73" s="162"/>
      <c r="L73" s="162"/>
      <c r="M73" s="162"/>
    </row>
    <row r="74" spans="7:18" ht="20.25">
      <c r="G74" s="162"/>
      <c r="H74" s="162"/>
      <c r="I74" s="163">
        <f>SUM(I71:I73)</f>
        <v>18000</v>
      </c>
      <c r="J74" s="162"/>
      <c r="K74" s="162"/>
      <c r="L74" s="162"/>
      <c r="M74" s="162"/>
    </row>
    <row r="75" spans="7:18" ht="20.25">
      <c r="G75" s="162"/>
      <c r="H75" s="162"/>
      <c r="I75" s="163">
        <f>I70-I74</f>
        <v>2000</v>
      </c>
      <c r="J75" s="162"/>
      <c r="K75" s="162"/>
      <c r="L75" s="162"/>
      <c r="M75" s="162"/>
    </row>
    <row r="76" spans="7:18" ht="20.25">
      <c r="G76" s="162"/>
      <c r="H76" s="162"/>
      <c r="I76" s="163"/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1">
        <f>L14+L15+L16+L18+L17+L19+L20+L21+L22+L23+L24+L25+L26+L27+L28+L29+L30+L36+L31+L32+L33+L34+L35+L37+L38+L39</f>
        <v>2510.170163599757</v>
      </c>
      <c r="M77" s="161">
        <f>M14+M15+M16+M18+M17+M19+M20+M21+M22+M23+M24+M25+M26+M27+M28+M29+M30+M36+M31+M32+M33+M34+M35+M37+M38+M39</f>
        <v>2503.0015699522501</v>
      </c>
      <c r="P77" s="161" t="e">
        <f>P14+P15+P16+P18+P17+P19+P20+P21+P22+P23+P24+P25+P26+P27+P28+P29+P30+P36+P31+P32+P33+P34+P35+P37+P38+P39</f>
        <v>#REF!</v>
      </c>
      <c r="Q77" s="161" t="e">
        <f>Q14+Q15+Q16+Q18+Q17+Q19+Q20+Q21+Q22+Q23+Q24+Q25+Q26+Q27+Q28+Q29+Q30+Q36+Q31+Q32+Q33+Q34+Q35+Q37+Q38+Q39</f>
        <v>#REF!</v>
      </c>
      <c r="R77" s="161" t="e">
        <f>R14+R15+R16+R18+R17+R19+R20+R23+R24+R25+R26+R27+R28+R29+R30+R36+R31+R32+R33+R34+R35+R37+R38+R39</f>
        <v>#VALUE!</v>
      </c>
    </row>
    <row r="78" spans="7:18">
      <c r="G78" s="162"/>
      <c r="H78" s="162"/>
      <c r="I78" s="162"/>
      <c r="J78" s="162"/>
      <c r="K78" s="162"/>
      <c r="L78" s="146">
        <f>L77/26</f>
        <v>96.545006292298339</v>
      </c>
      <c r="M78" s="146">
        <f>M77/26</f>
        <v>96.269291152009615</v>
      </c>
      <c r="P78" s="146" t="e">
        <f>P77/26</f>
        <v>#REF!</v>
      </c>
      <c r="Q78" s="146" t="e">
        <f>Q77/26</f>
        <v>#REF!</v>
      </c>
    </row>
    <row r="79" spans="7:18">
      <c r="G79" s="162"/>
      <c r="H79" s="162"/>
      <c r="I79" s="162"/>
      <c r="J79" s="162"/>
      <c r="K79" s="162"/>
    </row>
    <row r="80" spans="7:18">
      <c r="G80" s="162"/>
      <c r="H80" s="162"/>
      <c r="I80" s="162"/>
      <c r="J80" s="162"/>
      <c r="K80" s="162"/>
      <c r="L80" s="162"/>
      <c r="M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</sheetData>
  <mergeCells count="17">
    <mergeCell ref="N11:Q11"/>
    <mergeCell ref="A42:Q42"/>
    <mergeCell ref="A43:Q43"/>
    <mergeCell ref="A44:Q45"/>
    <mergeCell ref="A40:Q40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G11:I11"/>
    <mergeCell ref="J11:M11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1" manualBreakCount="1">
    <brk id="40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view="pageBreakPreview" zoomScale="85" zoomScaleSheetLayoutView="85" workbookViewId="0">
      <selection activeCell="I34" activeCellId="1" sqref="I34 L36"/>
    </sheetView>
  </sheetViews>
  <sheetFormatPr defaultRowHeight="12.75"/>
  <cols>
    <col min="1" max="1" width="5.85546875" style="146" customWidth="1"/>
    <col min="2" max="2" width="19.85546875" style="146" customWidth="1"/>
    <col min="3" max="3" width="8" style="146" customWidth="1"/>
    <col min="4" max="4" width="7.5703125" style="146" customWidth="1"/>
    <col min="5" max="5" width="11.28515625" style="146" customWidth="1"/>
    <col min="6" max="6" width="11" style="146" customWidth="1"/>
    <col min="7" max="7" width="14.5703125" style="146" customWidth="1"/>
    <col min="8" max="8" width="12.7109375" style="146" customWidth="1"/>
    <col min="9" max="9" width="12.5703125" style="146" customWidth="1"/>
    <col min="10" max="10" width="12.7109375" style="146" customWidth="1"/>
    <col min="11" max="11" width="12.28515625" style="146" customWidth="1"/>
    <col min="12" max="12" width="14" style="146" customWidth="1"/>
    <col min="13" max="13" width="18.5703125" style="146" customWidth="1"/>
    <col min="14" max="14" width="13.28515625" style="146" customWidth="1"/>
    <col min="15" max="15" width="13.140625" style="146" customWidth="1"/>
    <col min="16" max="16" width="11.42578125" style="146" customWidth="1"/>
    <col min="17" max="17" width="14.85546875" style="146" customWidth="1"/>
    <col min="18" max="16384" width="9.140625" style="146"/>
  </cols>
  <sheetData>
    <row r="1" spans="1:20" ht="24.75" customHeight="1">
      <c r="A1" s="827" t="s">
        <v>0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</row>
    <row r="2" spans="1:20" ht="17.25" customHeight="1">
      <c r="A2" s="866" t="s">
        <v>57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</row>
    <row r="3" spans="1:20" s="2" customFormat="1" ht="18.75" customHeight="1">
      <c r="A3" s="867" t="s">
        <v>105</v>
      </c>
      <c r="B3" s="867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</row>
    <row r="4" spans="1:20" ht="14.25" customHeight="1">
      <c r="A4" s="868"/>
      <c r="B4" s="868"/>
      <c r="C4" s="868"/>
      <c r="D4" s="868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</row>
    <row r="5" spans="1:20" s="3" customFormat="1" ht="23.25" customHeight="1">
      <c r="A5" s="869" t="s">
        <v>2</v>
      </c>
      <c r="B5" s="870" t="s">
        <v>58</v>
      </c>
      <c r="C5" s="869" t="s">
        <v>4</v>
      </c>
      <c r="D5" s="869" t="s">
        <v>5</v>
      </c>
      <c r="E5" s="869" t="s">
        <v>6</v>
      </c>
      <c r="F5" s="869" t="s">
        <v>7</v>
      </c>
      <c r="G5" s="872" t="s">
        <v>39</v>
      </c>
      <c r="H5" s="872"/>
      <c r="I5" s="872"/>
      <c r="J5" s="872" t="s">
        <v>103</v>
      </c>
      <c r="K5" s="872"/>
      <c r="L5" s="872"/>
      <c r="M5" s="872"/>
      <c r="N5" s="872" t="s">
        <v>72</v>
      </c>
      <c r="O5" s="872"/>
      <c r="P5" s="872"/>
      <c r="Q5" s="872"/>
    </row>
    <row r="6" spans="1:20" s="3" customFormat="1" ht="87.75" customHeight="1">
      <c r="A6" s="869"/>
      <c r="B6" s="871"/>
      <c r="C6" s="869"/>
      <c r="D6" s="869"/>
      <c r="E6" s="869"/>
      <c r="F6" s="869"/>
      <c r="G6" s="165" t="s">
        <v>9</v>
      </c>
      <c r="H6" s="165" t="s">
        <v>10</v>
      </c>
      <c r="I6" s="165" t="s">
        <v>11</v>
      </c>
      <c r="J6" s="165" t="s">
        <v>12</v>
      </c>
      <c r="K6" s="165" t="s">
        <v>13</v>
      </c>
      <c r="L6" s="165" t="s">
        <v>78</v>
      </c>
      <c r="M6" s="165" t="s">
        <v>14</v>
      </c>
      <c r="N6" s="165" t="s">
        <v>59</v>
      </c>
      <c r="O6" s="165" t="s">
        <v>16</v>
      </c>
      <c r="P6" s="165" t="s">
        <v>17</v>
      </c>
      <c r="Q6" s="165" t="s">
        <v>18</v>
      </c>
    </row>
    <row r="7" spans="1:20" ht="18" customHeight="1">
      <c r="A7" s="147">
        <v>1</v>
      </c>
      <c r="B7" s="147" t="s">
        <v>40</v>
      </c>
      <c r="C7" s="147">
        <v>3</v>
      </c>
      <c r="D7" s="147">
        <v>4</v>
      </c>
      <c r="E7" s="147">
        <v>5</v>
      </c>
      <c r="F7" s="147" t="s">
        <v>19</v>
      </c>
      <c r="G7" s="147">
        <v>6</v>
      </c>
      <c r="H7" s="147">
        <v>7</v>
      </c>
      <c r="I7" s="147" t="s">
        <v>20</v>
      </c>
      <c r="J7" s="147" t="s">
        <v>21</v>
      </c>
      <c r="K7" s="148" t="s">
        <v>22</v>
      </c>
      <c r="L7" s="147" t="s">
        <v>23</v>
      </c>
      <c r="M7" s="147" t="s">
        <v>24</v>
      </c>
      <c r="N7" s="147">
        <v>13</v>
      </c>
      <c r="O7" s="147" t="s">
        <v>25</v>
      </c>
      <c r="P7" s="147">
        <v>15</v>
      </c>
      <c r="Q7" s="147">
        <v>16</v>
      </c>
    </row>
    <row r="8" spans="1:20" ht="24.95" customHeight="1">
      <c r="A8" s="149">
        <v>1</v>
      </c>
      <c r="B8" s="166" t="s">
        <v>60</v>
      </c>
      <c r="C8" s="151">
        <v>229</v>
      </c>
      <c r="D8" s="151">
        <v>226</v>
      </c>
      <c r="E8" s="152">
        <v>297.43</v>
      </c>
      <c r="F8" s="152" t="e">
        <f>E8+#REF!</f>
        <v>#REF!</v>
      </c>
      <c r="G8" s="152">
        <v>6394.0500000000011</v>
      </c>
      <c r="H8" s="152">
        <v>7091.9999999999973</v>
      </c>
      <c r="I8" s="152">
        <f>G8+H8</f>
        <v>13486.05</v>
      </c>
      <c r="J8" s="152">
        <f>E8+I8</f>
        <v>13783.48</v>
      </c>
      <c r="K8" s="152">
        <f>J8/C8</f>
        <v>60.189868995633184</v>
      </c>
      <c r="L8" s="153">
        <f>+(((C8*18)*30)-I8)*100/((C8*18)*30)</f>
        <v>89.094250363901025</v>
      </c>
      <c r="M8" s="153">
        <f>+(((C8*18)*30)-J8)*100/((C8*18)*30)</f>
        <v>88.853727963771632</v>
      </c>
      <c r="N8" s="152" t="e">
        <f>J8+#REF!</f>
        <v>#REF!</v>
      </c>
      <c r="O8" s="153" t="e">
        <f>N8/C8</f>
        <v>#REF!</v>
      </c>
      <c r="P8" s="153" t="e">
        <f>((C8*18*91)-(N8-E8))*100/(C8*18*91)</f>
        <v>#REF!</v>
      </c>
      <c r="Q8" s="153" t="e">
        <f>((C8*18*91)-(N8))*100/(C8*18*91)</f>
        <v>#REF!</v>
      </c>
      <c r="R8" s="161" t="e">
        <f>L8-P8</f>
        <v>#REF!</v>
      </c>
      <c r="S8" s="161" t="e">
        <f>M8-Q8</f>
        <v>#REF!</v>
      </c>
    </row>
    <row r="9" spans="1:20" ht="24.95" customHeight="1">
      <c r="A9" s="149">
        <v>2</v>
      </c>
      <c r="B9" s="166" t="s">
        <v>43</v>
      </c>
      <c r="C9" s="151">
        <v>163</v>
      </c>
      <c r="D9" s="151">
        <v>163</v>
      </c>
      <c r="E9" s="152">
        <v>125.97</v>
      </c>
      <c r="F9" s="152" t="e">
        <f>E9+#REF!</f>
        <v>#REF!</v>
      </c>
      <c r="G9" s="152">
        <v>4949.7699999999995</v>
      </c>
      <c r="H9" s="152">
        <v>8352.0500000000011</v>
      </c>
      <c r="I9" s="152">
        <f t="shared" ref="I9:I30" si="0">G9+H9</f>
        <v>13301.82</v>
      </c>
      <c r="J9" s="152">
        <f t="shared" ref="J9:J30" si="1">E9+I9</f>
        <v>13427.789999999999</v>
      </c>
      <c r="K9" s="152">
        <f t="shared" ref="K9:K30" si="2">J9/C9</f>
        <v>82.379079754601221</v>
      </c>
      <c r="L9" s="153">
        <f t="shared" ref="L9:L30" si="3">+(((C9*18)*30)-I9)*100/((C9*18)*30)</f>
        <v>84.887730061349686</v>
      </c>
      <c r="M9" s="153">
        <f t="shared" ref="M9:M30" si="4">+(((C9*18)*30)-J9)*100/((C9*18)*30)</f>
        <v>84.744614860259048</v>
      </c>
      <c r="N9" s="152" t="e">
        <f>J9+#REF!</f>
        <v>#REF!</v>
      </c>
      <c r="O9" s="153" t="e">
        <f t="shared" ref="O9:O30" si="5">N9/C9</f>
        <v>#REF!</v>
      </c>
      <c r="P9" s="153" t="e">
        <f t="shared" ref="P9:P30" si="6">((C9*18*91)-(N9-E9))*100/(C9*18*91)</f>
        <v>#REF!</v>
      </c>
      <c r="Q9" s="153" t="e">
        <f t="shared" ref="Q9:Q30" si="7">((C9*18*91)-(N9))*100/(C9*18*91)</f>
        <v>#REF!</v>
      </c>
      <c r="R9" s="161" t="e">
        <f t="shared" ref="R9:S55" si="8">L9-P9</f>
        <v>#REF!</v>
      </c>
      <c r="S9" s="161" t="e">
        <f t="shared" si="8"/>
        <v>#REF!</v>
      </c>
    </row>
    <row r="10" spans="1:20" ht="24.95" customHeight="1">
      <c r="A10" s="149">
        <v>3</v>
      </c>
      <c r="B10" s="166" t="s">
        <v>27</v>
      </c>
      <c r="C10" s="151">
        <v>178</v>
      </c>
      <c r="D10" s="151">
        <v>178</v>
      </c>
      <c r="E10" s="152">
        <v>151.25</v>
      </c>
      <c r="F10" s="152" t="e">
        <f>E10+#REF!</f>
        <v>#REF!</v>
      </c>
      <c r="G10" s="152">
        <v>3306.98</v>
      </c>
      <c r="H10" s="152">
        <v>3681.66</v>
      </c>
      <c r="I10" s="152">
        <f t="shared" si="0"/>
        <v>6988.6399999999994</v>
      </c>
      <c r="J10" s="152">
        <f t="shared" si="1"/>
        <v>7139.8899999999994</v>
      </c>
      <c r="K10" s="152">
        <f t="shared" si="2"/>
        <v>40.111741573033704</v>
      </c>
      <c r="L10" s="153">
        <f t="shared" si="3"/>
        <v>92.729255097794422</v>
      </c>
      <c r="M10" s="153">
        <f t="shared" si="4"/>
        <v>92.571899708697458</v>
      </c>
      <c r="N10" s="152" t="e">
        <f>J10+#REF!</f>
        <v>#REF!</v>
      </c>
      <c r="O10" s="153" t="e">
        <f t="shared" si="5"/>
        <v>#REF!</v>
      </c>
      <c r="P10" s="153" t="e">
        <f t="shared" si="6"/>
        <v>#REF!</v>
      </c>
      <c r="Q10" s="153" t="e">
        <f t="shared" si="7"/>
        <v>#REF!</v>
      </c>
      <c r="R10" s="161" t="e">
        <f t="shared" si="8"/>
        <v>#REF!</v>
      </c>
      <c r="S10" s="161" t="e">
        <f t="shared" si="8"/>
        <v>#REF!</v>
      </c>
    </row>
    <row r="11" spans="1:20" ht="24.95" customHeight="1">
      <c r="A11" s="149">
        <v>4</v>
      </c>
      <c r="B11" s="166" t="s">
        <v>44</v>
      </c>
      <c r="C11" s="151">
        <v>190</v>
      </c>
      <c r="D11" s="151">
        <v>190</v>
      </c>
      <c r="E11" s="152">
        <v>43.521909999999998</v>
      </c>
      <c r="F11" s="152" t="e">
        <f>E11+#REF!</f>
        <v>#REF!</v>
      </c>
      <c r="G11" s="152">
        <v>3442.35</v>
      </c>
      <c r="H11" s="152">
        <v>2682.57</v>
      </c>
      <c r="I11" s="152">
        <f t="shared" si="0"/>
        <v>6124.92</v>
      </c>
      <c r="J11" s="152">
        <f t="shared" si="1"/>
        <v>6168.4419100000005</v>
      </c>
      <c r="K11" s="152">
        <f t="shared" si="2"/>
        <v>32.46548373684211</v>
      </c>
      <c r="L11" s="153">
        <f t="shared" si="3"/>
        <v>94.030292397660816</v>
      </c>
      <c r="M11" s="153">
        <f t="shared" si="4"/>
        <v>93.987873382066283</v>
      </c>
      <c r="N11" s="152" t="e">
        <f>J11+#REF!</f>
        <v>#REF!</v>
      </c>
      <c r="O11" s="153" t="e">
        <f t="shared" si="5"/>
        <v>#REF!</v>
      </c>
      <c r="P11" s="153" t="e">
        <f t="shared" si="6"/>
        <v>#REF!</v>
      </c>
      <c r="Q11" s="153" t="e">
        <f t="shared" si="7"/>
        <v>#REF!</v>
      </c>
      <c r="R11" s="161" t="e">
        <f t="shared" si="8"/>
        <v>#REF!</v>
      </c>
      <c r="S11" s="161" t="e">
        <f t="shared" si="8"/>
        <v>#REF!</v>
      </c>
    </row>
    <row r="12" spans="1:20" s="167" customFormat="1" ht="25.5" customHeight="1">
      <c r="A12" s="149">
        <v>5</v>
      </c>
      <c r="B12" s="166" t="s">
        <v>28</v>
      </c>
      <c r="C12" s="156">
        <v>331</v>
      </c>
      <c r="D12" s="156">
        <v>331</v>
      </c>
      <c r="E12" s="156">
        <v>156</v>
      </c>
      <c r="F12" s="152" t="e">
        <f>E12+#REF!</f>
        <v>#REF!</v>
      </c>
      <c r="G12" s="152">
        <v>2856</v>
      </c>
      <c r="H12" s="152">
        <v>13895</v>
      </c>
      <c r="I12" s="152">
        <f t="shared" si="0"/>
        <v>16751</v>
      </c>
      <c r="J12" s="152">
        <f t="shared" si="1"/>
        <v>16907</v>
      </c>
      <c r="K12" s="152">
        <f t="shared" si="2"/>
        <v>51.0785498489426</v>
      </c>
      <c r="L12" s="153">
        <f t="shared" si="3"/>
        <v>90.628286897169076</v>
      </c>
      <c r="M12" s="153">
        <f t="shared" si="4"/>
        <v>90.541009287232853</v>
      </c>
      <c r="N12" s="152" t="e">
        <f>J12+#REF!</f>
        <v>#REF!</v>
      </c>
      <c r="O12" s="153" t="e">
        <f t="shared" si="5"/>
        <v>#REF!</v>
      </c>
      <c r="P12" s="153" t="e">
        <f t="shared" si="6"/>
        <v>#REF!</v>
      </c>
      <c r="Q12" s="153" t="e">
        <f t="shared" si="7"/>
        <v>#REF!</v>
      </c>
      <c r="R12" s="161" t="e">
        <f t="shared" si="8"/>
        <v>#REF!</v>
      </c>
      <c r="S12" s="161" t="e">
        <f t="shared" si="8"/>
        <v>#REF!</v>
      </c>
      <c r="T12" s="167">
        <f>E12/60</f>
        <v>2.6</v>
      </c>
    </row>
    <row r="13" spans="1:20" s="167" customFormat="1" ht="25.5" customHeight="1">
      <c r="A13" s="149">
        <v>6</v>
      </c>
      <c r="B13" s="168" t="s">
        <v>45</v>
      </c>
      <c r="C13" s="156">
        <v>187</v>
      </c>
      <c r="D13" s="156">
        <v>187</v>
      </c>
      <c r="E13" s="156">
        <v>120</v>
      </c>
      <c r="F13" s="152" t="e">
        <f>E13+#REF!</f>
        <v>#REF!</v>
      </c>
      <c r="G13" s="152">
        <v>2345</v>
      </c>
      <c r="H13" s="152">
        <v>6425</v>
      </c>
      <c r="I13" s="152">
        <f t="shared" si="0"/>
        <v>8770</v>
      </c>
      <c r="J13" s="152">
        <f t="shared" si="1"/>
        <v>8890</v>
      </c>
      <c r="K13" s="152">
        <f t="shared" si="2"/>
        <v>47.540106951871657</v>
      </c>
      <c r="L13" s="153">
        <f t="shared" si="3"/>
        <v>91.315111903347201</v>
      </c>
      <c r="M13" s="153">
        <f t="shared" si="4"/>
        <v>91.196276490394141</v>
      </c>
      <c r="N13" s="152" t="e">
        <f>J13+#REF!</f>
        <v>#REF!</v>
      </c>
      <c r="O13" s="153" t="e">
        <f t="shared" si="5"/>
        <v>#REF!</v>
      </c>
      <c r="P13" s="153" t="e">
        <f t="shared" si="6"/>
        <v>#REF!</v>
      </c>
      <c r="Q13" s="153" t="e">
        <f t="shared" si="7"/>
        <v>#REF!</v>
      </c>
      <c r="R13" s="161" t="e">
        <f t="shared" si="8"/>
        <v>#REF!</v>
      </c>
      <c r="S13" s="161" t="e">
        <f t="shared" si="8"/>
        <v>#REF!</v>
      </c>
      <c r="T13" s="167">
        <f>E13/60</f>
        <v>2</v>
      </c>
    </row>
    <row r="14" spans="1:20" s="167" customFormat="1" ht="25.5" customHeight="1">
      <c r="A14" s="149">
        <v>7</v>
      </c>
      <c r="B14" s="168" t="s">
        <v>88</v>
      </c>
      <c r="C14" s="156">
        <v>270</v>
      </c>
      <c r="D14" s="156">
        <v>270</v>
      </c>
      <c r="E14" s="156">
        <v>256</v>
      </c>
      <c r="F14" s="152" t="e">
        <f>E14+#REF!</f>
        <v>#REF!</v>
      </c>
      <c r="G14" s="152">
        <v>2985</v>
      </c>
      <c r="H14" s="152">
        <v>5234</v>
      </c>
      <c r="I14" s="152">
        <f t="shared" si="0"/>
        <v>8219</v>
      </c>
      <c r="J14" s="152">
        <f t="shared" si="1"/>
        <v>8475</v>
      </c>
      <c r="K14" s="152">
        <f t="shared" si="2"/>
        <v>31.388888888888889</v>
      </c>
      <c r="L14" s="153">
        <f t="shared" si="3"/>
        <v>94.362825788751721</v>
      </c>
      <c r="M14" s="153">
        <f t="shared" si="4"/>
        <v>94.187242798353907</v>
      </c>
      <c r="N14" s="152" t="e">
        <f>J14+#REF!</f>
        <v>#REF!</v>
      </c>
      <c r="O14" s="153" t="e">
        <f t="shared" si="5"/>
        <v>#REF!</v>
      </c>
      <c r="P14" s="153" t="e">
        <f t="shared" si="6"/>
        <v>#REF!</v>
      </c>
      <c r="Q14" s="153" t="e">
        <f t="shared" si="7"/>
        <v>#REF!</v>
      </c>
      <c r="R14" s="161" t="e">
        <f t="shared" si="8"/>
        <v>#REF!</v>
      </c>
      <c r="S14" s="161" t="e">
        <f t="shared" si="8"/>
        <v>#REF!</v>
      </c>
      <c r="T14" s="167">
        <f>E14/60</f>
        <v>4.2666666666666666</v>
      </c>
    </row>
    <row r="15" spans="1:20" s="167" customFormat="1" ht="25.5" customHeight="1">
      <c r="A15" s="149">
        <v>8</v>
      </c>
      <c r="B15" s="168" t="s">
        <v>30</v>
      </c>
      <c r="C15" s="156">
        <v>134</v>
      </c>
      <c r="D15" s="169">
        <v>134</v>
      </c>
      <c r="E15" s="170">
        <v>33.42</v>
      </c>
      <c r="F15" s="152" t="e">
        <f>E15+#REF!</f>
        <v>#REF!</v>
      </c>
      <c r="G15" s="152">
        <v>436.58</v>
      </c>
      <c r="H15" s="152">
        <v>236.68</v>
      </c>
      <c r="I15" s="152">
        <f t="shared" si="0"/>
        <v>673.26</v>
      </c>
      <c r="J15" s="152">
        <f t="shared" si="1"/>
        <v>706.68</v>
      </c>
      <c r="K15" s="152">
        <f t="shared" si="2"/>
        <v>5.2737313432835817</v>
      </c>
      <c r="L15" s="153">
        <f t="shared" si="3"/>
        <v>99.069568822553904</v>
      </c>
      <c r="M15" s="153">
        <f t="shared" si="4"/>
        <v>99.023383084577134</v>
      </c>
      <c r="N15" s="152" t="e">
        <f>J15+#REF!</f>
        <v>#REF!</v>
      </c>
      <c r="O15" s="153" t="e">
        <f t="shared" si="5"/>
        <v>#REF!</v>
      </c>
      <c r="P15" s="153" t="e">
        <f t="shared" si="6"/>
        <v>#REF!</v>
      </c>
      <c r="Q15" s="153" t="e">
        <f t="shared" si="7"/>
        <v>#REF!</v>
      </c>
      <c r="R15" s="161" t="e">
        <f t="shared" si="8"/>
        <v>#REF!</v>
      </c>
      <c r="S15" s="161" t="e">
        <f t="shared" si="8"/>
        <v>#REF!</v>
      </c>
    </row>
    <row r="16" spans="1:20" s="167" customFormat="1" ht="25.5" customHeight="1">
      <c r="A16" s="149">
        <v>9</v>
      </c>
      <c r="B16" s="168" t="s">
        <v>47</v>
      </c>
      <c r="C16" s="156">
        <v>161</v>
      </c>
      <c r="D16" s="169">
        <v>161</v>
      </c>
      <c r="E16" s="170">
        <v>234</v>
      </c>
      <c r="F16" s="152" t="e">
        <f>E16+#REF!</f>
        <v>#REF!</v>
      </c>
      <c r="G16" s="170">
        <v>122</v>
      </c>
      <c r="H16" s="170">
        <v>99</v>
      </c>
      <c r="I16" s="152">
        <f t="shared" si="0"/>
        <v>221</v>
      </c>
      <c r="J16" s="152">
        <f t="shared" si="1"/>
        <v>455</v>
      </c>
      <c r="K16" s="152">
        <f t="shared" si="2"/>
        <v>2.8260869565217392</v>
      </c>
      <c r="L16" s="153">
        <f t="shared" si="3"/>
        <v>99.745801702323448</v>
      </c>
      <c r="M16" s="153">
        <f t="shared" si="4"/>
        <v>99.47665056360708</v>
      </c>
      <c r="N16" s="152" t="e">
        <f>J16+#REF!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61" t="e">
        <f t="shared" si="8"/>
        <v>#REF!</v>
      </c>
      <c r="S16" s="161" t="e">
        <f t="shared" si="8"/>
        <v>#REF!</v>
      </c>
      <c r="T16" s="167">
        <f>E16/60</f>
        <v>3.9</v>
      </c>
    </row>
    <row r="17" spans="1:20" s="167" customFormat="1" ht="25.5" customHeight="1">
      <c r="A17" s="149">
        <v>10</v>
      </c>
      <c r="B17" s="168" t="s">
        <v>48</v>
      </c>
      <c r="C17" s="169">
        <v>172</v>
      </c>
      <c r="D17" s="169">
        <v>172</v>
      </c>
      <c r="E17" s="170">
        <v>363.3</v>
      </c>
      <c r="F17" s="152" t="e">
        <f>E17+#REF!</f>
        <v>#REF!</v>
      </c>
      <c r="G17" s="170">
        <v>427.54</v>
      </c>
      <c r="H17" s="170">
        <v>356.35</v>
      </c>
      <c r="I17" s="152">
        <f t="shared" si="0"/>
        <v>783.8900000000001</v>
      </c>
      <c r="J17" s="152">
        <f t="shared" si="1"/>
        <v>1147.19</v>
      </c>
      <c r="K17" s="152">
        <f t="shared" si="2"/>
        <v>6.6697093023255816</v>
      </c>
      <c r="L17" s="153">
        <f t="shared" si="3"/>
        <v>99.156018518518522</v>
      </c>
      <c r="M17" s="153">
        <f t="shared" si="4"/>
        <v>98.764868647717492</v>
      </c>
      <c r="N17" s="152" t="e">
        <f>J17+#REF!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61" t="e">
        <f t="shared" si="8"/>
        <v>#REF!</v>
      </c>
      <c r="S17" s="161" t="e">
        <f t="shared" si="8"/>
        <v>#REF!</v>
      </c>
      <c r="T17" s="167">
        <f>E17/60</f>
        <v>6.0550000000000006</v>
      </c>
    </row>
    <row r="18" spans="1:20" s="167" customFormat="1" ht="25.5" customHeight="1">
      <c r="A18" s="149">
        <v>11</v>
      </c>
      <c r="B18" s="168" t="s">
        <v>63</v>
      </c>
      <c r="C18" s="169">
        <v>120</v>
      </c>
      <c r="D18" s="169">
        <v>120</v>
      </c>
      <c r="E18" s="170">
        <v>64.25</v>
      </c>
      <c r="F18" s="152" t="e">
        <f>E18+#REF!</f>
        <v>#REF!</v>
      </c>
      <c r="G18" s="170">
        <v>434.5</v>
      </c>
      <c r="H18" s="170">
        <v>336.4</v>
      </c>
      <c r="I18" s="152">
        <f t="shared" si="0"/>
        <v>770.9</v>
      </c>
      <c r="J18" s="152">
        <f t="shared" si="1"/>
        <v>835.15</v>
      </c>
      <c r="K18" s="152">
        <f t="shared" si="2"/>
        <v>6.9595833333333328</v>
      </c>
      <c r="L18" s="153">
        <f t="shared" si="3"/>
        <v>98.810339506172838</v>
      </c>
      <c r="M18" s="153">
        <f t="shared" si="4"/>
        <v>98.711188271604939</v>
      </c>
      <c r="N18" s="152" t="e">
        <f>J18+#REF!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61" t="e">
        <f t="shared" si="8"/>
        <v>#REF!</v>
      </c>
      <c r="S18" s="161" t="e">
        <f t="shared" si="8"/>
        <v>#REF!</v>
      </c>
    </row>
    <row r="19" spans="1:20" s="167" customFormat="1" ht="25.5" hidden="1" customHeight="1">
      <c r="A19" s="149">
        <v>12</v>
      </c>
      <c r="B19" s="168" t="s">
        <v>50</v>
      </c>
      <c r="C19" s="169">
        <v>32</v>
      </c>
      <c r="D19" s="169">
        <v>32</v>
      </c>
      <c r="E19" s="170">
        <v>10.050000000000001</v>
      </c>
      <c r="F19" s="152" t="e">
        <f>E19+#REF!</f>
        <v>#REF!</v>
      </c>
      <c r="G19" s="170">
        <v>573.95000000000005</v>
      </c>
      <c r="H19" s="170">
        <v>743.27</v>
      </c>
      <c r="I19" s="152">
        <f t="shared" si="0"/>
        <v>1317.22</v>
      </c>
      <c r="J19" s="152">
        <f t="shared" si="1"/>
        <v>1327.27</v>
      </c>
      <c r="K19" s="152">
        <f t="shared" si="2"/>
        <v>41.477187499999999</v>
      </c>
      <c r="L19" s="153">
        <f t="shared" si="3"/>
        <v>92.37719907407407</v>
      </c>
      <c r="M19" s="153">
        <f t="shared" si="4"/>
        <v>92.319039351851856</v>
      </c>
      <c r="N19" s="152" t="e">
        <f>J19+#REF!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61" t="e">
        <f t="shared" si="8"/>
        <v>#REF!</v>
      </c>
      <c r="S19" s="161" t="e">
        <f t="shared" si="8"/>
        <v>#REF!</v>
      </c>
    </row>
    <row r="20" spans="1:20" s="167" customFormat="1" ht="25.5" hidden="1" customHeight="1">
      <c r="A20" s="149">
        <v>13</v>
      </c>
      <c r="B20" s="168" t="s">
        <v>51</v>
      </c>
      <c r="C20" s="169">
        <v>32</v>
      </c>
      <c r="D20" s="169">
        <v>32</v>
      </c>
      <c r="E20" s="170">
        <v>40.479999999999997</v>
      </c>
      <c r="F20" s="152" t="e">
        <f>E20+#REF!</f>
        <v>#REF!</v>
      </c>
      <c r="G20" s="170">
        <v>365.77</v>
      </c>
      <c r="H20" s="170">
        <v>639.42999999999995</v>
      </c>
      <c r="I20" s="152">
        <f t="shared" si="0"/>
        <v>1005.1999999999999</v>
      </c>
      <c r="J20" s="152">
        <f t="shared" si="1"/>
        <v>1045.6799999999998</v>
      </c>
      <c r="K20" s="152">
        <f t="shared" si="2"/>
        <v>32.677499999999995</v>
      </c>
      <c r="L20" s="153">
        <f t="shared" si="3"/>
        <v>94.182870370370367</v>
      </c>
      <c r="M20" s="153">
        <f t="shared" si="4"/>
        <v>93.948611111111106</v>
      </c>
      <c r="N20" s="152" t="e">
        <f>J20+#REF!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61" t="e">
        <f t="shared" si="8"/>
        <v>#REF!</v>
      </c>
      <c r="S20" s="161" t="e">
        <f t="shared" si="8"/>
        <v>#REF!</v>
      </c>
    </row>
    <row r="21" spans="1:20" s="173" customFormat="1" ht="25.5" customHeight="1">
      <c r="A21" s="44">
        <v>12</v>
      </c>
      <c r="B21" s="46" t="s">
        <v>99</v>
      </c>
      <c r="C21" s="59">
        <v>64</v>
      </c>
      <c r="D21" s="59">
        <v>64</v>
      </c>
      <c r="E21" s="60">
        <v>50.53</v>
      </c>
      <c r="F21" s="152" t="e">
        <f>E21+#REF!</f>
        <v>#REF!</v>
      </c>
      <c r="G21" s="60">
        <v>939.72</v>
      </c>
      <c r="H21" s="60">
        <v>1382.6999999999998</v>
      </c>
      <c r="I21" s="60">
        <f t="shared" si="0"/>
        <v>2322.42</v>
      </c>
      <c r="J21" s="56">
        <f t="shared" si="1"/>
        <v>2372.9500000000003</v>
      </c>
      <c r="K21" s="56">
        <f t="shared" si="2"/>
        <v>37.077343750000004</v>
      </c>
      <c r="L21" s="153">
        <f t="shared" si="3"/>
        <v>93.280034722222226</v>
      </c>
      <c r="M21" s="153">
        <f t="shared" si="4"/>
        <v>93.133825231481481</v>
      </c>
      <c r="N21" s="152" t="e">
        <f>J21+#REF!</f>
        <v>#REF!</v>
      </c>
      <c r="O21" s="57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72"/>
      <c r="S21" s="172"/>
    </row>
    <row r="22" spans="1:20" s="167" customFormat="1" ht="25.5" hidden="1" customHeight="1">
      <c r="A22" s="44">
        <v>14</v>
      </c>
      <c r="B22" s="46" t="s">
        <v>52</v>
      </c>
      <c r="C22" s="59">
        <v>14</v>
      </c>
      <c r="D22" s="59">
        <v>14</v>
      </c>
      <c r="E22" s="60">
        <v>0.7</v>
      </c>
      <c r="F22" s="152" t="e">
        <f>E22+#REF!</f>
        <v>#REF!</v>
      </c>
      <c r="G22" s="60">
        <v>156.69000000000005</v>
      </c>
      <c r="H22" s="60">
        <v>320.10000000000002</v>
      </c>
      <c r="I22" s="56">
        <f t="shared" si="0"/>
        <v>476.79000000000008</v>
      </c>
      <c r="J22" s="56">
        <f t="shared" si="1"/>
        <v>477.49000000000007</v>
      </c>
      <c r="K22" s="56">
        <f t="shared" si="2"/>
        <v>34.106428571428573</v>
      </c>
      <c r="L22" s="153">
        <f t="shared" si="3"/>
        <v>93.69325396825397</v>
      </c>
      <c r="M22" s="153">
        <f t="shared" si="4"/>
        <v>93.683994708994703</v>
      </c>
      <c r="N22" s="152" t="e">
        <f>J22+#REF!</f>
        <v>#REF!</v>
      </c>
      <c r="O22" s="57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61" t="e">
        <f t="shared" si="8"/>
        <v>#REF!</v>
      </c>
      <c r="S22" s="161" t="e">
        <f t="shared" si="8"/>
        <v>#REF!</v>
      </c>
    </row>
    <row r="23" spans="1:20" s="167" customFormat="1" ht="30" hidden="1" customHeight="1">
      <c r="A23" s="44">
        <v>15</v>
      </c>
      <c r="B23" s="46" t="s">
        <v>53</v>
      </c>
      <c r="C23" s="59">
        <v>35</v>
      </c>
      <c r="D23" s="59">
        <v>35</v>
      </c>
      <c r="E23" s="60">
        <v>73.7</v>
      </c>
      <c r="F23" s="152" t="e">
        <f>E23+#REF!</f>
        <v>#REF!</v>
      </c>
      <c r="G23" s="60">
        <v>2652.605</v>
      </c>
      <c r="H23" s="60">
        <v>1576.15</v>
      </c>
      <c r="I23" s="56">
        <f t="shared" si="0"/>
        <v>4228.7550000000001</v>
      </c>
      <c r="J23" s="56">
        <f t="shared" si="1"/>
        <v>4302.4549999999999</v>
      </c>
      <c r="K23" s="56">
        <f t="shared" si="2"/>
        <v>122.92728571428572</v>
      </c>
      <c r="L23" s="153">
        <f t="shared" si="3"/>
        <v>77.625634920634923</v>
      </c>
      <c r="M23" s="153">
        <f t="shared" si="4"/>
        <v>77.235687830687837</v>
      </c>
      <c r="N23" s="152" t="e">
        <f>J23+#REF!</f>
        <v>#REF!</v>
      </c>
      <c r="O23" s="57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61" t="e">
        <f t="shared" si="8"/>
        <v>#REF!</v>
      </c>
      <c r="S23" s="161" t="e">
        <f t="shared" si="8"/>
        <v>#REF!</v>
      </c>
    </row>
    <row r="24" spans="1:20" s="167" customFormat="1" ht="25.5" hidden="1" customHeight="1">
      <c r="A24" s="44">
        <v>16</v>
      </c>
      <c r="B24" s="46" t="s">
        <v>54</v>
      </c>
      <c r="C24" s="59">
        <v>40</v>
      </c>
      <c r="D24" s="59">
        <v>40</v>
      </c>
      <c r="E24" s="60">
        <v>107.85000000000001</v>
      </c>
      <c r="F24" s="152" t="e">
        <f>E24+#REF!</f>
        <v>#REF!</v>
      </c>
      <c r="G24" s="60">
        <v>411.95</v>
      </c>
      <c r="H24" s="60">
        <v>621.24</v>
      </c>
      <c r="I24" s="56">
        <f t="shared" si="0"/>
        <v>1033.19</v>
      </c>
      <c r="J24" s="56">
        <f t="shared" si="1"/>
        <v>1141.04</v>
      </c>
      <c r="K24" s="56">
        <f t="shared" si="2"/>
        <v>28.526</v>
      </c>
      <c r="L24" s="153">
        <f t="shared" si="3"/>
        <v>95.216712962962973</v>
      </c>
      <c r="M24" s="153">
        <f t="shared" si="4"/>
        <v>94.717407407407407</v>
      </c>
      <c r="N24" s="152" t="e">
        <f>J24+#REF!</f>
        <v>#REF!</v>
      </c>
      <c r="O24" s="57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61" t="e">
        <f t="shared" si="8"/>
        <v>#REF!</v>
      </c>
      <c r="S24" s="161" t="e">
        <f t="shared" si="8"/>
        <v>#REF!</v>
      </c>
    </row>
    <row r="25" spans="1:20" s="173" customFormat="1" ht="25.5" customHeight="1">
      <c r="A25" s="44">
        <v>13</v>
      </c>
      <c r="B25" s="46" t="s">
        <v>52</v>
      </c>
      <c r="C25" s="59">
        <v>89</v>
      </c>
      <c r="D25" s="59">
        <v>89</v>
      </c>
      <c r="E25" s="60">
        <v>182.25</v>
      </c>
      <c r="F25" s="152" t="e">
        <f>E25+#REF!</f>
        <v>#REF!</v>
      </c>
      <c r="G25" s="60">
        <v>3221.2449999999999</v>
      </c>
      <c r="H25" s="60">
        <v>2517.4899999999998</v>
      </c>
      <c r="I25" s="60">
        <f>SUM(I22:I24)</f>
        <v>5738.7350000000006</v>
      </c>
      <c r="J25" s="56">
        <f t="shared" si="1"/>
        <v>5920.9850000000006</v>
      </c>
      <c r="K25" s="56">
        <f t="shared" si="2"/>
        <v>66.527921348314607</v>
      </c>
      <c r="L25" s="153">
        <f t="shared" si="3"/>
        <v>88.059228048272999</v>
      </c>
      <c r="M25" s="153">
        <f t="shared" si="4"/>
        <v>87.680014565126925</v>
      </c>
      <c r="N25" s="152" t="e">
        <f>J25+#REF!</f>
        <v>#REF!</v>
      </c>
      <c r="O25" s="57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72"/>
      <c r="S25" s="172"/>
    </row>
    <row r="26" spans="1:20" s="167" customFormat="1" ht="25.5" customHeight="1">
      <c r="A26" s="44">
        <v>14</v>
      </c>
      <c r="B26" s="46" t="s">
        <v>94</v>
      </c>
      <c r="C26" s="59">
        <v>19</v>
      </c>
      <c r="D26" s="59">
        <v>19</v>
      </c>
      <c r="E26" s="60">
        <v>0.47</v>
      </c>
      <c r="F26" s="152" t="e">
        <f>E26+#REF!</f>
        <v>#REF!</v>
      </c>
      <c r="G26" s="60">
        <v>6.7</v>
      </c>
      <c r="H26" s="60">
        <v>4.4854166666666666</v>
      </c>
      <c r="I26" s="56">
        <f t="shared" si="0"/>
        <v>11.185416666666667</v>
      </c>
      <c r="J26" s="56">
        <f t="shared" si="1"/>
        <v>11.655416666666667</v>
      </c>
      <c r="K26" s="56">
        <f t="shared" si="2"/>
        <v>0.61344298245614037</v>
      </c>
      <c r="L26" s="153">
        <f t="shared" si="3"/>
        <v>99.890980344379457</v>
      </c>
      <c r="M26" s="153">
        <f t="shared" si="4"/>
        <v>99.886399447693307</v>
      </c>
      <c r="N26" s="152" t="e">
        <f>J26+#REF!</f>
        <v>#REF!</v>
      </c>
      <c r="O26" s="57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61" t="e">
        <f>L26-P26</f>
        <v>#REF!</v>
      </c>
      <c r="S26" s="161" t="e">
        <f>M26-Q26</f>
        <v>#REF!</v>
      </c>
    </row>
    <row r="27" spans="1:20" s="167" customFormat="1" ht="25.5" hidden="1" customHeight="1">
      <c r="A27" s="44">
        <v>18</v>
      </c>
      <c r="B27" s="46" t="s">
        <v>32</v>
      </c>
      <c r="C27" s="59">
        <v>34</v>
      </c>
      <c r="D27" s="59">
        <v>34</v>
      </c>
      <c r="E27" s="60">
        <v>15.57</v>
      </c>
      <c r="F27" s="152" t="e">
        <f>E27+#REF!</f>
        <v>#REF!</v>
      </c>
      <c r="G27" s="60">
        <v>29.799027777777781</v>
      </c>
      <c r="H27" s="60">
        <v>13.356944444444444</v>
      </c>
      <c r="I27" s="56">
        <f t="shared" si="0"/>
        <v>43.155972222222225</v>
      </c>
      <c r="J27" s="56">
        <f t="shared" si="1"/>
        <v>58.725972222222225</v>
      </c>
      <c r="K27" s="56">
        <f t="shared" si="2"/>
        <v>1.727234477124183</v>
      </c>
      <c r="L27" s="153">
        <f t="shared" si="3"/>
        <v>99.764945685064149</v>
      </c>
      <c r="M27" s="153">
        <f t="shared" si="4"/>
        <v>99.680141763495527</v>
      </c>
      <c r="N27" s="152" t="e">
        <f>J27+#REF!</f>
        <v>#REF!</v>
      </c>
      <c r="O27" s="57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61" t="e">
        <f t="shared" si="8"/>
        <v>#REF!</v>
      </c>
      <c r="S27" s="161" t="e">
        <f t="shared" si="8"/>
        <v>#REF!</v>
      </c>
    </row>
    <row r="28" spans="1:20" s="167" customFormat="1" ht="25.5" hidden="1" customHeight="1">
      <c r="A28" s="44">
        <v>19</v>
      </c>
      <c r="B28" s="46" t="s">
        <v>55</v>
      </c>
      <c r="C28" s="59">
        <v>47</v>
      </c>
      <c r="D28" s="59">
        <v>47</v>
      </c>
      <c r="E28" s="60">
        <v>10.19</v>
      </c>
      <c r="F28" s="152" t="e">
        <f>E28+#REF!</f>
        <v>#REF!</v>
      </c>
      <c r="G28" s="60">
        <v>126.80472222222221</v>
      </c>
      <c r="H28" s="60">
        <v>91.889583333333334</v>
      </c>
      <c r="I28" s="56">
        <f t="shared" si="0"/>
        <v>218.69430555555556</v>
      </c>
      <c r="J28" s="56">
        <f t="shared" si="1"/>
        <v>228.88430555555556</v>
      </c>
      <c r="K28" s="56">
        <f t="shared" si="2"/>
        <v>4.8698788416075649</v>
      </c>
      <c r="L28" s="153">
        <f t="shared" si="3"/>
        <v>99.138320309079774</v>
      </c>
      <c r="M28" s="153">
        <f t="shared" si="4"/>
        <v>99.098170584887484</v>
      </c>
      <c r="N28" s="152" t="e">
        <f>J28+#REF!</f>
        <v>#REF!</v>
      </c>
      <c r="O28" s="57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61" t="e">
        <f t="shared" si="8"/>
        <v>#REF!</v>
      </c>
      <c r="S28" s="161" t="e">
        <f t="shared" si="8"/>
        <v>#REF!</v>
      </c>
    </row>
    <row r="29" spans="1:20" s="173" customFormat="1" ht="25.5" customHeight="1">
      <c r="A29" s="44">
        <v>15</v>
      </c>
      <c r="B29" s="46" t="s">
        <v>32</v>
      </c>
      <c r="C29" s="59">
        <v>81</v>
      </c>
      <c r="D29" s="59">
        <v>81</v>
      </c>
      <c r="E29" s="60">
        <v>25.759999999999998</v>
      </c>
      <c r="F29" s="152" t="e">
        <f>E29+#REF!</f>
        <v>#REF!</v>
      </c>
      <c r="G29" s="60">
        <v>163.30374999999998</v>
      </c>
      <c r="H29" s="60">
        <v>109.73194444444445</v>
      </c>
      <c r="I29" s="60">
        <f>SUM(I27:I28)</f>
        <v>261.85027777777776</v>
      </c>
      <c r="J29" s="56">
        <f t="shared" si="1"/>
        <v>287.61027777777775</v>
      </c>
      <c r="K29" s="56">
        <f t="shared" si="2"/>
        <v>3.5507441700960216</v>
      </c>
      <c r="L29" s="153">
        <f t="shared" si="3"/>
        <v>99.401348244678147</v>
      </c>
      <c r="M29" s="153">
        <f t="shared" si="4"/>
        <v>99.342454783315546</v>
      </c>
      <c r="N29" s="152" t="e">
        <f>J29+#REF!</f>
        <v>#REF!</v>
      </c>
      <c r="O29" s="57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72"/>
      <c r="S29" s="172"/>
    </row>
    <row r="30" spans="1:20" s="167" customFormat="1" ht="25.5" customHeight="1">
      <c r="A30" s="44">
        <v>16</v>
      </c>
      <c r="B30" s="46" t="s">
        <v>56</v>
      </c>
      <c r="C30" s="59">
        <v>64</v>
      </c>
      <c r="D30" s="59">
        <v>64</v>
      </c>
      <c r="E30" s="60">
        <v>1.73</v>
      </c>
      <c r="F30" s="152" t="e">
        <f>E30+#REF!</f>
        <v>#REF!</v>
      </c>
      <c r="G30" s="60">
        <v>57.563888888888876</v>
      </c>
      <c r="H30" s="60">
        <v>57.552777777777756</v>
      </c>
      <c r="I30" s="56">
        <f t="shared" si="0"/>
        <v>115.11666666666663</v>
      </c>
      <c r="J30" s="56">
        <f t="shared" si="1"/>
        <v>116.84666666666664</v>
      </c>
      <c r="K30" s="56">
        <f t="shared" si="2"/>
        <v>1.8257291666666662</v>
      </c>
      <c r="L30" s="153">
        <f t="shared" si="3"/>
        <v>99.666907793209873</v>
      </c>
      <c r="M30" s="153">
        <f t="shared" si="4"/>
        <v>99.661902006172838</v>
      </c>
      <c r="N30" s="152" t="e">
        <f>J30+#REF!</f>
        <v>#REF!</v>
      </c>
      <c r="O30" s="57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61" t="e">
        <f t="shared" si="8"/>
        <v>#REF!</v>
      </c>
      <c r="S30" s="161" t="e">
        <f t="shared" si="8"/>
        <v>#REF!</v>
      </c>
    </row>
    <row r="31" spans="1:20" ht="15" hidden="1">
      <c r="C31" s="160">
        <f t="shared" ref="C31:K31" si="9">SUM(C12:C30)+C8</f>
        <v>2155</v>
      </c>
      <c r="D31" s="160">
        <f t="shared" si="9"/>
        <v>2152</v>
      </c>
      <c r="E31" s="160">
        <f t="shared" si="9"/>
        <v>2043.68</v>
      </c>
      <c r="F31" s="160" t="e">
        <f t="shared" si="9"/>
        <v>#REF!</v>
      </c>
      <c r="G31" s="160">
        <f t="shared" si="9"/>
        <v>24706.771388888897</v>
      </c>
      <c r="H31" s="160">
        <f t="shared" si="9"/>
        <v>41751.826666666668</v>
      </c>
      <c r="I31" s="160">
        <f t="shared" si="9"/>
        <v>66447.412638888884</v>
      </c>
      <c r="J31" s="160">
        <f t="shared" si="9"/>
        <v>68491.092638888891</v>
      </c>
      <c r="K31" s="160">
        <f t="shared" si="9"/>
        <v>587.83322214278007</v>
      </c>
      <c r="L31" s="64">
        <f>+(((D31*24)*30)-I31)*100/((D31*24)*30)</f>
        <v>95.711520766284011</v>
      </c>
      <c r="M31" s="64">
        <f>+(((D31*24)*30)-J31)*100/((D31*24)*30)</f>
        <v>95.579622790241061</v>
      </c>
      <c r="N31" s="160" t="e">
        <f>SUM(N12:N30)+N8</f>
        <v>#REF!</v>
      </c>
      <c r="O31" s="160" t="e">
        <f>SUM(O12:O30)+O8</f>
        <v>#REF!</v>
      </c>
      <c r="P31" s="64" t="e">
        <f>((C31*24*30)-(N31-E31))*100/(C31*24*30)</f>
        <v>#REF!</v>
      </c>
      <c r="Q31" s="64" t="e">
        <f>((D31*24*30)-(N31))*100/(D31*24*30)</f>
        <v>#REF!</v>
      </c>
      <c r="R31" s="161" t="e">
        <f t="shared" si="8"/>
        <v>#REF!</v>
      </c>
    </row>
    <row r="32" spans="1:20" ht="12.75" hidden="1" customHeight="1">
      <c r="A32" s="839" t="s">
        <v>33</v>
      </c>
      <c r="B32" s="840"/>
      <c r="C32" s="840"/>
      <c r="D32" s="840"/>
      <c r="E32" s="840"/>
      <c r="F32" s="840"/>
      <c r="G32" s="840"/>
      <c r="H32" s="840"/>
      <c r="I32" s="840"/>
      <c r="J32" s="840"/>
      <c r="K32" s="840"/>
      <c r="L32" s="840"/>
      <c r="M32" s="840"/>
      <c r="N32" s="840"/>
      <c r="O32" s="840"/>
      <c r="P32" s="840"/>
      <c r="Q32" s="841"/>
      <c r="R32" s="161">
        <f t="shared" si="8"/>
        <v>0</v>
      </c>
    </row>
    <row r="33" spans="1:18" ht="28.5" hidden="1" customHeight="1" thickBot="1">
      <c r="A33" s="842"/>
      <c r="B33" s="843"/>
      <c r="C33" s="843"/>
      <c r="D33" s="843"/>
      <c r="E33" s="843"/>
      <c r="F33" s="843"/>
      <c r="G33" s="843"/>
      <c r="H33" s="843"/>
      <c r="I33" s="843"/>
      <c r="J33" s="843"/>
      <c r="K33" s="843"/>
      <c r="L33" s="843"/>
      <c r="M33" s="843"/>
      <c r="N33" s="843"/>
      <c r="O33" s="843"/>
      <c r="P33" s="843"/>
      <c r="Q33" s="844"/>
      <c r="R33" s="161">
        <f t="shared" si="8"/>
        <v>0</v>
      </c>
    </row>
    <row r="34" spans="1:18" ht="12.75" hidden="1" customHeight="1">
      <c r="A34" s="853" t="s">
        <v>34</v>
      </c>
      <c r="B34" s="854"/>
      <c r="C34" s="854"/>
      <c r="D34" s="854"/>
      <c r="E34" s="854"/>
      <c r="F34" s="854"/>
      <c r="G34" s="854"/>
      <c r="H34" s="854"/>
      <c r="I34" s="854"/>
      <c r="J34" s="854"/>
      <c r="K34" s="854"/>
      <c r="L34" s="854"/>
      <c r="M34" s="854"/>
      <c r="N34" s="854"/>
      <c r="O34" s="854"/>
      <c r="P34" s="854"/>
      <c r="Q34" s="855"/>
      <c r="R34" s="161">
        <f t="shared" si="8"/>
        <v>0</v>
      </c>
    </row>
    <row r="35" spans="1:18" ht="12.75" hidden="1" customHeight="1">
      <c r="A35" s="856"/>
      <c r="B35" s="857"/>
      <c r="C35" s="857"/>
      <c r="D35" s="857"/>
      <c r="E35" s="857"/>
      <c r="F35" s="857"/>
      <c r="G35" s="857"/>
      <c r="H35" s="857"/>
      <c r="I35" s="857"/>
      <c r="J35" s="857"/>
      <c r="K35" s="857"/>
      <c r="L35" s="857"/>
      <c r="M35" s="857"/>
      <c r="N35" s="857"/>
      <c r="O35" s="857"/>
      <c r="P35" s="857"/>
      <c r="Q35" s="858"/>
      <c r="R35" s="161">
        <f t="shared" si="8"/>
        <v>0</v>
      </c>
    </row>
    <row r="36" spans="1:18" ht="13.5" hidden="1" customHeight="1" thickBot="1">
      <c r="A36" s="859"/>
      <c r="B36" s="860"/>
      <c r="C36" s="860"/>
      <c r="D36" s="860"/>
      <c r="E36" s="860"/>
      <c r="F36" s="860"/>
      <c r="G36" s="860"/>
      <c r="H36" s="860"/>
      <c r="I36" s="860"/>
      <c r="J36" s="860"/>
      <c r="K36" s="860"/>
      <c r="L36" s="860"/>
      <c r="M36" s="860"/>
      <c r="N36" s="860"/>
      <c r="O36" s="860"/>
      <c r="P36" s="860"/>
      <c r="Q36" s="861"/>
      <c r="R36" s="161">
        <f t="shared" si="8"/>
        <v>0</v>
      </c>
    </row>
    <row r="37" spans="1:18" hidden="1">
      <c r="A37" s="839" t="s">
        <v>35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1"/>
      <c r="R37" s="161">
        <f t="shared" si="8"/>
        <v>0</v>
      </c>
    </row>
    <row r="38" spans="1:18" ht="20.25" hidden="1" customHeight="1" thickBot="1">
      <c r="A38" s="842"/>
      <c r="B38" s="843"/>
      <c r="C38" s="843"/>
      <c r="D38" s="843"/>
      <c r="E38" s="843"/>
      <c r="F38" s="843"/>
      <c r="G38" s="843"/>
      <c r="H38" s="843"/>
      <c r="I38" s="843"/>
      <c r="J38" s="843"/>
      <c r="K38" s="843"/>
      <c r="L38" s="843"/>
      <c r="M38" s="843"/>
      <c r="N38" s="843"/>
      <c r="O38" s="843"/>
      <c r="P38" s="843"/>
      <c r="Q38" s="844"/>
      <c r="R38" s="161">
        <f t="shared" si="8"/>
        <v>0</v>
      </c>
    </row>
    <row r="39" spans="1:18" ht="18.75" hidden="1" customHeight="1">
      <c r="A39" s="839" t="s">
        <v>36</v>
      </c>
      <c r="B39" s="840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1"/>
      <c r="R39" s="161">
        <f t="shared" si="8"/>
        <v>0</v>
      </c>
    </row>
    <row r="40" spans="1:18" ht="29.25" hidden="1" customHeight="1" thickBot="1">
      <c r="A40" s="842"/>
      <c r="B40" s="843"/>
      <c r="C40" s="843"/>
      <c r="D40" s="843"/>
      <c r="E40" s="843"/>
      <c r="F40" s="843"/>
      <c r="G40" s="843"/>
      <c r="H40" s="843"/>
      <c r="I40" s="843"/>
      <c r="J40" s="843"/>
      <c r="K40" s="843"/>
      <c r="L40" s="843"/>
      <c r="M40" s="843"/>
      <c r="N40" s="843"/>
      <c r="O40" s="843"/>
      <c r="P40" s="843"/>
      <c r="Q40" s="844"/>
      <c r="R40" s="161">
        <f t="shared" si="8"/>
        <v>0</v>
      </c>
    </row>
    <row r="41" spans="1:18" hidden="1">
      <c r="R41" s="161">
        <f t="shared" si="8"/>
        <v>0</v>
      </c>
    </row>
    <row r="42" spans="1:18" hidden="1">
      <c r="R42" s="161">
        <f t="shared" si="8"/>
        <v>0</v>
      </c>
    </row>
    <row r="43" spans="1:18" hidden="1">
      <c r="R43" s="161">
        <f t="shared" si="8"/>
        <v>0</v>
      </c>
    </row>
    <row r="44" spans="1:18" ht="15" hidden="1" customHeight="1">
      <c r="P44" s="171"/>
      <c r="Q44" s="171"/>
      <c r="R44" s="161">
        <f t="shared" si="8"/>
        <v>0</v>
      </c>
    </row>
    <row r="45" spans="1:18" ht="15" hidden="1" customHeight="1">
      <c r="P45" s="171">
        <f>98.57</f>
        <v>98.57</v>
      </c>
      <c r="Q45" s="171">
        <f>97.92</f>
        <v>97.92</v>
      </c>
      <c r="R45" s="161">
        <f t="shared" si="8"/>
        <v>-98.57</v>
      </c>
    </row>
    <row r="46" spans="1:18" ht="15" hidden="1" customHeight="1">
      <c r="R46" s="161">
        <f t="shared" si="8"/>
        <v>0</v>
      </c>
    </row>
    <row r="47" spans="1:18" ht="15" hidden="1" customHeight="1">
      <c r="C47" s="160"/>
      <c r="R47" s="161">
        <f t="shared" si="8"/>
        <v>0</v>
      </c>
    </row>
    <row r="48" spans="1:18" ht="15" hidden="1" customHeight="1">
      <c r="C48" s="160"/>
      <c r="R48" s="161">
        <f t="shared" si="8"/>
        <v>0</v>
      </c>
    </row>
    <row r="49" spans="3:18" ht="15" hidden="1" customHeight="1">
      <c r="K49" s="146">
        <f>85+86+94</f>
        <v>265</v>
      </c>
      <c r="R49" s="161">
        <f t="shared" si="8"/>
        <v>0</v>
      </c>
    </row>
    <row r="50" spans="3:18" ht="15" hidden="1" customHeight="1">
      <c r="K50" s="146">
        <f>K49/3</f>
        <v>88.333333333333329</v>
      </c>
      <c r="R50" s="161">
        <f t="shared" si="8"/>
        <v>0</v>
      </c>
    </row>
    <row r="51" spans="3:18" ht="15" hidden="1" customHeight="1">
      <c r="R51" s="161">
        <f t="shared" si="8"/>
        <v>0</v>
      </c>
    </row>
    <row r="52" spans="3:18" ht="11.25" hidden="1" customHeight="1">
      <c r="R52" s="161">
        <f t="shared" si="8"/>
        <v>0</v>
      </c>
    </row>
    <row r="53" spans="3:18" ht="11.25" hidden="1" customHeight="1">
      <c r="R53" s="161">
        <f t="shared" si="8"/>
        <v>0</v>
      </c>
    </row>
    <row r="54" spans="3:18" ht="11.25" hidden="1" customHeight="1">
      <c r="R54" s="161">
        <f t="shared" si="8"/>
        <v>0</v>
      </c>
    </row>
    <row r="55" spans="3:18" ht="11.25" hidden="1" customHeight="1">
      <c r="R55" s="161">
        <f t="shared" si="8"/>
        <v>0</v>
      </c>
    </row>
    <row r="56" spans="3:18" ht="11.25" customHeight="1"/>
    <row r="57" spans="3:18" ht="11.25" customHeight="1">
      <c r="C57" s="160" t="e">
        <f>C8:C30</f>
        <v>#VALUE!</v>
      </c>
      <c r="L57" s="161">
        <f>L8+L9+L10+L11+L12+L13+L14+L15+L16+L17+L18+L26+L19+L20+L22+L23+L24+L27+L28+L30</f>
        <v>1885.3863064875718</v>
      </c>
      <c r="M57" s="161">
        <f>M8+M9+M10+M11+M12+M13+M14+M15+M16+M17+M18+M26+M19+M20+M22+M23+M24+M27+M28+M30</f>
        <v>1882.2900892705838</v>
      </c>
    </row>
    <row r="58" spans="3:18" ht="11.25" customHeight="1">
      <c r="C58" s="160">
        <f>C8+C9+C10+C11+C12+C13+C14+C15+C16+C17+C18+C19+C20+C22+C23+C24+C26+C27+C28+C30</f>
        <v>2452</v>
      </c>
      <c r="L58" s="146">
        <f>L57/20</f>
        <v>94.269315324378596</v>
      </c>
      <c r="M58" s="146">
        <f>M57/20</f>
        <v>94.114504463529187</v>
      </c>
    </row>
    <row r="59" spans="3:18">
      <c r="P59" s="161" t="e">
        <f>P8+P9+P10+P11+P12+P13+P14+P15+P16+P17+P18+P26+P19+P20+P22+P23+P24+P27+P28+P30</f>
        <v>#REF!</v>
      </c>
      <c r="Q59" s="161" t="e">
        <f>Q8+Q9+Q10+Q11+Q12+Q13+Q14+Q15+Q16+Q17+Q18+Q26+Q19+Q20+Q22+Q23+Q24+Q27+Q28+Q30</f>
        <v>#REF!</v>
      </c>
    </row>
    <row r="60" spans="3:18">
      <c r="C60" s="160">
        <f>C30+C29+C26+C25+C21+C18+C17+C16+C15+C14+C13+C12+C11+C10+C9+C8</f>
        <v>2452</v>
      </c>
    </row>
    <row r="61" spans="3:18">
      <c r="C61" s="146">
        <v>1420</v>
      </c>
      <c r="K61" s="161">
        <f>3258+J21</f>
        <v>5630.9500000000007</v>
      </c>
      <c r="P61" s="146" t="e">
        <f>P59/20</f>
        <v>#REF!</v>
      </c>
      <c r="Q61" s="146" t="e">
        <f>Q59/20</f>
        <v>#REF!</v>
      </c>
    </row>
    <row r="62" spans="3:18">
      <c r="C62" s="146">
        <v>529</v>
      </c>
    </row>
    <row r="63" spans="3:18">
      <c r="C63" s="160">
        <f>SUM(C60:C62)</f>
        <v>4401</v>
      </c>
    </row>
    <row r="64" spans="3:18">
      <c r="G64" s="146">
        <f>71.34+67.53</f>
        <v>138.87</v>
      </c>
    </row>
  </sheetData>
  <mergeCells count="17">
    <mergeCell ref="A39:Q40"/>
    <mergeCell ref="G5:I5"/>
    <mergeCell ref="J5:M5"/>
    <mergeCell ref="N5:Q5"/>
    <mergeCell ref="A32:Q33"/>
    <mergeCell ref="A34:Q36"/>
    <mergeCell ref="A37:Q38"/>
    <mergeCell ref="A1:Q1"/>
    <mergeCell ref="A2:Q2"/>
    <mergeCell ref="A3:Q3"/>
    <mergeCell ref="A4:D4"/>
    <mergeCell ref="A5:A6"/>
    <mergeCell ref="B5:B6"/>
    <mergeCell ref="C5:C6"/>
    <mergeCell ref="D5:D6"/>
    <mergeCell ref="E5:E6"/>
    <mergeCell ref="F5:F6"/>
  </mergeCells>
  <printOptions horizontalCentered="1"/>
  <pageMargins left="0" right="0" top="0.5" bottom="0" header="0.19" footer="0.5"/>
  <pageSetup paperSize="9" scale="6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opLeftCell="G10" workbookViewId="0">
      <selection activeCell="I34" activeCellId="1" sqref="I34 L36"/>
    </sheetView>
  </sheetViews>
  <sheetFormatPr defaultRowHeight="12.75"/>
  <cols>
    <col min="1" max="1" width="3.85546875" style="2" customWidth="1"/>
    <col min="2" max="2" width="19.140625" style="2" customWidth="1"/>
    <col min="3" max="3" width="9.5703125" style="2" customWidth="1"/>
    <col min="4" max="4" width="9.42578125" style="2" customWidth="1"/>
    <col min="5" max="5" width="12.42578125" style="2" customWidth="1"/>
    <col min="6" max="6" width="13.85546875" style="2" customWidth="1"/>
    <col min="7" max="7" width="17.42578125" style="2" customWidth="1"/>
    <col min="8" max="8" width="22.5703125" style="2" customWidth="1"/>
    <col min="9" max="9" width="18.5703125" style="2" customWidth="1"/>
    <col min="10" max="10" width="13" style="2" customWidth="1"/>
    <col min="11" max="11" width="12.140625" style="2" customWidth="1"/>
    <col min="12" max="12" width="9.5703125" style="2" customWidth="1"/>
    <col min="13" max="13" width="13.42578125" style="2" customWidth="1"/>
    <col min="14" max="14" width="14.5703125" style="2" customWidth="1"/>
    <col min="15" max="15" width="15" style="2" customWidth="1"/>
    <col min="16" max="16" width="15.7109375" style="2" customWidth="1"/>
    <col min="17" max="17" width="15.140625" style="2" customWidth="1"/>
    <col min="18" max="18" width="13.140625" style="2" hidden="1" customWidth="1"/>
    <col min="19" max="21" width="9.140625" style="2"/>
    <col min="22" max="22" width="12.28515625" style="2" customWidth="1"/>
    <col min="23" max="16384" width="9.140625" style="2"/>
  </cols>
  <sheetData>
    <row r="1" spans="1:25" s="4" customFormat="1" ht="17.25" customHeight="1">
      <c r="A1" s="852" t="s">
        <v>0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V1" s="35">
        <v>42461</v>
      </c>
      <c r="W1" s="36">
        <v>30</v>
      </c>
      <c r="X1" s="36">
        <f t="shared" ref="X1:X11" si="0">SUM(W1)</f>
        <v>30</v>
      </c>
      <c r="Y1" s="27"/>
    </row>
    <row r="2" spans="1:25" ht="17.25" customHeight="1">
      <c r="A2" s="825" t="s">
        <v>1</v>
      </c>
      <c r="B2" s="825"/>
      <c r="C2" s="825"/>
      <c r="D2" s="825"/>
      <c r="E2" s="825"/>
      <c r="F2" s="825"/>
      <c r="G2" s="825"/>
      <c r="H2" s="825"/>
      <c r="I2" s="825"/>
      <c r="J2" s="825"/>
      <c r="K2" s="825"/>
      <c r="L2" s="825"/>
      <c r="M2" s="825"/>
      <c r="N2" s="825"/>
      <c r="O2" s="825"/>
      <c r="P2" s="825"/>
      <c r="Q2" s="825"/>
      <c r="V2" s="38">
        <v>42491</v>
      </c>
      <c r="W2" s="37">
        <v>31</v>
      </c>
      <c r="X2" s="37">
        <f t="shared" si="0"/>
        <v>31</v>
      </c>
      <c r="Y2" s="28"/>
    </row>
    <row r="3" spans="1:25" ht="18" customHeight="1">
      <c r="A3" s="826" t="s">
        <v>109</v>
      </c>
      <c r="B3" s="826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V3" s="38">
        <v>42522</v>
      </c>
      <c r="W3" s="37">
        <v>30</v>
      </c>
      <c r="X3" s="37">
        <f t="shared" si="0"/>
        <v>30</v>
      </c>
      <c r="Y3" s="28"/>
    </row>
    <row r="4" spans="1:25" ht="15" customHeight="1">
      <c r="A4" s="76"/>
      <c r="B4" s="76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V4" s="38">
        <v>42552</v>
      </c>
      <c r="W4" s="37">
        <v>31</v>
      </c>
      <c r="X4" s="37">
        <f t="shared" si="0"/>
        <v>31</v>
      </c>
      <c r="Y4" s="28"/>
    </row>
    <row r="5" spans="1:25" s="5" customFormat="1" ht="28.5" customHeight="1">
      <c r="A5" s="821" t="s">
        <v>2</v>
      </c>
      <c r="B5" s="821" t="s">
        <v>3</v>
      </c>
      <c r="C5" s="821" t="s">
        <v>4</v>
      </c>
      <c r="D5" s="821" t="s">
        <v>5</v>
      </c>
      <c r="E5" s="821" t="s">
        <v>6</v>
      </c>
      <c r="F5" s="821" t="s">
        <v>7</v>
      </c>
      <c r="G5" s="822" t="s">
        <v>8</v>
      </c>
      <c r="H5" s="823"/>
      <c r="I5" s="823"/>
      <c r="J5" s="823" t="s">
        <v>107</v>
      </c>
      <c r="K5" s="823"/>
      <c r="L5" s="823"/>
      <c r="M5" s="823"/>
      <c r="N5" s="823" t="s">
        <v>84</v>
      </c>
      <c r="O5" s="823"/>
      <c r="P5" s="823"/>
      <c r="Q5" s="823"/>
      <c r="V5" s="35">
        <v>42583</v>
      </c>
      <c r="W5" s="36">
        <v>31</v>
      </c>
      <c r="X5" s="36">
        <f t="shared" si="0"/>
        <v>31</v>
      </c>
      <c r="Y5" s="29"/>
    </row>
    <row r="6" spans="1:25" s="3" customFormat="1" ht="114" customHeight="1">
      <c r="A6" s="821"/>
      <c r="B6" s="821"/>
      <c r="C6" s="821"/>
      <c r="D6" s="821"/>
      <c r="E6" s="821"/>
      <c r="F6" s="821"/>
      <c r="G6" s="75" t="s">
        <v>9</v>
      </c>
      <c r="H6" s="75" t="s">
        <v>10</v>
      </c>
      <c r="I6" s="75" t="s">
        <v>11</v>
      </c>
      <c r="J6" s="75" t="s">
        <v>12</v>
      </c>
      <c r="K6" s="75" t="s">
        <v>13</v>
      </c>
      <c r="L6" s="75" t="s">
        <v>78</v>
      </c>
      <c r="M6" s="75" t="s">
        <v>14</v>
      </c>
      <c r="N6" s="75" t="s">
        <v>15</v>
      </c>
      <c r="O6" s="75" t="s">
        <v>16</v>
      </c>
      <c r="P6" s="75" t="s">
        <v>17</v>
      </c>
      <c r="Q6" s="75" t="s">
        <v>18</v>
      </c>
      <c r="V6" s="35">
        <v>42614</v>
      </c>
      <c r="W6" s="36">
        <v>30</v>
      </c>
      <c r="X6" s="36">
        <f t="shared" si="0"/>
        <v>30</v>
      </c>
      <c r="Y6" s="27"/>
    </row>
    <row r="7" spans="1:25" s="1" customFormat="1" ht="24" customHeight="1">
      <c r="A7" s="6">
        <v>1</v>
      </c>
      <c r="B7" s="6">
        <v>2</v>
      </c>
      <c r="C7" s="6">
        <v>3</v>
      </c>
      <c r="D7" s="6">
        <v>4</v>
      </c>
      <c r="E7" s="6">
        <v>5</v>
      </c>
      <c r="F7" s="6" t="s">
        <v>19</v>
      </c>
      <c r="G7" s="6">
        <v>6</v>
      </c>
      <c r="H7" s="6">
        <v>7</v>
      </c>
      <c r="I7" s="6" t="s">
        <v>20</v>
      </c>
      <c r="J7" s="6" t="s">
        <v>21</v>
      </c>
      <c r="K7" s="7" t="s">
        <v>22</v>
      </c>
      <c r="L7" s="6" t="s">
        <v>23</v>
      </c>
      <c r="M7" s="6" t="s">
        <v>24</v>
      </c>
      <c r="N7" s="6">
        <v>13</v>
      </c>
      <c r="O7" s="6" t="s">
        <v>64</v>
      </c>
      <c r="P7" s="6">
        <v>15</v>
      </c>
      <c r="Q7" s="6">
        <v>16</v>
      </c>
      <c r="V7" s="38">
        <v>42644</v>
      </c>
      <c r="W7" s="37">
        <v>31</v>
      </c>
      <c r="X7" s="37">
        <f t="shared" si="0"/>
        <v>31</v>
      </c>
      <c r="Y7" s="30"/>
    </row>
    <row r="8" spans="1:25" s="10" customFormat="1" ht="42" customHeight="1">
      <c r="A8" s="78">
        <v>1</v>
      </c>
      <c r="B8" s="73" t="s">
        <v>26</v>
      </c>
      <c r="C8" s="61">
        <v>34</v>
      </c>
      <c r="D8" s="61">
        <v>31</v>
      </c>
      <c r="E8" s="62">
        <v>0</v>
      </c>
      <c r="F8" s="62" t="e">
        <f>E8+'June ANX I  '!F8</f>
        <v>#REF!</v>
      </c>
      <c r="G8" s="62">
        <v>300.43000000000006</v>
      </c>
      <c r="H8" s="62">
        <v>87.27000000000001</v>
      </c>
      <c r="I8" s="63">
        <f>G8+H8</f>
        <v>387.70000000000005</v>
      </c>
      <c r="J8" s="63">
        <f>E8+I8</f>
        <v>387.70000000000005</v>
      </c>
      <c r="K8" s="63">
        <f>J8/C8</f>
        <v>11.402941176470589</v>
      </c>
      <c r="L8" s="64">
        <f>+(((C8*24)*31)-I8)*100/((C8*24)*31)</f>
        <v>98.467346616065782</v>
      </c>
      <c r="M8" s="64">
        <f>+(((C8*24)*31)-J8)*100/((C8*24)*31)</f>
        <v>98.467346616065782</v>
      </c>
      <c r="N8" s="63" t="e">
        <f>J8+'June ANX I  '!N8</f>
        <v>#REF!</v>
      </c>
      <c r="O8" s="64" t="e">
        <f>N8/C8</f>
        <v>#REF!</v>
      </c>
      <c r="P8" s="64" t="e">
        <f>((C8*24*122)-(N8-E8))*100/(C8*24*122)</f>
        <v>#REF!</v>
      </c>
      <c r="Q8" s="64" t="e">
        <f>((C8*24*122)-(N8))*100/(C8*24*122)</f>
        <v>#REF!</v>
      </c>
      <c r="R8" s="8"/>
      <c r="S8" s="43" t="e">
        <f>L8-P8</f>
        <v>#REF!</v>
      </c>
      <c r="T8" s="43" t="e">
        <f>M8-Q8</f>
        <v>#REF!</v>
      </c>
      <c r="V8" s="39">
        <v>42675</v>
      </c>
      <c r="W8" s="40">
        <v>30</v>
      </c>
      <c r="X8" s="40">
        <f t="shared" si="0"/>
        <v>30</v>
      </c>
      <c r="Y8" s="31"/>
    </row>
    <row r="9" spans="1:25" s="10" customFormat="1" ht="42" customHeight="1">
      <c r="A9" s="78">
        <v>2</v>
      </c>
      <c r="B9" s="73" t="s">
        <v>27</v>
      </c>
      <c r="C9" s="65">
        <v>11</v>
      </c>
      <c r="D9" s="65">
        <v>11</v>
      </c>
      <c r="E9" s="62">
        <v>5.8</v>
      </c>
      <c r="F9" s="62" t="e">
        <f>E9+'June ANX I  '!F9</f>
        <v>#REF!</v>
      </c>
      <c r="G9" s="62">
        <v>198.7</v>
      </c>
      <c r="H9" s="62">
        <v>149.53</v>
      </c>
      <c r="I9" s="63">
        <f t="shared" ref="I9:I14" si="1">G9+H9</f>
        <v>348.23</v>
      </c>
      <c r="J9" s="63">
        <f t="shared" ref="J9:J14" si="2">E9+I9</f>
        <v>354.03000000000003</v>
      </c>
      <c r="K9" s="63">
        <f t="shared" ref="K9:K14" si="3">J9/C9</f>
        <v>32.184545454545457</v>
      </c>
      <c r="L9" s="64">
        <f t="shared" ref="L9:L14" si="4">+(((C9*24)*31)-I9)*100/((C9*24)*31)</f>
        <v>95.744990224828939</v>
      </c>
      <c r="M9" s="64">
        <f t="shared" ref="M9:M14" si="5">+(((C9*24)*31)-J9)*100/((C9*24)*31)</f>
        <v>95.674120234604104</v>
      </c>
      <c r="N9" s="63" t="e">
        <f>J9+'June ANX I  '!N9</f>
        <v>#REF!</v>
      </c>
      <c r="O9" s="64" t="e">
        <f t="shared" ref="O9:O14" si="6">N9/C9</f>
        <v>#REF!</v>
      </c>
      <c r="P9" s="64" t="e">
        <f t="shared" ref="P9:P14" si="7">((C9*24*122)-(N9-E9))*100/(C9*24*122)</f>
        <v>#REF!</v>
      </c>
      <c r="Q9" s="64" t="e">
        <f t="shared" ref="Q9:Q14" si="8">((C9*24*122)-(N9))*100/(C9*24*122)</f>
        <v>#REF!</v>
      </c>
      <c r="R9" s="8"/>
      <c r="S9" s="43" t="e">
        <f t="shared" ref="S9:T24" si="9">L9-P9</f>
        <v>#REF!</v>
      </c>
      <c r="T9" s="43" t="e">
        <f t="shared" si="9"/>
        <v>#REF!</v>
      </c>
      <c r="V9" s="39">
        <v>42705</v>
      </c>
      <c r="W9" s="40">
        <v>31</v>
      </c>
      <c r="X9" s="40">
        <v>31</v>
      </c>
      <c r="Y9" s="31"/>
    </row>
    <row r="10" spans="1:25" s="11" customFormat="1" ht="42" customHeight="1">
      <c r="A10" s="78">
        <v>3</v>
      </c>
      <c r="B10" s="73" t="s">
        <v>28</v>
      </c>
      <c r="C10" s="66">
        <v>30</v>
      </c>
      <c r="D10" s="66">
        <v>30</v>
      </c>
      <c r="E10" s="64">
        <v>15</v>
      </c>
      <c r="F10" s="62" t="e">
        <f>E10+'June ANX I  '!F10</f>
        <v>#REF!</v>
      </c>
      <c r="G10" s="62">
        <v>235</v>
      </c>
      <c r="H10" s="62">
        <v>196</v>
      </c>
      <c r="I10" s="63">
        <f t="shared" si="1"/>
        <v>431</v>
      </c>
      <c r="J10" s="63">
        <f t="shared" si="2"/>
        <v>446</v>
      </c>
      <c r="K10" s="63">
        <f t="shared" si="3"/>
        <v>14.866666666666667</v>
      </c>
      <c r="L10" s="64">
        <f t="shared" si="4"/>
        <v>98.068996415770613</v>
      </c>
      <c r="M10" s="64">
        <f t="shared" si="5"/>
        <v>98.001792114695334</v>
      </c>
      <c r="N10" s="63" t="e">
        <f>J10+'June ANX I  '!N10</f>
        <v>#REF!</v>
      </c>
      <c r="O10" s="64" t="e">
        <f t="shared" si="6"/>
        <v>#REF!</v>
      </c>
      <c r="P10" s="64" t="e">
        <f t="shared" si="7"/>
        <v>#REF!</v>
      </c>
      <c r="Q10" s="64" t="e">
        <f t="shared" si="8"/>
        <v>#REF!</v>
      </c>
      <c r="R10" s="9"/>
      <c r="S10" s="43" t="e">
        <f t="shared" si="9"/>
        <v>#REF!</v>
      </c>
      <c r="T10" s="43" t="e">
        <f t="shared" si="9"/>
        <v>#REF!</v>
      </c>
      <c r="V10" s="38">
        <v>42370</v>
      </c>
      <c r="W10" s="37">
        <v>31</v>
      </c>
      <c r="X10" s="37">
        <f t="shared" si="0"/>
        <v>31</v>
      </c>
      <c r="Y10" s="32"/>
    </row>
    <row r="11" spans="1:25" s="13" customFormat="1" ht="42" customHeight="1">
      <c r="A11" s="79">
        <v>4</v>
      </c>
      <c r="B11" s="74" t="s">
        <v>29</v>
      </c>
      <c r="C11" s="66">
        <v>1323</v>
      </c>
      <c r="D11" s="66">
        <v>1082</v>
      </c>
      <c r="E11" s="68">
        <v>439.08</v>
      </c>
      <c r="F11" s="62" t="e">
        <f>E11+'June ANX I  '!F11</f>
        <v>#REF!</v>
      </c>
      <c r="G11" s="62">
        <v>3811.56</v>
      </c>
      <c r="H11" s="62">
        <v>4901.1899999999996</v>
      </c>
      <c r="I11" s="63">
        <f>G11+H11</f>
        <v>8712.75</v>
      </c>
      <c r="J11" s="69">
        <f t="shared" si="2"/>
        <v>9151.83</v>
      </c>
      <c r="K11" s="69">
        <f t="shared" si="3"/>
        <v>6.9174829931972788</v>
      </c>
      <c r="L11" s="64">
        <f t="shared" si="4"/>
        <v>99.114838587764851</v>
      </c>
      <c r="M11" s="64">
        <f t="shared" si="5"/>
        <v>99.070230780484238</v>
      </c>
      <c r="N11" s="63" t="e">
        <f>J11+'June ANX I  '!N11</f>
        <v>#REF!</v>
      </c>
      <c r="O11" s="68" t="e">
        <f t="shared" si="6"/>
        <v>#REF!</v>
      </c>
      <c r="P11" s="64" t="e">
        <f t="shared" si="7"/>
        <v>#REF!</v>
      </c>
      <c r="Q11" s="64" t="e">
        <f t="shared" si="8"/>
        <v>#REF!</v>
      </c>
      <c r="R11" s="12"/>
      <c r="S11" s="43" t="e">
        <f t="shared" si="9"/>
        <v>#REF!</v>
      </c>
      <c r="T11" s="43" t="e">
        <f t="shared" si="9"/>
        <v>#REF!</v>
      </c>
      <c r="V11" s="41">
        <v>42401</v>
      </c>
      <c r="W11" s="42">
        <v>29</v>
      </c>
      <c r="X11" s="42">
        <f t="shared" si="0"/>
        <v>29</v>
      </c>
      <c r="Y11" s="33"/>
    </row>
    <row r="12" spans="1:25" s="14" customFormat="1" ht="42" customHeight="1">
      <c r="A12" s="78">
        <v>5</v>
      </c>
      <c r="B12" s="74" t="s">
        <v>32</v>
      </c>
      <c r="C12" s="70">
        <v>4</v>
      </c>
      <c r="D12" s="70">
        <v>4</v>
      </c>
      <c r="E12" s="70">
        <v>1.35</v>
      </c>
      <c r="F12" s="62" t="e">
        <f>E12+'June ANX I  '!F12</f>
        <v>#REF!</v>
      </c>
      <c r="G12" s="62">
        <v>29.32</v>
      </c>
      <c r="H12" s="62">
        <v>14.01</v>
      </c>
      <c r="I12" s="63">
        <f>G12+H12</f>
        <v>43.33</v>
      </c>
      <c r="J12" s="63">
        <f t="shared" si="2"/>
        <v>44.68</v>
      </c>
      <c r="K12" s="63">
        <f t="shared" si="3"/>
        <v>11.17</v>
      </c>
      <c r="L12" s="64">
        <f t="shared" si="4"/>
        <v>98.544018817204304</v>
      </c>
      <c r="M12" s="64">
        <f t="shared" si="5"/>
        <v>98.498655913978496</v>
      </c>
      <c r="N12" s="176" t="e">
        <f>J12+'June ANX I  '!N12</f>
        <v>#REF!</v>
      </c>
      <c r="O12" s="64" t="e">
        <f t="shared" si="6"/>
        <v>#REF!</v>
      </c>
      <c r="P12" s="64" t="e">
        <f t="shared" si="7"/>
        <v>#REF!</v>
      </c>
      <c r="Q12" s="64" t="e">
        <f t="shared" si="8"/>
        <v>#REF!</v>
      </c>
      <c r="R12" s="9"/>
      <c r="S12" s="43" t="e">
        <f t="shared" si="9"/>
        <v>#REF!</v>
      </c>
      <c r="T12" s="43" t="e">
        <f t="shared" si="9"/>
        <v>#REF!</v>
      </c>
      <c r="V12" s="38">
        <v>42430</v>
      </c>
      <c r="W12" s="37">
        <v>31</v>
      </c>
      <c r="X12" s="37">
        <v>31</v>
      </c>
      <c r="Y12" s="34"/>
    </row>
    <row r="13" spans="1:25" s="14" customFormat="1" ht="42" customHeight="1">
      <c r="A13" s="78">
        <v>6</v>
      </c>
      <c r="B13" s="74" t="s">
        <v>30</v>
      </c>
      <c r="C13" s="66">
        <v>12</v>
      </c>
      <c r="D13" s="66">
        <v>12</v>
      </c>
      <c r="E13" s="62">
        <v>1.8</v>
      </c>
      <c r="F13" s="62" t="e">
        <f>E13+'June ANX I  '!F13</f>
        <v>#REF!</v>
      </c>
      <c r="G13" s="62">
        <v>100.03</v>
      </c>
      <c r="H13" s="62">
        <v>54.79</v>
      </c>
      <c r="I13" s="63">
        <f t="shared" si="1"/>
        <v>154.82</v>
      </c>
      <c r="J13" s="63">
        <f t="shared" si="2"/>
        <v>156.62</v>
      </c>
      <c r="K13" s="63">
        <f t="shared" si="3"/>
        <v>13.051666666666668</v>
      </c>
      <c r="L13" s="64">
        <f t="shared" si="4"/>
        <v>98.265905017921142</v>
      </c>
      <c r="M13" s="64">
        <f t="shared" si="5"/>
        <v>98.245743727598551</v>
      </c>
      <c r="N13" s="63" t="e">
        <f>J13+'June ANX I  '!N13</f>
        <v>#REF!</v>
      </c>
      <c r="O13" s="64" t="e">
        <f t="shared" si="6"/>
        <v>#REF!</v>
      </c>
      <c r="P13" s="64" t="e">
        <f t="shared" si="7"/>
        <v>#REF!</v>
      </c>
      <c r="Q13" s="64" t="e">
        <f t="shared" si="8"/>
        <v>#REF!</v>
      </c>
      <c r="R13" s="9"/>
      <c r="S13" s="43" t="e">
        <f>L14-P14</f>
        <v>#REF!</v>
      </c>
      <c r="T13" s="43" t="e">
        <f>M14-Q14</f>
        <v>#REF!</v>
      </c>
      <c r="V13" s="37"/>
      <c r="W13" s="37">
        <f>SUM(W1:W12)</f>
        <v>366</v>
      </c>
      <c r="X13" s="37">
        <f>SUM(W14)</f>
        <v>0</v>
      </c>
      <c r="Y13" s="34"/>
    </row>
    <row r="14" spans="1:25" s="14" customFormat="1" ht="42" customHeight="1">
      <c r="A14" s="78">
        <v>7</v>
      </c>
      <c r="B14" s="74" t="s">
        <v>31</v>
      </c>
      <c r="C14" s="145">
        <v>9</v>
      </c>
      <c r="D14" s="145">
        <v>9</v>
      </c>
      <c r="E14" s="72">
        <v>11.3</v>
      </c>
      <c r="F14" s="62" t="e">
        <f>E14+'June ANX I  '!F14</f>
        <v>#REF!</v>
      </c>
      <c r="G14" s="62">
        <v>42.1</v>
      </c>
      <c r="H14" s="62">
        <v>33.049999999999997</v>
      </c>
      <c r="I14" s="63">
        <f t="shared" si="1"/>
        <v>75.150000000000006</v>
      </c>
      <c r="J14" s="63">
        <f t="shared" si="2"/>
        <v>86.45</v>
      </c>
      <c r="K14" s="63">
        <f t="shared" si="3"/>
        <v>9.6055555555555561</v>
      </c>
      <c r="L14" s="64">
        <f t="shared" si="4"/>
        <v>98.877688172043008</v>
      </c>
      <c r="M14" s="64">
        <f t="shared" si="5"/>
        <v>98.708930704898449</v>
      </c>
      <c r="N14" s="63" t="e">
        <f>J14+'June ANX I  '!N14</f>
        <v>#REF!</v>
      </c>
      <c r="O14" s="64" t="e">
        <f t="shared" si="6"/>
        <v>#REF!</v>
      </c>
      <c r="P14" s="64" t="e">
        <f t="shared" si="7"/>
        <v>#REF!</v>
      </c>
      <c r="Q14" s="64" t="e">
        <f t="shared" si="8"/>
        <v>#REF!</v>
      </c>
      <c r="R14" s="15"/>
      <c r="S14" s="43" t="e">
        <f t="shared" si="9"/>
        <v>#REF!</v>
      </c>
      <c r="T14" s="43" t="e">
        <f t="shared" si="9"/>
        <v>#REF!</v>
      </c>
      <c r="V14" s="34"/>
      <c r="W14" s="34"/>
      <c r="X14" s="34"/>
      <c r="Y14" s="34"/>
    </row>
    <row r="15" spans="1:25" ht="27.75" hidden="1" customHeight="1" thickBot="1">
      <c r="A15" s="16"/>
      <c r="B15" s="17"/>
      <c r="C15" s="18">
        <f t="shared" ref="C15:K15" si="10">C8+C9+C10+C11+C12+C14+C14</f>
        <v>1420</v>
      </c>
      <c r="D15" s="18">
        <f t="shared" si="10"/>
        <v>1176</v>
      </c>
      <c r="E15" s="18">
        <f t="shared" si="10"/>
        <v>483.83000000000004</v>
      </c>
      <c r="F15" s="18" t="e">
        <f t="shared" si="10"/>
        <v>#REF!</v>
      </c>
      <c r="G15" s="18">
        <f>G8+G9+G10+G11+G12+G14+G14</f>
        <v>4659.2100000000009</v>
      </c>
      <c r="H15" s="18">
        <f>H8+H9+H10+H11+H12+H14+H14</f>
        <v>5414.1</v>
      </c>
      <c r="I15" s="18">
        <f t="shared" si="10"/>
        <v>10073.31</v>
      </c>
      <c r="J15" s="18">
        <f t="shared" si="10"/>
        <v>10557.140000000001</v>
      </c>
      <c r="K15" s="18">
        <f t="shared" si="10"/>
        <v>95.752747401991101</v>
      </c>
      <c r="L15" s="9">
        <f>+(((C15*24)*30)-I15)*100/((C15*24)*30)</f>
        <v>99.014738849765251</v>
      </c>
      <c r="M15" s="9">
        <f>+(((D15*24)*30)-J15)*100/((D15*24)*30)</f>
        <v>98.753172241118676</v>
      </c>
      <c r="N15" s="18" t="e">
        <f>N8+N9+N10+N11+N12+N14+N14</f>
        <v>#REF!</v>
      </c>
      <c r="O15" s="18" t="e">
        <f>O8+O9+O10+O11+O12+O14+O14</f>
        <v>#REF!</v>
      </c>
      <c r="P15" s="9" t="e">
        <f>((C15*24*30)-(N15-E15))*100/(C15*24*30)</f>
        <v>#REF!</v>
      </c>
      <c r="Q15" s="9" t="e">
        <f>((D15*24*30)-(N15))*100/(D15*24*30)</f>
        <v>#REF!</v>
      </c>
      <c r="T15" s="43" t="e">
        <f t="shared" si="9"/>
        <v>#REF!</v>
      </c>
    </row>
    <row r="16" spans="1:25" ht="27.75" hidden="1" customHeight="1">
      <c r="A16" s="839" t="s">
        <v>61</v>
      </c>
      <c r="B16" s="840"/>
      <c r="C16" s="840"/>
      <c r="D16" s="840"/>
      <c r="E16" s="840"/>
      <c r="F16" s="840"/>
      <c r="G16" s="840"/>
      <c r="H16" s="840"/>
      <c r="I16" s="840"/>
      <c r="J16" s="840"/>
      <c r="K16" s="840"/>
      <c r="L16" s="840"/>
      <c r="M16" s="840"/>
      <c r="N16" s="840"/>
      <c r="O16" s="840"/>
      <c r="P16" s="840"/>
      <c r="Q16" s="841"/>
      <c r="T16" s="43">
        <f t="shared" si="9"/>
        <v>0</v>
      </c>
    </row>
    <row r="17" spans="1:20" ht="9" hidden="1" customHeight="1" thickBot="1">
      <c r="A17" s="842"/>
      <c r="B17" s="843"/>
      <c r="C17" s="843"/>
      <c r="D17" s="843"/>
      <c r="E17" s="843"/>
      <c r="F17" s="843"/>
      <c r="G17" s="843"/>
      <c r="H17" s="843"/>
      <c r="I17" s="843"/>
      <c r="J17" s="843"/>
      <c r="K17" s="843"/>
      <c r="L17" s="843"/>
      <c r="M17" s="843"/>
      <c r="N17" s="843"/>
      <c r="O17" s="843"/>
      <c r="P17" s="843"/>
      <c r="Q17" s="844"/>
      <c r="T17" s="43">
        <f t="shared" si="9"/>
        <v>0</v>
      </c>
    </row>
    <row r="18" spans="1:20" ht="16.5" hidden="1" customHeight="1">
      <c r="A18" s="853" t="s">
        <v>62</v>
      </c>
      <c r="B18" s="854"/>
      <c r="C18" s="854"/>
      <c r="D18" s="854"/>
      <c r="E18" s="854"/>
      <c r="F18" s="854"/>
      <c r="G18" s="854"/>
      <c r="H18" s="854"/>
      <c r="I18" s="854"/>
      <c r="J18" s="854"/>
      <c r="K18" s="854"/>
      <c r="L18" s="854"/>
      <c r="M18" s="854"/>
      <c r="N18" s="854"/>
      <c r="O18" s="854"/>
      <c r="P18" s="854"/>
      <c r="Q18" s="855"/>
      <c r="T18" s="43">
        <f t="shared" si="9"/>
        <v>0</v>
      </c>
    </row>
    <row r="19" spans="1:20" ht="30.75" hidden="1" customHeight="1">
      <c r="A19" s="856"/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8"/>
      <c r="T19" s="43">
        <f t="shared" si="9"/>
        <v>0</v>
      </c>
    </row>
    <row r="20" spans="1:20" ht="23.25" hidden="1" customHeight="1" thickBot="1">
      <c r="A20" s="859"/>
      <c r="B20" s="860"/>
      <c r="C20" s="860"/>
      <c r="D20" s="860"/>
      <c r="E20" s="860"/>
      <c r="F20" s="860"/>
      <c r="G20" s="860"/>
      <c r="H20" s="860"/>
      <c r="I20" s="860"/>
      <c r="J20" s="860"/>
      <c r="K20" s="860"/>
      <c r="L20" s="860"/>
      <c r="M20" s="860"/>
      <c r="N20" s="860"/>
      <c r="O20" s="860"/>
      <c r="P20" s="860"/>
      <c r="Q20" s="861"/>
      <c r="T20" s="43">
        <f t="shared" si="9"/>
        <v>0</v>
      </c>
    </row>
    <row r="21" spans="1:20" ht="30" hidden="1" customHeight="1">
      <c r="A21" s="839" t="s">
        <v>65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1"/>
      <c r="T21" s="43">
        <f t="shared" si="9"/>
        <v>0</v>
      </c>
    </row>
    <row r="22" spans="1:20" ht="16.5" hidden="1" customHeight="1" thickBot="1">
      <c r="A22" s="842"/>
      <c r="B22" s="843"/>
      <c r="C22" s="843"/>
      <c r="D22" s="843"/>
      <c r="E22" s="843"/>
      <c r="F22" s="843"/>
      <c r="G22" s="843"/>
      <c r="H22" s="843"/>
      <c r="I22" s="843"/>
      <c r="J22" s="843"/>
      <c r="K22" s="843"/>
      <c r="L22" s="843"/>
      <c r="M22" s="843"/>
      <c r="N22" s="843"/>
      <c r="O22" s="843"/>
      <c r="P22" s="843"/>
      <c r="Q22" s="844"/>
      <c r="T22" s="43">
        <f t="shared" si="9"/>
        <v>0</v>
      </c>
    </row>
    <row r="23" spans="1:20" ht="27.75" hidden="1" customHeight="1">
      <c r="A23" s="839" t="s">
        <v>36</v>
      </c>
      <c r="B23" s="840"/>
      <c r="C23" s="840"/>
      <c r="D23" s="840"/>
      <c r="E23" s="840"/>
      <c r="F23" s="840"/>
      <c r="G23" s="840"/>
      <c r="H23" s="840"/>
      <c r="I23" s="840"/>
      <c r="J23" s="840"/>
      <c r="K23" s="840"/>
      <c r="L23" s="840"/>
      <c r="M23" s="840"/>
      <c r="N23" s="840"/>
      <c r="O23" s="840"/>
      <c r="P23" s="840"/>
      <c r="Q23" s="841"/>
      <c r="T23" s="43">
        <f t="shared" si="9"/>
        <v>0</v>
      </c>
    </row>
    <row r="24" spans="1:20" ht="27.75" hidden="1" customHeight="1" thickBot="1">
      <c r="A24" s="842"/>
      <c r="B24" s="843"/>
      <c r="C24" s="843"/>
      <c r="D24" s="843"/>
      <c r="E24" s="843"/>
      <c r="F24" s="843"/>
      <c r="G24" s="843"/>
      <c r="H24" s="843"/>
      <c r="I24" s="843"/>
      <c r="J24" s="843"/>
      <c r="K24" s="843"/>
      <c r="L24" s="843"/>
      <c r="M24" s="843"/>
      <c r="N24" s="843"/>
      <c r="O24" s="843"/>
      <c r="P24" s="843"/>
      <c r="Q24" s="844"/>
      <c r="T24" s="43">
        <f t="shared" si="9"/>
        <v>0</v>
      </c>
    </row>
    <row r="25" spans="1:20" ht="27.75" hidden="1" customHeight="1">
      <c r="A25" s="16"/>
      <c r="B25" s="17"/>
      <c r="C25" s="19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T25" s="43">
        <f t="shared" ref="T25:T55" si="11">M25-Q25</f>
        <v>0</v>
      </c>
    </row>
    <row r="26" spans="1:20" ht="27.75" hidden="1" customHeight="1">
      <c r="A26" s="16"/>
      <c r="B26" s="17"/>
      <c r="C26" s="19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T26" s="43">
        <f t="shared" si="11"/>
        <v>0</v>
      </c>
    </row>
    <row r="27" spans="1:20" ht="18" hidden="1">
      <c r="T27" s="43">
        <f t="shared" si="11"/>
        <v>0</v>
      </c>
    </row>
    <row r="28" spans="1:20" ht="33" hidden="1" customHeight="1">
      <c r="A28" s="862"/>
      <c r="B28" s="862"/>
      <c r="C28" s="862"/>
      <c r="D28" s="862"/>
      <c r="E28" s="862"/>
      <c r="F28" s="862"/>
      <c r="G28" s="862"/>
      <c r="H28" s="862"/>
      <c r="I28" s="862"/>
      <c r="J28" s="862"/>
      <c r="K28" s="862"/>
      <c r="L28" s="862"/>
      <c r="M28" s="862"/>
      <c r="N28" s="862"/>
      <c r="O28" s="862"/>
      <c r="P28" s="862"/>
      <c r="Q28" s="862"/>
      <c r="T28" s="43">
        <f t="shared" si="11"/>
        <v>0</v>
      </c>
    </row>
    <row r="29" spans="1:20" ht="19.5" hidden="1" customHeight="1">
      <c r="A29" s="863"/>
      <c r="B29" s="863"/>
      <c r="C29" s="863"/>
      <c r="D29" s="863"/>
      <c r="E29" s="863"/>
      <c r="F29" s="863"/>
      <c r="G29" s="863"/>
      <c r="H29" s="863"/>
      <c r="I29" s="863"/>
      <c r="J29" s="863"/>
      <c r="K29" s="863"/>
      <c r="L29" s="863"/>
      <c r="M29" s="863"/>
      <c r="N29" s="863"/>
      <c r="O29" s="863"/>
      <c r="P29" s="863"/>
      <c r="Q29" s="863"/>
      <c r="T29" s="43">
        <f t="shared" si="11"/>
        <v>0</v>
      </c>
    </row>
    <row r="30" spans="1:20" ht="33" hidden="1" customHeight="1">
      <c r="A30" s="862">
        <f>669/7</f>
        <v>95.571428571428569</v>
      </c>
      <c r="B30" s="862"/>
      <c r="C30" s="862"/>
      <c r="D30" s="862"/>
      <c r="E30" s="862"/>
      <c r="F30" s="862"/>
      <c r="G30" s="862"/>
      <c r="H30" s="862"/>
      <c r="I30" s="862"/>
      <c r="J30" s="862"/>
      <c r="K30" s="862"/>
      <c r="L30" s="862"/>
      <c r="M30" s="862"/>
      <c r="N30" s="862"/>
      <c r="O30" s="862"/>
      <c r="P30" s="862"/>
      <c r="Q30" s="862"/>
      <c r="T30" s="43">
        <f t="shared" si="11"/>
        <v>0</v>
      </c>
    </row>
    <row r="31" spans="1:20" ht="24.75" hidden="1" customHeight="1">
      <c r="P31" s="21" t="e">
        <f>P15+#REF!+#REF!</f>
        <v>#REF!</v>
      </c>
      <c r="Q31" s="21" t="e">
        <f>Q15+#REF!+#REF!</f>
        <v>#REF!</v>
      </c>
      <c r="R31" s="21" t="e">
        <f>R15+#REF!+#REF!</f>
        <v>#REF!</v>
      </c>
      <c r="T31" s="43" t="e">
        <f t="shared" si="11"/>
        <v>#REF!</v>
      </c>
    </row>
    <row r="32" spans="1:20" ht="24.75" hidden="1" customHeight="1">
      <c r="P32" s="21" t="e">
        <f>P31/3</f>
        <v>#REF!</v>
      </c>
      <c r="Q32" s="21" t="e">
        <f>Q31/3</f>
        <v>#REF!</v>
      </c>
      <c r="T32" s="43" t="e">
        <f t="shared" si="11"/>
        <v>#REF!</v>
      </c>
    </row>
    <row r="33" spans="14:20" ht="24.75" hidden="1" customHeight="1">
      <c r="P33" s="21"/>
      <c r="Q33" s="21"/>
      <c r="T33" s="43">
        <f t="shared" si="11"/>
        <v>0</v>
      </c>
    </row>
    <row r="34" spans="14:20" ht="24.75" hidden="1" customHeight="1">
      <c r="P34" s="22" t="e">
        <f>P14+P11</f>
        <v>#REF!</v>
      </c>
      <c r="Q34" s="22" t="e">
        <f>Q14+Q11</f>
        <v>#REF!</v>
      </c>
      <c r="T34" s="43" t="e">
        <f t="shared" si="11"/>
        <v>#REF!</v>
      </c>
    </row>
    <row r="35" spans="14:20" ht="20.25" hidden="1" customHeight="1">
      <c r="P35" s="22" t="e">
        <f>P34/2</f>
        <v>#REF!</v>
      </c>
      <c r="Q35" s="22" t="e">
        <f>Q34/2</f>
        <v>#REF!</v>
      </c>
      <c r="T35" s="43" t="e">
        <f t="shared" si="11"/>
        <v>#REF!</v>
      </c>
    </row>
    <row r="36" spans="14:20" ht="18" hidden="1">
      <c r="T36" s="43">
        <f t="shared" si="11"/>
        <v>0</v>
      </c>
    </row>
    <row r="37" spans="14:20" ht="18" hidden="1">
      <c r="T37" s="43">
        <f t="shared" si="11"/>
        <v>0</v>
      </c>
    </row>
    <row r="38" spans="14:20" ht="18" hidden="1">
      <c r="N38" s="23"/>
      <c r="O38" s="23"/>
      <c r="P38" s="24"/>
      <c r="Q38" s="24"/>
      <c r="R38" s="21"/>
      <c r="T38" s="43">
        <f t="shared" si="11"/>
        <v>0</v>
      </c>
    </row>
    <row r="39" spans="14:20" ht="18" hidden="1">
      <c r="N39" s="23"/>
      <c r="O39" s="23"/>
      <c r="P39" s="23"/>
      <c r="Q39" s="23"/>
      <c r="T39" s="43">
        <f t="shared" si="11"/>
        <v>0</v>
      </c>
    </row>
    <row r="40" spans="14:20" ht="18" hidden="1">
      <c r="N40" s="23"/>
      <c r="O40" s="23"/>
      <c r="P40" s="23"/>
      <c r="Q40" s="23"/>
      <c r="T40" s="43">
        <f t="shared" si="11"/>
        <v>0</v>
      </c>
    </row>
    <row r="41" spans="14:20" ht="18" hidden="1">
      <c r="N41" s="23"/>
      <c r="O41" s="23"/>
      <c r="P41" s="23"/>
      <c r="Q41" s="23"/>
      <c r="T41" s="43">
        <f t="shared" si="11"/>
        <v>0</v>
      </c>
    </row>
    <row r="42" spans="14:20" ht="18" hidden="1">
      <c r="N42" s="23"/>
      <c r="O42" s="23"/>
      <c r="P42" s="23"/>
      <c r="Q42" s="23"/>
      <c r="T42" s="43">
        <f t="shared" si="11"/>
        <v>0</v>
      </c>
    </row>
    <row r="43" spans="14:20" ht="18" hidden="1">
      <c r="N43" s="23"/>
      <c r="O43" s="23"/>
      <c r="P43" s="23"/>
      <c r="Q43" s="23"/>
      <c r="T43" s="43">
        <f t="shared" si="11"/>
        <v>0</v>
      </c>
    </row>
    <row r="44" spans="14:20" ht="18" hidden="1">
      <c r="N44" s="23"/>
      <c r="O44" s="23"/>
      <c r="P44" s="23"/>
      <c r="Q44" s="23"/>
      <c r="T44" s="43">
        <f t="shared" si="11"/>
        <v>0</v>
      </c>
    </row>
    <row r="45" spans="14:20" s="25" customFormat="1" ht="18" hidden="1">
      <c r="T45" s="43">
        <f t="shared" si="11"/>
        <v>0</v>
      </c>
    </row>
    <row r="46" spans="14:20" s="25" customFormat="1" ht="18" hidden="1">
      <c r="P46" s="26"/>
      <c r="Q46" s="26"/>
      <c r="T46" s="43">
        <f t="shared" si="11"/>
        <v>0</v>
      </c>
    </row>
    <row r="47" spans="14:20" s="25" customFormat="1" ht="18" hidden="1">
      <c r="P47" s="26"/>
      <c r="Q47" s="26"/>
      <c r="T47" s="43">
        <f t="shared" si="11"/>
        <v>0</v>
      </c>
    </row>
    <row r="48" spans="14:20" s="25" customFormat="1" ht="18" hidden="1">
      <c r="P48" s="26" t="e">
        <f>P10+P12</f>
        <v>#REF!</v>
      </c>
      <c r="Q48" s="26" t="e">
        <f>Q10+Q12</f>
        <v>#REF!</v>
      </c>
      <c r="T48" s="43" t="e">
        <f t="shared" si="11"/>
        <v>#REF!</v>
      </c>
    </row>
    <row r="49" spans="2:20" s="25" customFormat="1" ht="18" hidden="1">
      <c r="P49" s="25" t="e">
        <f>P48/2</f>
        <v>#REF!</v>
      </c>
      <c r="Q49" s="25" t="e">
        <f>Q48/2</f>
        <v>#REF!</v>
      </c>
      <c r="T49" s="43" t="e">
        <f t="shared" si="11"/>
        <v>#REF!</v>
      </c>
    </row>
    <row r="50" spans="2:20" s="25" customFormat="1" ht="18" hidden="1">
      <c r="T50" s="43">
        <f t="shared" si="11"/>
        <v>0</v>
      </c>
    </row>
    <row r="51" spans="2:20" s="25" customFormat="1" ht="18" hidden="1">
      <c r="T51" s="43">
        <f t="shared" si="11"/>
        <v>0</v>
      </c>
    </row>
    <row r="52" spans="2:20" ht="18" hidden="1">
      <c r="T52" s="43">
        <f t="shared" si="11"/>
        <v>0</v>
      </c>
    </row>
    <row r="53" spans="2:20" ht="18" hidden="1">
      <c r="T53" s="43">
        <f t="shared" si="11"/>
        <v>0</v>
      </c>
    </row>
    <row r="54" spans="2:20" ht="18" hidden="1">
      <c r="T54" s="43">
        <f t="shared" si="11"/>
        <v>0</v>
      </c>
    </row>
    <row r="55" spans="2:20" ht="18" hidden="1">
      <c r="T55" s="43">
        <f t="shared" si="11"/>
        <v>0</v>
      </c>
    </row>
    <row r="57" spans="2:20">
      <c r="C57" s="144"/>
    </row>
    <row r="58" spans="2:20" ht="48.75" customHeight="1">
      <c r="C58" s="144"/>
      <c r="L58" s="21">
        <f>(L8+L9+L10+L11+L12+L13+L14)/7</f>
        <v>98.154826264514085</v>
      </c>
      <c r="M58" s="21"/>
    </row>
    <row r="59" spans="2:20" ht="18.75" customHeight="1">
      <c r="B59" s="819" t="s">
        <v>67</v>
      </c>
      <c r="C59" s="819"/>
      <c r="D59" s="819"/>
      <c r="E59" s="819"/>
      <c r="F59" s="819"/>
      <c r="G59" s="118"/>
      <c r="H59" s="118"/>
      <c r="I59" s="119"/>
      <c r="J59" s="119"/>
      <c r="K59" s="119"/>
      <c r="L59" s="120"/>
      <c r="M59" s="120"/>
      <c r="N59" s="102"/>
      <c r="O59" s="864" t="s">
        <v>68</v>
      </c>
      <c r="P59" s="864"/>
      <c r="Q59" s="864"/>
      <c r="R59" s="864"/>
    </row>
    <row r="60" spans="2:20" ht="18.75" customHeight="1">
      <c r="B60" s="819" t="s">
        <v>69</v>
      </c>
      <c r="C60" s="819"/>
      <c r="D60" s="819"/>
      <c r="E60" s="819"/>
      <c r="F60" s="819"/>
      <c r="G60" s="118"/>
      <c r="H60" s="118"/>
      <c r="I60" s="119"/>
      <c r="J60" s="119"/>
      <c r="K60" s="119"/>
      <c r="L60" s="120"/>
      <c r="M60" s="120"/>
      <c r="N60" s="102"/>
      <c r="O60" s="864" t="s">
        <v>87</v>
      </c>
      <c r="P60" s="864"/>
      <c r="Q60" s="864"/>
      <c r="R60" s="864"/>
    </row>
    <row r="61" spans="2:20" ht="18.75">
      <c r="B61" s="121"/>
      <c r="C61" s="122"/>
      <c r="D61" s="122"/>
      <c r="E61" s="118"/>
      <c r="F61" s="123"/>
      <c r="G61" s="102"/>
      <c r="H61" s="820" t="s">
        <v>70</v>
      </c>
      <c r="I61" s="820"/>
      <c r="J61" s="820"/>
      <c r="K61" s="820"/>
      <c r="L61" s="120"/>
      <c r="M61" s="120"/>
      <c r="N61" s="119"/>
      <c r="O61" s="120"/>
      <c r="P61" s="120"/>
      <c r="Q61" s="120"/>
      <c r="R61" s="84"/>
    </row>
    <row r="62" spans="2:20" ht="18.75">
      <c r="B62" s="121"/>
      <c r="C62" s="122"/>
      <c r="D62" s="122"/>
      <c r="E62" s="118"/>
      <c r="F62" s="123"/>
      <c r="G62" s="102"/>
      <c r="H62" s="820" t="s">
        <v>71</v>
      </c>
      <c r="I62" s="820"/>
      <c r="J62" s="820"/>
      <c r="K62" s="820"/>
      <c r="L62" s="120"/>
      <c r="M62" s="120"/>
      <c r="N62" s="119"/>
      <c r="O62" s="84"/>
      <c r="P62" s="84"/>
      <c r="Q62" s="84"/>
      <c r="R62" s="84"/>
    </row>
    <row r="69" spans="10:10">
      <c r="J69" s="174">
        <f>686.1</f>
        <v>686.1</v>
      </c>
    </row>
    <row r="70" spans="10:10">
      <c r="J70" s="2">
        <f>J69/7</f>
        <v>98.01428571428572</v>
      </c>
    </row>
  </sheetData>
  <mergeCells count="25">
    <mergeCell ref="H61:K61"/>
    <mergeCell ref="H62:K62"/>
    <mergeCell ref="A28:Q28"/>
    <mergeCell ref="A29:Q29"/>
    <mergeCell ref="A30:Q30"/>
    <mergeCell ref="B59:F59"/>
    <mergeCell ref="O59:R59"/>
    <mergeCell ref="B60:F60"/>
    <mergeCell ref="O60:R60"/>
    <mergeCell ref="A23:Q24"/>
    <mergeCell ref="A1:Q1"/>
    <mergeCell ref="A2:Q2"/>
    <mergeCell ref="A3:Q3"/>
    <mergeCell ref="A5:A6"/>
    <mergeCell ref="B5:B6"/>
    <mergeCell ref="C5:C6"/>
    <mergeCell ref="D5:D6"/>
    <mergeCell ref="E5:E6"/>
    <mergeCell ref="F5:F6"/>
    <mergeCell ref="G5:I5"/>
    <mergeCell ref="J5:M5"/>
    <mergeCell ref="N5:Q5"/>
    <mergeCell ref="A16:Q17"/>
    <mergeCell ref="A18:Q20"/>
    <mergeCell ref="A21:Q22"/>
  </mergeCells>
  <printOptions horizontalCentered="1"/>
  <pageMargins left="0" right="0" top="0.25" bottom="0" header="0.19" footer="0.5"/>
  <pageSetup paperSize="9" scale="6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view="pageBreakPreview" topLeftCell="A7" zoomScale="60" workbookViewId="0">
      <selection activeCell="I34" activeCellId="1" sqref="I34 L36"/>
    </sheetView>
  </sheetViews>
  <sheetFormatPr defaultRowHeight="12.75"/>
  <cols>
    <col min="1" max="1" width="7.140625" style="146" customWidth="1"/>
    <col min="2" max="2" width="24.140625" style="146" customWidth="1"/>
    <col min="3" max="3" width="8.5703125" style="146" customWidth="1"/>
    <col min="4" max="4" width="7.42578125" style="146" customWidth="1"/>
    <col min="5" max="5" width="9" style="146" customWidth="1"/>
    <col min="6" max="6" width="11.42578125" style="146" customWidth="1"/>
    <col min="7" max="7" width="12.7109375" style="146" customWidth="1"/>
    <col min="8" max="8" width="17" style="146" customWidth="1"/>
    <col min="9" max="9" width="17.7109375" style="146" customWidth="1"/>
    <col min="10" max="10" width="13.28515625" style="146" customWidth="1"/>
    <col min="11" max="11" width="14" style="146" customWidth="1"/>
    <col min="12" max="12" width="9.7109375" style="146" customWidth="1"/>
    <col min="13" max="13" width="10.7109375" style="146" customWidth="1"/>
    <col min="14" max="14" width="12.85546875" style="146" customWidth="1"/>
    <col min="15" max="15" width="11.85546875" style="146" customWidth="1"/>
    <col min="16" max="16" width="13.85546875" style="146" customWidth="1"/>
    <col min="17" max="17" width="11.7109375" style="146" customWidth="1"/>
    <col min="18" max="18" width="21" style="146" hidden="1" customWidth="1"/>
    <col min="19" max="16384" width="9.140625" style="146"/>
  </cols>
  <sheetData>
    <row r="1" spans="1:20" hidden="1"/>
    <row r="2" spans="1:20" ht="9.75" hidden="1" customHeight="1"/>
    <row r="3" spans="1:20" ht="9.75" hidden="1" customHeight="1"/>
    <row r="4" spans="1:20" ht="9.75" hidden="1" customHeight="1"/>
    <row r="5" spans="1:20" ht="7.5" hidden="1" customHeight="1"/>
    <row r="6" spans="1:20" ht="35.25" customHeight="1">
      <c r="A6" s="824" t="s">
        <v>0</v>
      </c>
      <c r="B6" s="824"/>
      <c r="C6" s="824"/>
      <c r="D6" s="824"/>
      <c r="E6" s="824"/>
      <c r="F6" s="824"/>
      <c r="G6" s="824"/>
      <c r="H6" s="824"/>
      <c r="I6" s="824"/>
      <c r="J6" s="824"/>
      <c r="K6" s="824"/>
      <c r="L6" s="824"/>
      <c r="M6" s="824"/>
      <c r="N6" s="824"/>
      <c r="O6" s="824"/>
      <c r="P6" s="824"/>
      <c r="Q6" s="824"/>
    </row>
    <row r="7" spans="1:20" ht="16.5" customHeight="1">
      <c r="A7" s="835" t="s">
        <v>37</v>
      </c>
      <c r="B7" s="835"/>
      <c r="C7" s="835"/>
      <c r="D7" s="835"/>
      <c r="E7" s="835"/>
      <c r="F7" s="835"/>
      <c r="G7" s="835"/>
      <c r="H7" s="835"/>
      <c r="I7" s="835"/>
      <c r="J7" s="835"/>
      <c r="K7" s="835"/>
      <c r="L7" s="835"/>
      <c r="M7" s="835"/>
      <c r="N7" s="835"/>
      <c r="O7" s="835"/>
      <c r="P7" s="835"/>
      <c r="Q7" s="835"/>
    </row>
    <row r="8" spans="1:20" s="2" customFormat="1" ht="18.75" customHeight="1">
      <c r="A8" s="826" t="s">
        <v>108</v>
      </c>
      <c r="B8" s="826"/>
      <c r="C8" s="826"/>
      <c r="D8" s="826"/>
      <c r="E8" s="826"/>
      <c r="F8" s="826"/>
      <c r="G8" s="826"/>
      <c r="H8" s="826"/>
      <c r="I8" s="826"/>
      <c r="J8" s="826"/>
      <c r="K8" s="826"/>
      <c r="L8" s="826"/>
      <c r="M8" s="826"/>
      <c r="N8" s="826"/>
      <c r="O8" s="826"/>
      <c r="P8" s="826"/>
      <c r="Q8" s="826"/>
    </row>
    <row r="9" spans="1:20" s="2" customFormat="1" ht="12" hidden="1" customHeight="1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</row>
    <row r="10" spans="1:20" ht="12" customHeight="1">
      <c r="A10" s="836"/>
      <c r="B10" s="836"/>
      <c r="C10" s="836"/>
      <c r="D10" s="836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20" s="3" customFormat="1" ht="14.25" customHeight="1">
      <c r="A11" s="821" t="s">
        <v>2</v>
      </c>
      <c r="B11" s="837" t="s">
        <v>38</v>
      </c>
      <c r="C11" s="821" t="s">
        <v>4</v>
      </c>
      <c r="D11" s="821" t="s">
        <v>5</v>
      </c>
      <c r="E11" s="821" t="s">
        <v>6</v>
      </c>
      <c r="F11" s="821" t="s">
        <v>7</v>
      </c>
      <c r="G11" s="845" t="s">
        <v>39</v>
      </c>
      <c r="H11" s="845"/>
      <c r="I11" s="845"/>
      <c r="J11" s="845" t="s">
        <v>107</v>
      </c>
      <c r="K11" s="845"/>
      <c r="L11" s="845"/>
      <c r="M11" s="845"/>
      <c r="N11" s="845" t="s">
        <v>84</v>
      </c>
      <c r="O11" s="845"/>
      <c r="P11" s="845"/>
      <c r="Q11" s="845"/>
    </row>
    <row r="12" spans="1:20" s="3" customFormat="1" ht="117.75" customHeight="1">
      <c r="A12" s="821"/>
      <c r="B12" s="838"/>
      <c r="C12" s="821"/>
      <c r="D12" s="821"/>
      <c r="E12" s="821"/>
      <c r="F12" s="821"/>
      <c r="G12" s="75" t="s">
        <v>9</v>
      </c>
      <c r="H12" s="75" t="s">
        <v>10</v>
      </c>
      <c r="I12" s="75" t="s">
        <v>11</v>
      </c>
      <c r="J12" s="75" t="s">
        <v>12</v>
      </c>
      <c r="K12" s="75" t="s">
        <v>13</v>
      </c>
      <c r="L12" s="75" t="s">
        <v>78</v>
      </c>
      <c r="M12" s="75" t="s">
        <v>14</v>
      </c>
      <c r="N12" s="75" t="s">
        <v>15</v>
      </c>
      <c r="O12" s="75" t="s">
        <v>16</v>
      </c>
      <c r="P12" s="75" t="s">
        <v>17</v>
      </c>
      <c r="Q12" s="75" t="s">
        <v>18</v>
      </c>
    </row>
    <row r="13" spans="1:20" ht="14.25" customHeight="1">
      <c r="A13" s="147">
        <v>1</v>
      </c>
      <c r="B13" s="147" t="s">
        <v>40</v>
      </c>
      <c r="C13" s="147">
        <v>3</v>
      </c>
      <c r="D13" s="147">
        <v>4</v>
      </c>
      <c r="E13" s="147">
        <v>5</v>
      </c>
      <c r="F13" s="147" t="s">
        <v>19</v>
      </c>
      <c r="G13" s="147">
        <v>6</v>
      </c>
      <c r="H13" s="147">
        <v>7</v>
      </c>
      <c r="I13" s="147" t="s">
        <v>20</v>
      </c>
      <c r="J13" s="147" t="s">
        <v>21</v>
      </c>
      <c r="K13" s="148" t="s">
        <v>22</v>
      </c>
      <c r="L13" s="147" t="s">
        <v>23</v>
      </c>
      <c r="M13" s="147" t="s">
        <v>24</v>
      </c>
      <c r="N13" s="147">
        <v>13</v>
      </c>
      <c r="O13" s="147" t="s">
        <v>25</v>
      </c>
      <c r="P13" s="147">
        <v>15</v>
      </c>
      <c r="Q13" s="147">
        <v>16</v>
      </c>
    </row>
    <row r="14" spans="1:20" s="155" customFormat="1" ht="24.95" customHeight="1">
      <c r="A14" s="149">
        <v>1</v>
      </c>
      <c r="B14" s="150" t="s">
        <v>41</v>
      </c>
      <c r="C14" s="151">
        <v>1</v>
      </c>
      <c r="D14" s="151">
        <v>1</v>
      </c>
      <c r="E14" s="152">
        <v>2.15</v>
      </c>
      <c r="F14" s="152" t="e">
        <f>E14+'June ANXII'!F14</f>
        <v>#REF!</v>
      </c>
      <c r="G14" s="152">
        <v>15.3</v>
      </c>
      <c r="H14" s="152">
        <v>2.2999999999999998</v>
      </c>
      <c r="I14" s="152">
        <f>G14+H14</f>
        <v>17.600000000000001</v>
      </c>
      <c r="J14" s="152">
        <f>E14+I14</f>
        <v>19.75</v>
      </c>
      <c r="K14" s="152">
        <f>J14/C14</f>
        <v>19.75</v>
      </c>
      <c r="L14" s="153">
        <f>+(((C14*24)*31)-I14)*100/((C14*24)*31)</f>
        <v>97.634408602150543</v>
      </c>
      <c r="M14" s="153">
        <f>+(((C14*24)*31)-J14)*100/((C14*24)*31)</f>
        <v>97.34543010752688</v>
      </c>
      <c r="N14" s="152" t="e">
        <f>J14+'June ANXII'!N14</f>
        <v>#REF!</v>
      </c>
      <c r="O14" s="153" t="e">
        <f>N14/C14</f>
        <v>#REF!</v>
      </c>
      <c r="P14" s="153" t="e">
        <f>((C14*24*122)-(N14-E14))*100/(C14*24*122)</f>
        <v>#REF!</v>
      </c>
      <c r="Q14" s="153" t="e">
        <f>((C14*24*122)-(N14))*100/(C14*24*122)</f>
        <v>#REF!</v>
      </c>
      <c r="R14" s="154"/>
      <c r="S14" s="154" t="e">
        <f>L14-P14</f>
        <v>#REF!</v>
      </c>
      <c r="T14" s="154" t="e">
        <f>M14-Q14</f>
        <v>#REF!</v>
      </c>
    </row>
    <row r="15" spans="1:20" s="155" customFormat="1" ht="24.95" customHeight="1">
      <c r="A15" s="149">
        <v>2</v>
      </c>
      <c r="B15" s="150" t="s">
        <v>42</v>
      </c>
      <c r="C15" s="151">
        <v>1</v>
      </c>
      <c r="D15" s="151">
        <v>1</v>
      </c>
      <c r="E15" s="152">
        <v>0</v>
      </c>
      <c r="F15" s="152" t="e">
        <f>E15+'June ANXII'!F15</f>
        <v>#REF!</v>
      </c>
      <c r="G15" s="152">
        <v>20.2</v>
      </c>
      <c r="H15" s="152">
        <v>0.5</v>
      </c>
      <c r="I15" s="152">
        <f t="shared" ref="I15:I39" si="0">G15+H15</f>
        <v>20.7</v>
      </c>
      <c r="J15" s="152">
        <f t="shared" ref="J15:J39" si="1">E15+I15</f>
        <v>20.7</v>
      </c>
      <c r="K15" s="152">
        <f t="shared" ref="K15:K39" si="2">J15/C15</f>
        <v>20.7</v>
      </c>
      <c r="L15" s="153">
        <f t="shared" ref="L15:L39" si="3">+(((C15*24)*31)-I15)*100/((C15*24)*31)</f>
        <v>97.217741935483872</v>
      </c>
      <c r="M15" s="153">
        <f t="shared" ref="M15:M39" si="4">+(((C15*24)*31)-J15)*100/((C15*24)*31)</f>
        <v>97.217741935483872</v>
      </c>
      <c r="N15" s="152" t="e">
        <f>J15+'June ANXII'!N15</f>
        <v>#REF!</v>
      </c>
      <c r="O15" s="153" t="e">
        <f t="shared" ref="O15:O39" si="5">N15/C15</f>
        <v>#REF!</v>
      </c>
      <c r="P15" s="153" t="e">
        <f t="shared" ref="P15:P39" si="6">((C15*24*122)-(N15-E15))*100/(C15*24*122)</f>
        <v>#REF!</v>
      </c>
      <c r="Q15" s="153" t="e">
        <f t="shared" ref="Q15:Q39" si="7">((C15*24*122)-(N15))*100/(C15*24*122)</f>
        <v>#REF!</v>
      </c>
      <c r="R15" s="154"/>
      <c r="S15" s="154" t="e">
        <f t="shared" ref="S15:T39" si="8">L15-P15</f>
        <v>#REF!</v>
      </c>
      <c r="T15" s="154" t="e">
        <f t="shared" si="8"/>
        <v>#REF!</v>
      </c>
    </row>
    <row r="16" spans="1:20" s="155" customFormat="1" ht="24.95" customHeight="1">
      <c r="A16" s="149">
        <v>3</v>
      </c>
      <c r="B16" s="150" t="s">
        <v>43</v>
      </c>
      <c r="C16" s="151">
        <v>11</v>
      </c>
      <c r="D16" s="151">
        <v>11</v>
      </c>
      <c r="E16" s="152">
        <v>5.4</v>
      </c>
      <c r="F16" s="152" t="e">
        <f>E16+'June ANXII'!F16</f>
        <v>#REF!</v>
      </c>
      <c r="G16" s="152">
        <v>50.32</v>
      </c>
      <c r="H16" s="152">
        <v>22.2</v>
      </c>
      <c r="I16" s="152">
        <f t="shared" si="0"/>
        <v>72.52</v>
      </c>
      <c r="J16" s="152">
        <f t="shared" si="1"/>
        <v>77.92</v>
      </c>
      <c r="K16" s="152">
        <f t="shared" si="2"/>
        <v>7.083636363636364</v>
      </c>
      <c r="L16" s="153">
        <f t="shared" si="3"/>
        <v>99.113880742912997</v>
      </c>
      <c r="M16" s="153">
        <f t="shared" si="4"/>
        <v>99.047898338220918</v>
      </c>
      <c r="N16" s="152" t="e">
        <f>J16+'June ANXII'!N16</f>
        <v>#REF!</v>
      </c>
      <c r="O16" s="153" t="e">
        <f t="shared" si="5"/>
        <v>#REF!</v>
      </c>
      <c r="P16" s="153" t="e">
        <f t="shared" si="6"/>
        <v>#REF!</v>
      </c>
      <c r="Q16" s="153" t="e">
        <f t="shared" si="7"/>
        <v>#REF!</v>
      </c>
      <c r="R16" s="154"/>
      <c r="S16" s="154" t="e">
        <f t="shared" si="8"/>
        <v>#REF!</v>
      </c>
      <c r="T16" s="154" t="e">
        <f t="shared" si="8"/>
        <v>#REF!</v>
      </c>
    </row>
    <row r="17" spans="1:20" s="155" customFormat="1" ht="24.95" customHeight="1">
      <c r="A17" s="149">
        <v>4</v>
      </c>
      <c r="B17" s="150" t="s">
        <v>73</v>
      </c>
      <c r="C17" s="151">
        <v>2</v>
      </c>
      <c r="D17" s="151">
        <v>2</v>
      </c>
      <c r="E17" s="152">
        <v>5.4</v>
      </c>
      <c r="F17" s="152" t="e">
        <f>E17+'June ANXII'!F17</f>
        <v>#REF!</v>
      </c>
      <c r="G17" s="152">
        <v>73.349999999999994</v>
      </c>
      <c r="H17" s="152">
        <v>15</v>
      </c>
      <c r="I17" s="152">
        <f t="shared" si="0"/>
        <v>88.35</v>
      </c>
      <c r="J17" s="152">
        <f t="shared" si="1"/>
        <v>93.75</v>
      </c>
      <c r="K17" s="152">
        <f t="shared" si="2"/>
        <v>46.875</v>
      </c>
      <c r="L17" s="153">
        <f t="shared" si="3"/>
        <v>94.0625</v>
      </c>
      <c r="M17" s="153">
        <f t="shared" si="4"/>
        <v>93.699596774193552</v>
      </c>
      <c r="N17" s="152" t="e">
        <f>J17+'June ANXII'!N17</f>
        <v>#REF!</v>
      </c>
      <c r="O17" s="153" t="e">
        <f t="shared" si="5"/>
        <v>#REF!</v>
      </c>
      <c r="P17" s="153" t="e">
        <f t="shared" si="6"/>
        <v>#REF!</v>
      </c>
      <c r="Q17" s="153" t="e">
        <f t="shared" si="7"/>
        <v>#REF!</v>
      </c>
      <c r="R17" s="154"/>
      <c r="S17" s="154" t="e">
        <f>L17-P17</f>
        <v>#REF!</v>
      </c>
      <c r="T17" s="154" t="e">
        <f>M17-Q17</f>
        <v>#REF!</v>
      </c>
    </row>
    <row r="18" spans="1:20" s="155" customFormat="1" ht="24.95" customHeight="1">
      <c r="A18" s="149">
        <v>5</v>
      </c>
      <c r="B18" s="150" t="s">
        <v>79</v>
      </c>
      <c r="C18" s="151">
        <v>4</v>
      </c>
      <c r="D18" s="151">
        <v>4</v>
      </c>
      <c r="E18" s="152">
        <v>2.5</v>
      </c>
      <c r="F18" s="152" t="e">
        <f>E18+'June ANXII'!F18</f>
        <v>#REF!</v>
      </c>
      <c r="G18" s="152">
        <v>25.3</v>
      </c>
      <c r="H18" s="152">
        <v>3.3</v>
      </c>
      <c r="I18" s="152">
        <f t="shared" si="0"/>
        <v>28.6</v>
      </c>
      <c r="J18" s="152">
        <f t="shared" si="1"/>
        <v>31.1</v>
      </c>
      <c r="K18" s="152">
        <f t="shared" si="2"/>
        <v>7.7750000000000004</v>
      </c>
      <c r="L18" s="153">
        <f t="shared" si="3"/>
        <v>99.038978494623649</v>
      </c>
      <c r="M18" s="153">
        <f t="shared" si="4"/>
        <v>98.954973118279568</v>
      </c>
      <c r="N18" s="152" t="e">
        <f>J18+'June ANXII'!N18</f>
        <v>#REF!</v>
      </c>
      <c r="O18" s="153" t="e">
        <f t="shared" si="5"/>
        <v>#REF!</v>
      </c>
      <c r="P18" s="153" t="e">
        <f t="shared" si="6"/>
        <v>#REF!</v>
      </c>
      <c r="Q18" s="153" t="e">
        <f t="shared" si="7"/>
        <v>#REF!</v>
      </c>
      <c r="R18" s="154"/>
      <c r="S18" s="154" t="e">
        <f>L18-P18</f>
        <v>#REF!</v>
      </c>
      <c r="T18" s="154" t="e">
        <f>M18-Q18</f>
        <v>#REF!</v>
      </c>
    </row>
    <row r="19" spans="1:20" s="155" customFormat="1" ht="24.95" customHeight="1">
      <c r="A19" s="149">
        <v>6</v>
      </c>
      <c r="B19" s="150" t="s">
        <v>80</v>
      </c>
      <c r="C19" s="151">
        <v>1</v>
      </c>
      <c r="D19" s="151">
        <v>1</v>
      </c>
      <c r="E19" s="152">
        <v>4.5</v>
      </c>
      <c r="F19" s="152" t="e">
        <f>E19+'June ANXII'!F19</f>
        <v>#REF!</v>
      </c>
      <c r="G19" s="152">
        <v>20.53</v>
      </c>
      <c r="H19" s="152">
        <v>12.17</v>
      </c>
      <c r="I19" s="152">
        <f t="shared" si="0"/>
        <v>32.700000000000003</v>
      </c>
      <c r="J19" s="152">
        <f t="shared" si="1"/>
        <v>37.200000000000003</v>
      </c>
      <c r="K19" s="152">
        <f t="shared" si="2"/>
        <v>37.200000000000003</v>
      </c>
      <c r="L19" s="153">
        <f t="shared" si="3"/>
        <v>95.604838709677423</v>
      </c>
      <c r="M19" s="153">
        <f t="shared" si="4"/>
        <v>95</v>
      </c>
      <c r="N19" s="152" t="e">
        <f>J19+'June ANXII'!N19</f>
        <v>#REF!</v>
      </c>
      <c r="O19" s="153" t="e">
        <f t="shared" si="5"/>
        <v>#REF!</v>
      </c>
      <c r="P19" s="153" t="e">
        <f t="shared" si="6"/>
        <v>#REF!</v>
      </c>
      <c r="Q19" s="153" t="e">
        <f t="shared" si="7"/>
        <v>#REF!</v>
      </c>
      <c r="R19" s="154"/>
      <c r="S19" s="154" t="e">
        <f t="shared" si="8"/>
        <v>#REF!</v>
      </c>
      <c r="T19" s="154" t="e">
        <f t="shared" si="8"/>
        <v>#REF!</v>
      </c>
    </row>
    <row r="20" spans="1:20" s="155" customFormat="1" ht="24.95" customHeight="1">
      <c r="A20" s="149">
        <v>7</v>
      </c>
      <c r="B20" s="150" t="s">
        <v>74</v>
      </c>
      <c r="C20" s="151">
        <v>2</v>
      </c>
      <c r="D20" s="151">
        <v>2</v>
      </c>
      <c r="E20" s="152">
        <v>6.5</v>
      </c>
      <c r="F20" s="152" t="e">
        <f>E20+'June ANXII'!F20</f>
        <v>#REF!</v>
      </c>
      <c r="G20" s="152">
        <v>44.85</v>
      </c>
      <c r="H20" s="152">
        <v>36.770000000000003</v>
      </c>
      <c r="I20" s="152">
        <f t="shared" si="0"/>
        <v>81.62</v>
      </c>
      <c r="J20" s="152">
        <f t="shared" si="1"/>
        <v>88.12</v>
      </c>
      <c r="K20" s="152">
        <f t="shared" si="2"/>
        <v>44.06</v>
      </c>
      <c r="L20" s="153">
        <f t="shared" si="3"/>
        <v>94.51478494623656</v>
      </c>
      <c r="M20" s="153">
        <f t="shared" si="4"/>
        <v>94.077956989247312</v>
      </c>
      <c r="N20" s="152" t="e">
        <f>J20+'June ANXII'!N20</f>
        <v>#REF!</v>
      </c>
      <c r="O20" s="153" t="e">
        <f t="shared" si="5"/>
        <v>#REF!</v>
      </c>
      <c r="P20" s="153" t="e">
        <f t="shared" si="6"/>
        <v>#REF!</v>
      </c>
      <c r="Q20" s="153" t="e">
        <f t="shared" si="7"/>
        <v>#REF!</v>
      </c>
      <c r="R20" s="154"/>
      <c r="S20" s="154" t="e">
        <f t="shared" si="8"/>
        <v>#REF!</v>
      </c>
      <c r="T20" s="154" t="e">
        <f t="shared" si="8"/>
        <v>#REF!</v>
      </c>
    </row>
    <row r="21" spans="1:20" s="155" customFormat="1" ht="24.95" customHeight="1">
      <c r="A21" s="149">
        <v>8</v>
      </c>
      <c r="B21" s="150" t="s">
        <v>44</v>
      </c>
      <c r="C21" s="151">
        <v>3</v>
      </c>
      <c r="D21" s="151">
        <v>3</v>
      </c>
      <c r="E21" s="152">
        <v>10.9708232421875</v>
      </c>
      <c r="F21" s="152" t="e">
        <f>E21+'June ANXII'!F21</f>
        <v>#REF!</v>
      </c>
      <c r="G21" s="152">
        <v>47.67</v>
      </c>
      <c r="H21" s="152">
        <v>18.149999999999999</v>
      </c>
      <c r="I21" s="152">
        <f t="shared" si="0"/>
        <v>65.819999999999993</v>
      </c>
      <c r="J21" s="152">
        <f t="shared" si="1"/>
        <v>76.790823242187486</v>
      </c>
      <c r="K21" s="152">
        <f t="shared" si="2"/>
        <v>25.596941080729163</v>
      </c>
      <c r="L21" s="153">
        <f t="shared" si="3"/>
        <v>97.051075268817186</v>
      </c>
      <c r="M21" s="153">
        <f t="shared" si="4"/>
        <v>96.559550930009522</v>
      </c>
      <c r="N21" s="152" t="e">
        <f>J21+'June ANXII'!N21</f>
        <v>#REF!</v>
      </c>
      <c r="O21" s="153" t="e">
        <f t="shared" si="5"/>
        <v>#REF!</v>
      </c>
      <c r="P21" s="153" t="e">
        <f t="shared" si="6"/>
        <v>#REF!</v>
      </c>
      <c r="Q21" s="153" t="e">
        <f t="shared" si="7"/>
        <v>#REF!</v>
      </c>
      <c r="R21" s="154"/>
      <c r="S21" s="154" t="e">
        <f t="shared" si="8"/>
        <v>#REF!</v>
      </c>
      <c r="T21" s="154" t="e">
        <f t="shared" si="8"/>
        <v>#REF!</v>
      </c>
    </row>
    <row r="22" spans="1:20" s="155" customFormat="1" ht="24.95" customHeight="1">
      <c r="A22" s="149">
        <v>9</v>
      </c>
      <c r="B22" s="150" t="s">
        <v>75</v>
      </c>
      <c r="C22" s="151">
        <v>5</v>
      </c>
      <c r="D22" s="151">
        <v>5</v>
      </c>
      <c r="E22" s="152">
        <v>12.7207705078125</v>
      </c>
      <c r="F22" s="152" t="e">
        <f>E22+'June ANXII'!F22</f>
        <v>#REF!</v>
      </c>
      <c r="G22" s="152">
        <v>19.45</v>
      </c>
      <c r="H22" s="152">
        <v>40.369999999999997</v>
      </c>
      <c r="I22" s="152">
        <f t="shared" si="0"/>
        <v>59.819999999999993</v>
      </c>
      <c r="J22" s="152">
        <f t="shared" si="1"/>
        <v>72.540770507812496</v>
      </c>
      <c r="K22" s="152">
        <f t="shared" si="2"/>
        <v>14.5081541015625</v>
      </c>
      <c r="L22" s="153">
        <f t="shared" si="3"/>
        <v>98.391935483870967</v>
      </c>
      <c r="M22" s="153">
        <f t="shared" si="4"/>
        <v>98.049979287424406</v>
      </c>
      <c r="N22" s="152" t="e">
        <f>J22+'June ANXII'!N22</f>
        <v>#REF!</v>
      </c>
      <c r="O22" s="153" t="e">
        <f t="shared" si="5"/>
        <v>#REF!</v>
      </c>
      <c r="P22" s="153" t="e">
        <f t="shared" si="6"/>
        <v>#REF!</v>
      </c>
      <c r="Q22" s="153" t="e">
        <f t="shared" si="7"/>
        <v>#REF!</v>
      </c>
      <c r="R22" s="154"/>
      <c r="S22" s="154" t="e">
        <f t="shared" si="8"/>
        <v>#REF!</v>
      </c>
      <c r="T22" s="154" t="e">
        <f t="shared" si="8"/>
        <v>#REF!</v>
      </c>
    </row>
    <row r="23" spans="1:20" s="155" customFormat="1" ht="24.95" customHeight="1">
      <c r="A23" s="149">
        <v>10</v>
      </c>
      <c r="B23" s="150" t="s">
        <v>76</v>
      </c>
      <c r="C23" s="151">
        <v>1</v>
      </c>
      <c r="D23" s="151">
        <v>1</v>
      </c>
      <c r="E23" s="152">
        <v>1.7403623046875001</v>
      </c>
      <c r="F23" s="152" t="e">
        <f>E23+'June ANXII'!F23</f>
        <v>#REF!</v>
      </c>
      <c r="G23" s="152">
        <v>17.45</v>
      </c>
      <c r="H23" s="152">
        <v>5.05</v>
      </c>
      <c r="I23" s="152">
        <f t="shared" si="0"/>
        <v>22.5</v>
      </c>
      <c r="J23" s="152">
        <f t="shared" si="1"/>
        <v>24.240362304687501</v>
      </c>
      <c r="K23" s="152">
        <f t="shared" si="2"/>
        <v>24.240362304687501</v>
      </c>
      <c r="L23" s="153">
        <f t="shared" si="3"/>
        <v>96.975806451612897</v>
      </c>
      <c r="M23" s="153">
        <f t="shared" si="4"/>
        <v>96.741886787004361</v>
      </c>
      <c r="N23" s="152" t="e">
        <f>J23+'June ANXII'!N23</f>
        <v>#REF!</v>
      </c>
      <c r="O23" s="153" t="e">
        <f t="shared" si="5"/>
        <v>#REF!</v>
      </c>
      <c r="P23" s="153" t="e">
        <f t="shared" si="6"/>
        <v>#REF!</v>
      </c>
      <c r="Q23" s="153" t="e">
        <f t="shared" si="7"/>
        <v>#REF!</v>
      </c>
      <c r="R23" s="154"/>
      <c r="S23" s="154" t="e">
        <f t="shared" si="8"/>
        <v>#REF!</v>
      </c>
      <c r="T23" s="154" t="e">
        <f t="shared" si="8"/>
        <v>#REF!</v>
      </c>
    </row>
    <row r="24" spans="1:20" s="1" customFormat="1" ht="24.95" customHeight="1">
      <c r="A24" s="149">
        <v>11</v>
      </c>
      <c r="B24" s="150" t="s">
        <v>28</v>
      </c>
      <c r="C24" s="156">
        <v>7</v>
      </c>
      <c r="D24" s="156">
        <v>7</v>
      </c>
      <c r="E24" s="153">
        <v>13</v>
      </c>
      <c r="F24" s="152" t="e">
        <f>E24+'June ANXII'!F24</f>
        <v>#REF!</v>
      </c>
      <c r="G24" s="153">
        <v>324</v>
      </c>
      <c r="H24" s="153">
        <v>80</v>
      </c>
      <c r="I24" s="152">
        <f t="shared" si="0"/>
        <v>404</v>
      </c>
      <c r="J24" s="152">
        <f t="shared" si="1"/>
        <v>417</v>
      </c>
      <c r="K24" s="152">
        <f t="shared" si="2"/>
        <v>59.571428571428569</v>
      </c>
      <c r="L24" s="153">
        <f t="shared" si="3"/>
        <v>92.242703533026116</v>
      </c>
      <c r="M24" s="153">
        <f t="shared" si="4"/>
        <v>91.993087557603687</v>
      </c>
      <c r="N24" s="152" t="e">
        <f>J24+'June ANXII'!N24</f>
        <v>#REF!</v>
      </c>
      <c r="O24" s="153" t="e">
        <f t="shared" si="5"/>
        <v>#REF!</v>
      </c>
      <c r="P24" s="153" t="e">
        <f t="shared" si="6"/>
        <v>#REF!</v>
      </c>
      <c r="Q24" s="153" t="e">
        <f t="shared" si="7"/>
        <v>#REF!</v>
      </c>
      <c r="R24" s="154"/>
      <c r="S24" s="154" t="e">
        <f t="shared" si="8"/>
        <v>#REF!</v>
      </c>
      <c r="T24" s="154" t="e">
        <f t="shared" si="8"/>
        <v>#REF!</v>
      </c>
    </row>
    <row r="25" spans="1:20" s="1" customFormat="1" ht="24.95" customHeight="1">
      <c r="A25" s="149">
        <v>12</v>
      </c>
      <c r="B25" s="150" t="s">
        <v>45</v>
      </c>
      <c r="C25" s="156">
        <v>11</v>
      </c>
      <c r="D25" s="156">
        <v>11</v>
      </c>
      <c r="E25" s="153">
        <v>14</v>
      </c>
      <c r="F25" s="152" t="e">
        <f>E25+'June ANXII'!F25</f>
        <v>#REF!</v>
      </c>
      <c r="G25" s="153">
        <v>594</v>
      </c>
      <c r="H25" s="153">
        <v>423</v>
      </c>
      <c r="I25" s="152">
        <f>G25+H25</f>
        <v>1017</v>
      </c>
      <c r="J25" s="152">
        <f t="shared" si="1"/>
        <v>1031</v>
      </c>
      <c r="K25" s="152">
        <f t="shared" si="2"/>
        <v>93.727272727272734</v>
      </c>
      <c r="L25" s="153">
        <f t="shared" si="3"/>
        <v>87.573313782991207</v>
      </c>
      <c r="M25" s="153">
        <f t="shared" si="4"/>
        <v>87.402248289345067</v>
      </c>
      <c r="N25" s="152" t="e">
        <f>J25+'June ANXII'!N25</f>
        <v>#REF!</v>
      </c>
      <c r="O25" s="153" t="e">
        <f t="shared" si="5"/>
        <v>#REF!</v>
      </c>
      <c r="P25" s="153" t="e">
        <f t="shared" si="6"/>
        <v>#REF!</v>
      </c>
      <c r="Q25" s="153" t="e">
        <f t="shared" si="7"/>
        <v>#REF!</v>
      </c>
      <c r="R25" s="154"/>
      <c r="S25" s="154" t="e">
        <f t="shared" si="8"/>
        <v>#REF!</v>
      </c>
      <c r="T25" s="154" t="e">
        <f t="shared" si="8"/>
        <v>#REF!</v>
      </c>
    </row>
    <row r="26" spans="1:20" s="1" customFormat="1" ht="24.95" customHeight="1">
      <c r="A26" s="149">
        <v>13</v>
      </c>
      <c r="B26" s="150" t="s">
        <v>46</v>
      </c>
      <c r="C26" s="156">
        <v>8</v>
      </c>
      <c r="D26" s="156">
        <v>8</v>
      </c>
      <c r="E26" s="153">
        <v>0.25</v>
      </c>
      <c r="F26" s="152" t="e">
        <f>E26+'June ANXII'!F26</f>
        <v>#REF!</v>
      </c>
      <c r="G26" s="153">
        <v>177.9</v>
      </c>
      <c r="H26" s="153">
        <v>100.75</v>
      </c>
      <c r="I26" s="152">
        <f t="shared" si="0"/>
        <v>278.64999999999998</v>
      </c>
      <c r="J26" s="152">
        <f t="shared" si="1"/>
        <v>278.89999999999998</v>
      </c>
      <c r="K26" s="152">
        <f t="shared" si="2"/>
        <v>34.862499999999997</v>
      </c>
      <c r="L26" s="153">
        <f t="shared" si="3"/>
        <v>95.318380376344081</v>
      </c>
      <c r="M26" s="153">
        <f t="shared" si="4"/>
        <v>95.31418010752688</v>
      </c>
      <c r="N26" s="152" t="e">
        <f>J26+'June ANXII'!N26</f>
        <v>#REF!</v>
      </c>
      <c r="O26" s="153" t="e">
        <f t="shared" si="5"/>
        <v>#REF!</v>
      </c>
      <c r="P26" s="153" t="e">
        <f t="shared" si="6"/>
        <v>#REF!</v>
      </c>
      <c r="Q26" s="153" t="e">
        <f t="shared" si="7"/>
        <v>#REF!</v>
      </c>
      <c r="R26" s="154"/>
      <c r="S26" s="154" t="e">
        <f t="shared" si="8"/>
        <v>#REF!</v>
      </c>
      <c r="T26" s="154" t="e">
        <f t="shared" si="8"/>
        <v>#REF!</v>
      </c>
    </row>
    <row r="27" spans="1:20" s="1" customFormat="1" ht="24.95" customHeight="1">
      <c r="A27" s="149">
        <v>14</v>
      </c>
      <c r="B27" s="150" t="s">
        <v>77</v>
      </c>
      <c r="C27" s="156">
        <v>4</v>
      </c>
      <c r="D27" s="156">
        <v>4</v>
      </c>
      <c r="E27" s="153">
        <v>1.62</v>
      </c>
      <c r="F27" s="152" t="e">
        <f>E27+'June ANXII'!F27</f>
        <v>#REF!</v>
      </c>
      <c r="G27" s="153">
        <v>27.41</v>
      </c>
      <c r="H27" s="153">
        <v>25.7</v>
      </c>
      <c r="I27" s="152">
        <f t="shared" si="0"/>
        <v>53.11</v>
      </c>
      <c r="J27" s="152">
        <f t="shared" si="1"/>
        <v>54.73</v>
      </c>
      <c r="K27" s="152">
        <f t="shared" si="2"/>
        <v>13.682499999999999</v>
      </c>
      <c r="L27" s="153">
        <f t="shared" si="3"/>
        <v>98.21538978494624</v>
      </c>
      <c r="M27" s="153">
        <f t="shared" si="4"/>
        <v>98.160954301075265</v>
      </c>
      <c r="N27" s="152" t="e">
        <f>J27+'June ANXII'!N27</f>
        <v>#REF!</v>
      </c>
      <c r="O27" s="153" t="e">
        <f t="shared" si="5"/>
        <v>#REF!</v>
      </c>
      <c r="P27" s="153" t="e">
        <f t="shared" si="6"/>
        <v>#REF!</v>
      </c>
      <c r="Q27" s="153" t="e">
        <f t="shared" si="7"/>
        <v>#REF!</v>
      </c>
      <c r="R27" s="154"/>
      <c r="S27" s="154" t="e">
        <f>L27-P27</f>
        <v>#REF!</v>
      </c>
      <c r="T27" s="154" t="e">
        <f>M27-Q27</f>
        <v>#REF!</v>
      </c>
    </row>
    <row r="28" spans="1:20" s="1" customFormat="1" ht="24.95" customHeight="1">
      <c r="A28" s="149">
        <v>15</v>
      </c>
      <c r="B28" s="150" t="s">
        <v>47</v>
      </c>
      <c r="C28" s="156">
        <v>30</v>
      </c>
      <c r="D28" s="156">
        <v>30</v>
      </c>
      <c r="E28" s="153">
        <v>132</v>
      </c>
      <c r="F28" s="152" t="e">
        <f>E28+'June ANXII'!F28</f>
        <v>#REF!</v>
      </c>
      <c r="G28" s="153">
        <v>78</v>
      </c>
      <c r="H28" s="153">
        <v>71</v>
      </c>
      <c r="I28" s="152">
        <f t="shared" si="0"/>
        <v>149</v>
      </c>
      <c r="J28" s="152">
        <f t="shared" si="1"/>
        <v>281</v>
      </c>
      <c r="K28" s="152">
        <f t="shared" si="2"/>
        <v>9.3666666666666671</v>
      </c>
      <c r="L28" s="153">
        <f t="shared" si="3"/>
        <v>99.332437275985669</v>
      </c>
      <c r="M28" s="153">
        <f t="shared" si="4"/>
        <v>98.741039426523301</v>
      </c>
      <c r="N28" s="152" t="e">
        <f>J28+'June ANXII'!N28</f>
        <v>#REF!</v>
      </c>
      <c r="O28" s="153" t="e">
        <f t="shared" si="5"/>
        <v>#REF!</v>
      </c>
      <c r="P28" s="153" t="e">
        <f t="shared" si="6"/>
        <v>#REF!</v>
      </c>
      <c r="Q28" s="153" t="e">
        <f t="shared" si="7"/>
        <v>#REF!</v>
      </c>
      <c r="R28" s="154"/>
      <c r="S28" s="154" t="e">
        <f t="shared" si="8"/>
        <v>#REF!</v>
      </c>
      <c r="T28" s="154" t="e">
        <f t="shared" si="8"/>
        <v>#REF!</v>
      </c>
    </row>
    <row r="29" spans="1:20" s="1" customFormat="1" ht="24.95" customHeight="1">
      <c r="A29" s="149">
        <v>16</v>
      </c>
      <c r="B29" s="150" t="s">
        <v>48</v>
      </c>
      <c r="C29" s="156">
        <v>15</v>
      </c>
      <c r="D29" s="156">
        <v>15</v>
      </c>
      <c r="E29" s="153">
        <v>6.1</v>
      </c>
      <c r="F29" s="152" t="e">
        <f>E29+'June ANXII'!F29</f>
        <v>#REF!</v>
      </c>
      <c r="G29" s="153">
        <v>83.27</v>
      </c>
      <c r="H29" s="153">
        <v>65.569999999999993</v>
      </c>
      <c r="I29" s="152">
        <f t="shared" si="0"/>
        <v>148.83999999999997</v>
      </c>
      <c r="J29" s="152">
        <f t="shared" si="1"/>
        <v>154.93999999999997</v>
      </c>
      <c r="K29" s="152">
        <f t="shared" si="2"/>
        <v>10.329333333333331</v>
      </c>
      <c r="L29" s="153">
        <f t="shared" si="3"/>
        <v>98.666308243727599</v>
      </c>
      <c r="M29" s="153">
        <f t="shared" si="4"/>
        <v>98.611648745519716</v>
      </c>
      <c r="N29" s="152" t="e">
        <f>J29+'June ANXII'!N29</f>
        <v>#REF!</v>
      </c>
      <c r="O29" s="153" t="e">
        <f t="shared" si="5"/>
        <v>#REF!</v>
      </c>
      <c r="P29" s="153" t="e">
        <f t="shared" si="6"/>
        <v>#REF!</v>
      </c>
      <c r="Q29" s="153" t="e">
        <f t="shared" si="7"/>
        <v>#REF!</v>
      </c>
      <c r="R29" s="154"/>
      <c r="S29" s="154" t="e">
        <f t="shared" si="8"/>
        <v>#REF!</v>
      </c>
      <c r="T29" s="154" t="e">
        <f t="shared" si="8"/>
        <v>#REF!</v>
      </c>
    </row>
    <row r="30" spans="1:20" s="1" customFormat="1" ht="24.95" customHeight="1">
      <c r="A30" s="149">
        <v>17</v>
      </c>
      <c r="B30" s="150" t="s">
        <v>63</v>
      </c>
      <c r="C30" s="156">
        <v>12</v>
      </c>
      <c r="D30" s="156">
        <v>12</v>
      </c>
      <c r="E30" s="153">
        <v>21.000000000000004</v>
      </c>
      <c r="F30" s="152" t="e">
        <f>E30+'June ANXII'!F30</f>
        <v>#REF!</v>
      </c>
      <c r="G30" s="153">
        <v>63.56</v>
      </c>
      <c r="H30" s="153">
        <v>45.05</v>
      </c>
      <c r="I30" s="152">
        <f t="shared" si="0"/>
        <v>108.61</v>
      </c>
      <c r="J30" s="152">
        <f t="shared" si="1"/>
        <v>129.61000000000001</v>
      </c>
      <c r="K30" s="152">
        <f t="shared" si="2"/>
        <v>10.800833333333335</v>
      </c>
      <c r="L30" s="153">
        <f t="shared" si="3"/>
        <v>98.783490143369178</v>
      </c>
      <c r="M30" s="153">
        <f t="shared" si="4"/>
        <v>98.548275089605738</v>
      </c>
      <c r="N30" s="152" t="e">
        <f>J30+'June ANXII'!N30</f>
        <v>#REF!</v>
      </c>
      <c r="O30" s="153" t="e">
        <f t="shared" si="5"/>
        <v>#REF!</v>
      </c>
      <c r="P30" s="153" t="e">
        <f t="shared" si="6"/>
        <v>#REF!</v>
      </c>
      <c r="Q30" s="153" t="e">
        <f t="shared" si="7"/>
        <v>#REF!</v>
      </c>
      <c r="R30" s="154"/>
      <c r="S30" s="154" t="e">
        <f t="shared" si="8"/>
        <v>#REF!</v>
      </c>
      <c r="T30" s="154" t="e">
        <f t="shared" si="8"/>
        <v>#REF!</v>
      </c>
    </row>
    <row r="31" spans="1:20" s="1" customFormat="1" ht="24.95" customHeight="1">
      <c r="A31" s="149">
        <v>18</v>
      </c>
      <c r="B31" s="150" t="s">
        <v>50</v>
      </c>
      <c r="C31" s="156">
        <v>49</v>
      </c>
      <c r="D31" s="156">
        <v>49</v>
      </c>
      <c r="E31" s="153">
        <v>19.350000000000001</v>
      </c>
      <c r="F31" s="152" t="e">
        <f>E31+'June ANXII'!F31</f>
        <v>#REF!</v>
      </c>
      <c r="G31" s="153">
        <v>1944.0833333333333</v>
      </c>
      <c r="H31" s="153">
        <v>2201.5666666666671</v>
      </c>
      <c r="I31" s="152">
        <f t="shared" si="0"/>
        <v>4145.6500000000005</v>
      </c>
      <c r="J31" s="152">
        <f t="shared" si="1"/>
        <v>4165.0000000000009</v>
      </c>
      <c r="K31" s="152">
        <f t="shared" si="2"/>
        <v>85.000000000000014</v>
      </c>
      <c r="L31" s="153">
        <f t="shared" si="3"/>
        <v>88.628346499890284</v>
      </c>
      <c r="M31" s="153">
        <f t="shared" si="4"/>
        <v>88.575268817204304</v>
      </c>
      <c r="N31" s="152" t="e">
        <f>J31+'June ANXII'!N31</f>
        <v>#REF!</v>
      </c>
      <c r="O31" s="153" t="e">
        <f t="shared" si="5"/>
        <v>#REF!</v>
      </c>
      <c r="P31" s="153" t="e">
        <f t="shared" si="6"/>
        <v>#REF!</v>
      </c>
      <c r="Q31" s="153" t="e">
        <f t="shared" si="7"/>
        <v>#REF!</v>
      </c>
      <c r="R31" s="154" t="str">
        <f>'[2]Annexure II'!B8</f>
        <v>Devanahalli</v>
      </c>
      <c r="S31" s="154" t="e">
        <f t="shared" si="8"/>
        <v>#REF!</v>
      </c>
      <c r="T31" s="154" t="e">
        <f t="shared" si="8"/>
        <v>#REF!</v>
      </c>
    </row>
    <row r="32" spans="1:20" s="1" customFormat="1" ht="24.95" customHeight="1">
      <c r="A32" s="149">
        <v>19</v>
      </c>
      <c r="B32" s="157" t="s">
        <v>51</v>
      </c>
      <c r="C32" s="158">
        <v>59</v>
      </c>
      <c r="D32" s="158">
        <v>59</v>
      </c>
      <c r="E32" s="153">
        <v>111.98999999999995</v>
      </c>
      <c r="F32" s="152" t="e">
        <f>E32+'June ANXII'!F32</f>
        <v>#REF!</v>
      </c>
      <c r="G32" s="153">
        <v>2903.9233333333332</v>
      </c>
      <c r="H32" s="153">
        <v>3385.2866666666673</v>
      </c>
      <c r="I32" s="152">
        <f t="shared" si="0"/>
        <v>6289.2100000000009</v>
      </c>
      <c r="J32" s="152">
        <f t="shared" si="1"/>
        <v>6401.2000000000007</v>
      </c>
      <c r="K32" s="152">
        <f t="shared" si="2"/>
        <v>108.4949152542373</v>
      </c>
      <c r="L32" s="153">
        <f t="shared" si="3"/>
        <v>85.672475852013847</v>
      </c>
      <c r="M32" s="153">
        <f t="shared" si="4"/>
        <v>85.417350100236931</v>
      </c>
      <c r="N32" s="152" t="e">
        <f>J32+'June ANXII'!N32</f>
        <v>#REF!</v>
      </c>
      <c r="O32" s="153" t="e">
        <f t="shared" si="5"/>
        <v>#REF!</v>
      </c>
      <c r="P32" s="153" t="e">
        <f t="shared" si="6"/>
        <v>#REF!</v>
      </c>
      <c r="Q32" s="153" t="e">
        <f t="shared" si="7"/>
        <v>#REF!</v>
      </c>
      <c r="R32" s="154" t="str">
        <f>'[2]Annexure II'!B9</f>
        <v>Hosakote</v>
      </c>
      <c r="S32" s="154" t="e">
        <f t="shared" si="8"/>
        <v>#REF!</v>
      </c>
      <c r="T32" s="154" t="e">
        <f t="shared" si="8"/>
        <v>#REF!</v>
      </c>
    </row>
    <row r="33" spans="1:20" s="1" customFormat="1" ht="24.95" customHeight="1">
      <c r="A33" s="149">
        <v>20</v>
      </c>
      <c r="B33" s="157" t="s">
        <v>52</v>
      </c>
      <c r="C33" s="158">
        <v>48</v>
      </c>
      <c r="D33" s="158">
        <v>48</v>
      </c>
      <c r="E33" s="153">
        <v>33.209999999999994</v>
      </c>
      <c r="F33" s="152" t="e">
        <f>E33+'June ANXII'!F33</f>
        <v>#REF!</v>
      </c>
      <c r="G33" s="153">
        <v>758.90000000000009</v>
      </c>
      <c r="H33" s="153">
        <v>964.31</v>
      </c>
      <c r="I33" s="152">
        <f t="shared" si="0"/>
        <v>1723.21</v>
      </c>
      <c r="J33" s="152">
        <f t="shared" si="1"/>
        <v>1756.42</v>
      </c>
      <c r="K33" s="152">
        <f t="shared" si="2"/>
        <v>36.592083333333335</v>
      </c>
      <c r="L33" s="153">
        <f t="shared" si="3"/>
        <v>95.174703181003579</v>
      </c>
      <c r="M33" s="153">
        <f t="shared" si="4"/>
        <v>95.081709229390682</v>
      </c>
      <c r="N33" s="152" t="e">
        <f>J33+'June ANXII'!N33</f>
        <v>#REF!</v>
      </c>
      <c r="O33" s="153" t="e">
        <f t="shared" si="5"/>
        <v>#REF!</v>
      </c>
      <c r="P33" s="153" t="e">
        <f t="shared" si="6"/>
        <v>#REF!</v>
      </c>
      <c r="Q33" s="153" t="e">
        <f t="shared" si="7"/>
        <v>#REF!</v>
      </c>
      <c r="R33" s="154" t="str">
        <f>'[2]Annexure II'!B10</f>
        <v>Nelamangala</v>
      </c>
      <c r="S33" s="154" t="e">
        <f t="shared" si="8"/>
        <v>#REF!</v>
      </c>
      <c r="T33" s="154" t="e">
        <f t="shared" si="8"/>
        <v>#REF!</v>
      </c>
    </row>
    <row r="34" spans="1:20" s="1" customFormat="1" ht="28.5" customHeight="1">
      <c r="A34" s="149">
        <v>21</v>
      </c>
      <c r="B34" s="150" t="s">
        <v>53</v>
      </c>
      <c r="C34" s="156">
        <v>36</v>
      </c>
      <c r="D34" s="156">
        <v>36</v>
      </c>
      <c r="E34" s="153">
        <v>22.5</v>
      </c>
      <c r="F34" s="152" t="e">
        <f>E34+'June ANXII'!F34</f>
        <v>#REF!</v>
      </c>
      <c r="G34" s="153">
        <v>519.68999999999994</v>
      </c>
      <c r="H34" s="153">
        <v>1099.3</v>
      </c>
      <c r="I34" s="152">
        <f t="shared" si="0"/>
        <v>1618.9899999999998</v>
      </c>
      <c r="J34" s="152">
        <f t="shared" si="1"/>
        <v>1641.4899999999998</v>
      </c>
      <c r="K34" s="152">
        <f t="shared" si="2"/>
        <v>45.596944444444439</v>
      </c>
      <c r="L34" s="153">
        <f t="shared" si="3"/>
        <v>93.95538381123059</v>
      </c>
      <c r="M34" s="153">
        <f t="shared" si="4"/>
        <v>93.871378434886495</v>
      </c>
      <c r="N34" s="152" t="e">
        <f>J34+'June ANXII'!N34</f>
        <v>#REF!</v>
      </c>
      <c r="O34" s="153" t="e">
        <f t="shared" si="5"/>
        <v>#REF!</v>
      </c>
      <c r="P34" s="153" t="e">
        <f t="shared" si="6"/>
        <v>#REF!</v>
      </c>
      <c r="Q34" s="153" t="e">
        <f t="shared" si="7"/>
        <v>#REF!</v>
      </c>
      <c r="R34" s="154" t="str">
        <f>'[2]Annexure II'!B11</f>
        <v>Doddaballapura</v>
      </c>
      <c r="S34" s="154" t="e">
        <f t="shared" si="8"/>
        <v>#REF!</v>
      </c>
      <c r="T34" s="154" t="e">
        <f t="shared" si="8"/>
        <v>#REF!</v>
      </c>
    </row>
    <row r="35" spans="1:20" s="1" customFormat="1" ht="24.95" customHeight="1">
      <c r="A35" s="149">
        <v>22</v>
      </c>
      <c r="B35" s="150" t="s">
        <v>54</v>
      </c>
      <c r="C35" s="156">
        <v>26</v>
      </c>
      <c r="D35" s="156">
        <v>26</v>
      </c>
      <c r="E35" s="153">
        <v>80.150000000000006</v>
      </c>
      <c r="F35" s="152" t="e">
        <f>E35+'June ANXII'!F35</f>
        <v>#REF!</v>
      </c>
      <c r="G35" s="153">
        <v>363.45</v>
      </c>
      <c r="H35" s="153">
        <v>143.41999999999999</v>
      </c>
      <c r="I35" s="152">
        <f t="shared" si="0"/>
        <v>506.87</v>
      </c>
      <c r="J35" s="152">
        <f t="shared" si="1"/>
        <v>587.02</v>
      </c>
      <c r="K35" s="152">
        <f t="shared" si="2"/>
        <v>22.577692307692306</v>
      </c>
      <c r="L35" s="153">
        <f t="shared" si="3"/>
        <v>97.379704301075265</v>
      </c>
      <c r="M35" s="153">
        <f t="shared" si="4"/>
        <v>96.965363937138136</v>
      </c>
      <c r="N35" s="152" t="e">
        <f>J35+'June ANXII'!N35</f>
        <v>#REF!</v>
      </c>
      <c r="O35" s="153" t="e">
        <f t="shared" si="5"/>
        <v>#REF!</v>
      </c>
      <c r="P35" s="153" t="e">
        <f t="shared" si="6"/>
        <v>#REF!</v>
      </c>
      <c r="Q35" s="153" t="e">
        <f t="shared" si="7"/>
        <v>#REF!</v>
      </c>
      <c r="R35" s="154" t="str">
        <f>'[2]Annexure II'!B12</f>
        <v>Magadi</v>
      </c>
      <c r="S35" s="154" t="e">
        <f t="shared" si="8"/>
        <v>#REF!</v>
      </c>
      <c r="T35" s="154" t="e">
        <f t="shared" si="8"/>
        <v>#REF!</v>
      </c>
    </row>
    <row r="36" spans="1:20" s="1" customFormat="1" ht="24.95" customHeight="1">
      <c r="A36" s="149">
        <v>23</v>
      </c>
      <c r="B36" s="150" t="s">
        <v>49</v>
      </c>
      <c r="C36" s="156">
        <v>127</v>
      </c>
      <c r="D36" s="156">
        <v>127</v>
      </c>
      <c r="E36" s="153">
        <v>65.39444444444446</v>
      </c>
      <c r="F36" s="152" t="e">
        <f>E36+'June ANXII'!F36</f>
        <v>#REF!</v>
      </c>
      <c r="G36" s="153">
        <v>65.39444444444446</v>
      </c>
      <c r="H36" s="153">
        <v>45.862499999999997</v>
      </c>
      <c r="I36" s="152">
        <f t="shared" si="0"/>
        <v>111.25694444444446</v>
      </c>
      <c r="J36" s="152">
        <f t="shared" si="1"/>
        <v>176.6513888888889</v>
      </c>
      <c r="K36" s="152">
        <f t="shared" si="2"/>
        <v>1.3909558180227473</v>
      </c>
      <c r="L36" s="153">
        <f t="shared" si="3"/>
        <v>99.882252831635299</v>
      </c>
      <c r="M36" s="153">
        <f t="shared" si="4"/>
        <v>99.813043572846411</v>
      </c>
      <c r="N36" s="152" t="e">
        <f>J36+'June ANXII'!N36</f>
        <v>#REF!</v>
      </c>
      <c r="O36" s="153" t="e">
        <f t="shared" si="5"/>
        <v>#REF!</v>
      </c>
      <c r="P36" s="153" t="e">
        <f t="shared" si="6"/>
        <v>#REF!</v>
      </c>
      <c r="Q36" s="153" t="e">
        <f t="shared" si="7"/>
        <v>#REF!</v>
      </c>
      <c r="R36" s="154" t="str">
        <f>'[2]Annexure II'!B7</f>
        <v>Anekal</v>
      </c>
      <c r="S36" s="154" t="e">
        <f>L36-P36</f>
        <v>#REF!</v>
      </c>
      <c r="T36" s="154" t="e">
        <f>M36-Q36</f>
        <v>#REF!</v>
      </c>
    </row>
    <row r="37" spans="1:20" s="1" customFormat="1" ht="24.95" customHeight="1">
      <c r="A37" s="149">
        <v>24</v>
      </c>
      <c r="B37" s="150" t="s">
        <v>32</v>
      </c>
      <c r="C37" s="156">
        <v>24</v>
      </c>
      <c r="D37" s="156">
        <v>24</v>
      </c>
      <c r="E37" s="153">
        <v>11.329999999999998</v>
      </c>
      <c r="F37" s="152" t="e">
        <f>E37+'June ANXII'!F37</f>
        <v>#REF!</v>
      </c>
      <c r="G37" s="153">
        <v>61.28</v>
      </c>
      <c r="H37" s="153">
        <v>26.240000000000002</v>
      </c>
      <c r="I37" s="152">
        <f t="shared" si="0"/>
        <v>87.52000000000001</v>
      </c>
      <c r="J37" s="152">
        <f t="shared" si="1"/>
        <v>98.850000000000009</v>
      </c>
      <c r="K37" s="152">
        <f t="shared" si="2"/>
        <v>4.1187500000000004</v>
      </c>
      <c r="L37" s="153">
        <f t="shared" si="3"/>
        <v>99.509856630824373</v>
      </c>
      <c r="M37" s="153">
        <f t="shared" si="4"/>
        <v>99.446404569892479</v>
      </c>
      <c r="N37" s="152" t="e">
        <f>J37+'June ANXII'!N37</f>
        <v>#REF!</v>
      </c>
      <c r="O37" s="153" t="e">
        <f t="shared" si="5"/>
        <v>#REF!</v>
      </c>
      <c r="P37" s="153" t="e">
        <f t="shared" si="6"/>
        <v>#REF!</v>
      </c>
      <c r="Q37" s="153" t="e">
        <f t="shared" si="7"/>
        <v>#REF!</v>
      </c>
      <c r="R37" s="154" t="str">
        <f>'[2]Annexure II'!B13</f>
        <v>Ramanagara</v>
      </c>
      <c r="S37" s="154" t="e">
        <f t="shared" si="8"/>
        <v>#REF!</v>
      </c>
      <c r="T37" s="154" t="e">
        <f t="shared" si="8"/>
        <v>#REF!</v>
      </c>
    </row>
    <row r="38" spans="1:20" s="1" customFormat="1" ht="24.95" customHeight="1">
      <c r="A38" s="149">
        <v>25</v>
      </c>
      <c r="B38" s="150" t="s">
        <v>55</v>
      </c>
      <c r="C38" s="156">
        <v>7</v>
      </c>
      <c r="D38" s="156">
        <v>7</v>
      </c>
      <c r="E38" s="153">
        <v>11.479999999999999</v>
      </c>
      <c r="F38" s="152" t="e">
        <f>E38+'June ANXII'!F38</f>
        <v>#REF!</v>
      </c>
      <c r="G38" s="153">
        <v>684.85347222222219</v>
      </c>
      <c r="H38" s="153">
        <v>60.921666666666667</v>
      </c>
      <c r="I38" s="152">
        <f t="shared" si="0"/>
        <v>745.77513888888882</v>
      </c>
      <c r="J38" s="152">
        <f t="shared" si="1"/>
        <v>757.25513888888884</v>
      </c>
      <c r="K38" s="152">
        <f t="shared" si="2"/>
        <v>108.17930555555554</v>
      </c>
      <c r="L38" s="153">
        <f t="shared" si="3"/>
        <v>85.680200866188756</v>
      </c>
      <c r="M38" s="153">
        <f t="shared" si="4"/>
        <v>85.45977075866189</v>
      </c>
      <c r="N38" s="152" t="e">
        <f>J38+'June ANXII'!N38</f>
        <v>#REF!</v>
      </c>
      <c r="O38" s="153" t="e">
        <f t="shared" si="5"/>
        <v>#REF!</v>
      </c>
      <c r="P38" s="153" t="e">
        <f t="shared" si="6"/>
        <v>#REF!</v>
      </c>
      <c r="Q38" s="153" t="e">
        <f t="shared" si="7"/>
        <v>#REF!</v>
      </c>
      <c r="R38" s="154" t="str">
        <f>'[2]Annexure II'!B14</f>
        <v>Channapatna</v>
      </c>
      <c r="S38" s="154" t="e">
        <f t="shared" si="8"/>
        <v>#REF!</v>
      </c>
      <c r="T38" s="154" t="e">
        <f t="shared" si="8"/>
        <v>#REF!</v>
      </c>
    </row>
    <row r="39" spans="1:20" s="1" customFormat="1" ht="24.95" customHeight="1">
      <c r="A39" s="149">
        <v>26</v>
      </c>
      <c r="B39" s="150" t="s">
        <v>56</v>
      </c>
      <c r="C39" s="156">
        <v>22</v>
      </c>
      <c r="D39" s="156">
        <v>22</v>
      </c>
      <c r="E39" s="153">
        <v>0.32638888888888884</v>
      </c>
      <c r="F39" s="152" t="e">
        <f>E39+'June ANXII'!F39</f>
        <v>#REF!</v>
      </c>
      <c r="G39" s="153">
        <v>8.5187500000000007</v>
      </c>
      <c r="H39" s="153">
        <v>2.4243055555555553</v>
      </c>
      <c r="I39" s="152">
        <f t="shared" si="0"/>
        <v>10.943055555555556</v>
      </c>
      <c r="J39" s="152">
        <f t="shared" si="1"/>
        <v>11.269444444444446</v>
      </c>
      <c r="K39" s="152">
        <f t="shared" si="2"/>
        <v>0.51224747474747478</v>
      </c>
      <c r="L39" s="153">
        <f t="shared" si="3"/>
        <v>99.93314359997828</v>
      </c>
      <c r="M39" s="153">
        <f t="shared" si="4"/>
        <v>99.931149532964042</v>
      </c>
      <c r="N39" s="152" t="e">
        <f>J39+'June ANXII'!N39</f>
        <v>#REF!</v>
      </c>
      <c r="O39" s="153" t="e">
        <f t="shared" si="5"/>
        <v>#REF!</v>
      </c>
      <c r="P39" s="153" t="e">
        <f t="shared" si="6"/>
        <v>#REF!</v>
      </c>
      <c r="Q39" s="153" t="e">
        <f t="shared" si="7"/>
        <v>#REF!</v>
      </c>
      <c r="R39" s="154" t="str">
        <f>'[2]Annexure II'!B15</f>
        <v>Kanakapura</v>
      </c>
      <c r="S39" s="154" t="e">
        <f t="shared" si="8"/>
        <v>#REF!</v>
      </c>
      <c r="T39" s="154" t="e">
        <f t="shared" si="8"/>
        <v>#REF!</v>
      </c>
    </row>
    <row r="40" spans="1:20" s="1" customFormat="1" ht="24.95" customHeight="1">
      <c r="A40" s="865" t="s">
        <v>110</v>
      </c>
      <c r="B40" s="865"/>
      <c r="C40" s="865"/>
      <c r="D40" s="865"/>
      <c r="E40" s="865"/>
      <c r="F40" s="865"/>
      <c r="G40" s="865"/>
      <c r="H40" s="865"/>
      <c r="I40" s="865"/>
      <c r="J40" s="865"/>
      <c r="K40" s="865"/>
      <c r="L40" s="865"/>
      <c r="M40" s="865"/>
      <c r="N40" s="865"/>
      <c r="O40" s="865"/>
      <c r="P40" s="865"/>
      <c r="Q40" s="865"/>
      <c r="R40" s="154"/>
      <c r="S40" s="154"/>
      <c r="T40" s="154"/>
    </row>
    <row r="41" spans="1:20" ht="18.75" customHeight="1" thickBot="1">
      <c r="B41" s="159"/>
      <c r="C41" s="160">
        <f>SUM(C14:C39)</f>
        <v>516</v>
      </c>
      <c r="D41" s="160">
        <f t="shared" ref="D41:O41" si="9">SUM(D14:D39)</f>
        <v>516</v>
      </c>
      <c r="E41" s="160">
        <f t="shared" si="9"/>
        <v>595.58278938802096</v>
      </c>
      <c r="F41" s="160" t="e">
        <f t="shared" si="9"/>
        <v>#REF!</v>
      </c>
      <c r="G41" s="160">
        <f t="shared" si="9"/>
        <v>8992.6533333333336</v>
      </c>
      <c r="H41" s="160">
        <f t="shared" si="9"/>
        <v>8896.2118055555566</v>
      </c>
      <c r="I41" s="160">
        <f t="shared" si="9"/>
        <v>17888.86513888889</v>
      </c>
      <c r="J41" s="160">
        <f t="shared" si="9"/>
        <v>18484.44792827691</v>
      </c>
      <c r="K41" s="160">
        <f t="shared" si="9"/>
        <v>892.59252267068348</v>
      </c>
      <c r="L41" s="64">
        <f>+(((C41*24)*30)-I41)*100/((C41*24)*30)</f>
        <v>95.184952320497175</v>
      </c>
      <c r="M41" s="64">
        <f>+(((C41*24)*30)-J41)*100/((C41*24)*30)</f>
        <v>95.024642568831595</v>
      </c>
      <c r="N41" s="160" t="e">
        <f t="shared" si="9"/>
        <v>#REF!</v>
      </c>
      <c r="O41" s="160" t="e">
        <f t="shared" si="9"/>
        <v>#REF!</v>
      </c>
      <c r="P41" s="64" t="e">
        <f>((C41*24*30)-(N41-E41))*100/(C41*24*30)</f>
        <v>#REF!</v>
      </c>
      <c r="Q41" s="64" t="e">
        <f>((C41*24*30)-(N41))*100/(C41*24*30)</f>
        <v>#REF!</v>
      </c>
    </row>
    <row r="42" spans="1:20" s="175" customFormat="1" ht="63" customHeight="1" thickBot="1">
      <c r="A42" s="846" t="s">
        <v>100</v>
      </c>
      <c r="B42" s="847"/>
      <c r="C42" s="847"/>
      <c r="D42" s="847"/>
      <c r="E42" s="847"/>
      <c r="F42" s="847"/>
      <c r="G42" s="847"/>
      <c r="H42" s="847"/>
      <c r="I42" s="847"/>
      <c r="J42" s="847"/>
      <c r="K42" s="847"/>
      <c r="L42" s="847"/>
      <c r="M42" s="847"/>
      <c r="N42" s="847"/>
      <c r="O42" s="847"/>
      <c r="P42" s="847"/>
      <c r="Q42" s="848"/>
    </row>
    <row r="43" spans="1:20" s="175" customFormat="1" ht="80.25" customHeight="1">
      <c r="A43" s="846" t="s">
        <v>101</v>
      </c>
      <c r="B43" s="847"/>
      <c r="C43" s="847"/>
      <c r="D43" s="847"/>
      <c r="E43" s="847"/>
      <c r="F43" s="847"/>
      <c r="G43" s="847"/>
      <c r="H43" s="847"/>
      <c r="I43" s="847"/>
      <c r="J43" s="847"/>
      <c r="K43" s="847"/>
      <c r="L43" s="847"/>
      <c r="M43" s="847"/>
      <c r="N43" s="847"/>
      <c r="O43" s="847"/>
      <c r="P43" s="847"/>
      <c r="Q43" s="848"/>
    </row>
    <row r="44" spans="1:20" ht="20.25" hidden="1" customHeight="1">
      <c r="A44" s="839" t="s">
        <v>36</v>
      </c>
      <c r="B44" s="840"/>
      <c r="C44" s="840"/>
      <c r="D44" s="840"/>
      <c r="E44" s="840"/>
      <c r="F44" s="840"/>
      <c r="G44" s="840"/>
      <c r="H44" s="840"/>
      <c r="I44" s="840"/>
      <c r="J44" s="840"/>
      <c r="K44" s="840"/>
      <c r="L44" s="840"/>
      <c r="M44" s="840"/>
      <c r="N44" s="840"/>
      <c r="O44" s="840"/>
      <c r="P44" s="840"/>
      <c r="Q44" s="841"/>
    </row>
    <row r="45" spans="1:20" ht="27" hidden="1" customHeight="1" thickBot="1">
      <c r="A45" s="842"/>
      <c r="B45" s="843"/>
      <c r="C45" s="843"/>
      <c r="D45" s="843"/>
      <c r="E45" s="843"/>
      <c r="F45" s="843"/>
      <c r="G45" s="843"/>
      <c r="H45" s="843"/>
      <c r="I45" s="843"/>
      <c r="J45" s="843"/>
      <c r="K45" s="843"/>
      <c r="L45" s="843"/>
      <c r="M45" s="843"/>
      <c r="N45" s="843"/>
      <c r="O45" s="843"/>
      <c r="P45" s="843"/>
      <c r="Q45" s="844"/>
    </row>
    <row r="46" spans="1:20" hidden="1"/>
    <row r="53" spans="3:17">
      <c r="C53" s="146" t="e">
        <f>su</f>
        <v>#NAME?</v>
      </c>
      <c r="P53" s="161"/>
      <c r="Q53" s="161"/>
    </row>
    <row r="54" spans="3:17">
      <c r="C54" s="160"/>
      <c r="N54" s="161"/>
    </row>
    <row r="55" spans="3:17">
      <c r="N55" s="161"/>
    </row>
    <row r="57" spans="3:17">
      <c r="H57" s="146">
        <f>4667/89</f>
        <v>52.438202247191015</v>
      </c>
    </row>
    <row r="63" spans="3:17">
      <c r="G63" s="162"/>
      <c r="H63" s="162"/>
      <c r="I63" s="162"/>
      <c r="J63" s="162"/>
      <c r="K63" s="162"/>
      <c r="L63" s="162"/>
      <c r="M63" s="162"/>
    </row>
    <row r="64" spans="3:17">
      <c r="G64" s="162"/>
      <c r="H64" s="162"/>
      <c r="I64" s="162"/>
      <c r="J64" s="162"/>
      <c r="K64" s="162"/>
      <c r="L64" s="162"/>
      <c r="M64" s="162"/>
    </row>
    <row r="65" spans="7:18">
      <c r="G65" s="162"/>
      <c r="H65" s="162"/>
      <c r="I65" s="162"/>
      <c r="J65" s="162"/>
      <c r="K65" s="162"/>
      <c r="L65" s="162"/>
      <c r="M65" s="162"/>
    </row>
    <row r="66" spans="7:18">
      <c r="G66" s="162"/>
      <c r="H66" s="162"/>
      <c r="I66" s="162"/>
      <c r="J66" s="162"/>
      <c r="K66" s="162"/>
      <c r="L66" s="162"/>
      <c r="M66" s="162"/>
    </row>
    <row r="67" spans="7:18">
      <c r="G67" s="162"/>
      <c r="H67" s="162"/>
      <c r="I67" s="162"/>
      <c r="J67" s="162"/>
      <c r="K67" s="162"/>
      <c r="L67" s="162"/>
      <c r="M67" s="162"/>
    </row>
    <row r="68" spans="7:18">
      <c r="G68" s="162"/>
      <c r="H68" s="162"/>
      <c r="I68" s="162"/>
      <c r="J68" s="162"/>
      <c r="K68" s="162"/>
      <c r="L68" s="162"/>
      <c r="M68" s="162"/>
    </row>
    <row r="69" spans="7:18">
      <c r="G69" s="162"/>
      <c r="H69" s="162"/>
      <c r="I69" s="162"/>
      <c r="J69" s="162"/>
      <c r="K69" s="162"/>
      <c r="L69" s="162"/>
      <c r="M69" s="162"/>
    </row>
    <row r="70" spans="7:18" ht="20.25">
      <c r="G70" s="162"/>
      <c r="H70" s="162"/>
      <c r="I70" s="163">
        <f>20000</f>
        <v>20000</v>
      </c>
      <c r="J70" s="162"/>
      <c r="K70" s="162"/>
      <c r="L70" s="162"/>
      <c r="M70" s="162"/>
    </row>
    <row r="71" spans="7:18" ht="20.25">
      <c r="G71" s="162"/>
      <c r="H71" s="162"/>
      <c r="I71" s="163">
        <v>5000</v>
      </c>
      <c r="J71" s="162"/>
      <c r="K71" s="162"/>
      <c r="L71" s="162"/>
      <c r="M71" s="162"/>
    </row>
    <row r="72" spans="7:18" ht="20.25">
      <c r="G72" s="162"/>
      <c r="H72" s="162"/>
      <c r="I72" s="163">
        <v>5000</v>
      </c>
      <c r="J72" s="162"/>
      <c r="K72" s="162"/>
      <c r="L72" s="162"/>
      <c r="M72" s="162"/>
    </row>
    <row r="73" spans="7:18" ht="20.25">
      <c r="G73" s="162"/>
      <c r="H73" s="162"/>
      <c r="I73" s="163">
        <v>8000</v>
      </c>
      <c r="J73" s="162"/>
      <c r="K73" s="162"/>
      <c r="L73" s="162"/>
      <c r="M73" s="162"/>
    </row>
    <row r="74" spans="7:18" ht="20.25">
      <c r="G74" s="162"/>
      <c r="H74" s="162"/>
      <c r="I74" s="163">
        <f>SUM(I71:I73)</f>
        <v>18000</v>
      </c>
      <c r="J74" s="162"/>
      <c r="K74" s="162"/>
      <c r="L74" s="162"/>
      <c r="M74" s="162"/>
    </row>
    <row r="75" spans="7:18" ht="20.25">
      <c r="G75" s="162"/>
      <c r="H75" s="162"/>
      <c r="I75" s="163">
        <f>I70-I74</f>
        <v>2000</v>
      </c>
      <c r="J75" s="162"/>
      <c r="K75" s="162"/>
      <c r="L75" s="162"/>
      <c r="M75" s="162"/>
    </row>
    <row r="76" spans="7:18" ht="20.25">
      <c r="G76" s="162"/>
      <c r="H76" s="162"/>
      <c r="I76" s="163"/>
      <c r="J76" s="162"/>
      <c r="K76" s="162"/>
      <c r="L76" s="162"/>
      <c r="M76" s="162"/>
    </row>
    <row r="77" spans="7:18" ht="20.25">
      <c r="G77" s="162"/>
      <c r="H77" s="162"/>
      <c r="I77" s="163"/>
      <c r="J77" s="162"/>
      <c r="K77" s="162"/>
      <c r="L77" s="161">
        <f>L14+L15+L16+L18+L17+L19+L20+L21+L22+L23+L24+L25+L26+L27+L28+L29+L30+L36+L31+L32+L33+L34+L35+L37+L38+L39</f>
        <v>2485.5540413496165</v>
      </c>
      <c r="M77" s="161">
        <f>M14+M15+M16+M18+M17+M19+M20+M21+M22+M23+M24+M25+M26+M27+M28+M29+M30+M36+M31+M32+M33+M34+M35+M37+M38+M39</f>
        <v>2480.0278867378111</v>
      </c>
      <c r="P77" s="161" t="e">
        <f>P14+P15+P16+P18+P17+P19+P20+P21+P22+P23+P24+P25+P26+P27+P28+P29+P30+P36+P31+P32+P33+P34+P35+P37+P38+P39</f>
        <v>#REF!</v>
      </c>
      <c r="Q77" s="161" t="e">
        <f>Q14+Q15+Q16+Q18+Q17+Q19+Q20+Q21+Q22+Q23+Q24+Q25+Q26+Q27+Q28+Q29+Q30+Q36+Q31+Q32+Q33+Q34+Q35+Q37+Q38+Q39</f>
        <v>#REF!</v>
      </c>
      <c r="R77" s="161" t="e">
        <f>R14+R15+R16+R18+R17+R19+R20+R23+R24+R25+R26+R27+R28+R29+R30+R36+R31+R32+R33+R34+R35+R37+R38+R39</f>
        <v>#VALUE!</v>
      </c>
    </row>
    <row r="78" spans="7:18">
      <c r="G78" s="162"/>
      <c r="H78" s="162"/>
      <c r="I78" s="162"/>
      <c r="J78" s="162"/>
      <c r="K78" s="162"/>
      <c r="L78" s="146">
        <f>L77/26</f>
        <v>95.59823235960063</v>
      </c>
      <c r="M78" s="146">
        <f>M77/26</f>
        <v>95.385687951454273</v>
      </c>
      <c r="P78" s="146" t="e">
        <f>P77/26</f>
        <v>#REF!</v>
      </c>
      <c r="Q78" s="146" t="e">
        <f>Q77/26</f>
        <v>#REF!</v>
      </c>
    </row>
    <row r="79" spans="7:18">
      <c r="G79" s="162"/>
      <c r="H79" s="162"/>
      <c r="I79" s="162"/>
      <c r="J79" s="162"/>
      <c r="K79" s="162"/>
    </row>
    <row r="80" spans="7:18">
      <c r="G80" s="162"/>
      <c r="H80" s="162"/>
      <c r="I80" s="162"/>
      <c r="J80" s="162"/>
      <c r="K80" s="162"/>
      <c r="L80" s="162"/>
      <c r="M80" s="162"/>
    </row>
    <row r="81" spans="7:13">
      <c r="G81" s="162"/>
      <c r="H81" s="162"/>
      <c r="I81" s="162"/>
      <c r="J81" s="162"/>
      <c r="K81" s="162"/>
      <c r="L81" s="162"/>
      <c r="M81" s="162"/>
    </row>
    <row r="82" spans="7:13">
      <c r="G82" s="162"/>
      <c r="H82" s="162"/>
      <c r="I82" s="162"/>
      <c r="J82" s="162"/>
      <c r="K82" s="162"/>
      <c r="L82" s="162"/>
      <c r="M82" s="162"/>
    </row>
    <row r="83" spans="7:13">
      <c r="G83" s="162"/>
      <c r="H83" s="162"/>
      <c r="I83" s="162"/>
      <c r="J83" s="162"/>
      <c r="K83" s="162"/>
      <c r="L83" s="162"/>
      <c r="M83" s="162"/>
    </row>
    <row r="84" spans="7:13">
      <c r="G84" s="162"/>
      <c r="H84" s="162"/>
      <c r="I84" s="162"/>
      <c r="J84" s="162"/>
      <c r="K84" s="162"/>
      <c r="L84" s="162"/>
      <c r="M84" s="162"/>
    </row>
    <row r="85" spans="7:13">
      <c r="G85" s="162"/>
      <c r="H85" s="162"/>
      <c r="I85" s="162"/>
      <c r="J85" s="162"/>
      <c r="K85" s="162"/>
      <c r="L85" s="162"/>
      <c r="M85" s="162"/>
    </row>
    <row r="86" spans="7:13">
      <c r="G86" s="162"/>
      <c r="H86" s="162"/>
      <c r="I86" s="162"/>
      <c r="J86" s="162"/>
      <c r="K86" s="162"/>
      <c r="L86" s="162"/>
      <c r="M86" s="162"/>
    </row>
    <row r="87" spans="7:13">
      <c r="G87" s="162"/>
      <c r="H87" s="162"/>
      <c r="I87" s="162"/>
      <c r="J87" s="162"/>
      <c r="K87" s="162"/>
      <c r="L87" s="162"/>
      <c r="M87" s="162"/>
    </row>
  </sheetData>
  <mergeCells count="17">
    <mergeCell ref="N11:Q11"/>
    <mergeCell ref="A42:Q42"/>
    <mergeCell ref="A43:Q43"/>
    <mergeCell ref="A44:Q45"/>
    <mergeCell ref="A40:Q40"/>
    <mergeCell ref="A6:Q6"/>
    <mergeCell ref="A7:Q7"/>
    <mergeCell ref="A8:Q8"/>
    <mergeCell ref="A10:D10"/>
    <mergeCell ref="A11:A12"/>
    <mergeCell ref="B11:B12"/>
    <mergeCell ref="C11:C12"/>
    <mergeCell ref="D11:D12"/>
    <mergeCell ref="E11:E12"/>
    <mergeCell ref="F11:F12"/>
    <mergeCell ref="G11:I11"/>
    <mergeCell ref="J11:M11"/>
  </mergeCells>
  <printOptions horizontalCentered="1"/>
  <pageMargins left="0" right="0" top="0.5" bottom="0" header="0.19" footer="0.5"/>
  <pageSetup paperSize="9" scale="62" orientation="landscape" r:id="rId1"/>
  <headerFooter alignWithMargins="0"/>
  <rowBreaks count="1" manualBreakCount="1">
    <brk id="40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APR ANX I Signed copy</vt:lpstr>
      <vt:lpstr>APR ANXIII DIVISION</vt:lpstr>
      <vt:lpstr>MAY ANX I Signed copy </vt:lpstr>
      <vt:lpstr>MAY ANXII ref</vt:lpstr>
      <vt:lpstr>June ANX I  </vt:lpstr>
      <vt:lpstr>June ANXII</vt:lpstr>
      <vt:lpstr>June ANXIII</vt:lpstr>
      <vt:lpstr>July ANX I </vt:lpstr>
      <vt:lpstr>July ANXII</vt:lpstr>
      <vt:lpstr>July ANXIII</vt:lpstr>
      <vt:lpstr>Aug ANX I  </vt:lpstr>
      <vt:lpstr>Aug ANXII</vt:lpstr>
      <vt:lpstr>Aug ANXIII </vt:lpstr>
      <vt:lpstr>Sheet1</vt:lpstr>
      <vt:lpstr>Sep ANX I   </vt:lpstr>
      <vt:lpstr>Sep ANXII</vt:lpstr>
      <vt:lpstr>Sep ANXIII </vt:lpstr>
      <vt:lpstr>Oct ANX I    </vt:lpstr>
      <vt:lpstr>oct ANX II </vt:lpstr>
      <vt:lpstr>oct ANX III </vt:lpstr>
      <vt:lpstr>Nov ANX I </vt:lpstr>
      <vt:lpstr>Nov ANX II</vt:lpstr>
      <vt:lpstr>Nov ANX III </vt:lpstr>
      <vt:lpstr>DEC ANX I  </vt:lpstr>
      <vt:lpstr> DEC ANX II </vt:lpstr>
      <vt:lpstr>DEC ANX III </vt:lpstr>
      <vt:lpstr>Jan ANX I   </vt:lpstr>
      <vt:lpstr>Jan ANX II  </vt:lpstr>
      <vt:lpstr>Jan ANX III  </vt:lpstr>
      <vt:lpstr> Feb ANX I </vt:lpstr>
      <vt:lpstr>Feb ANX II</vt:lpstr>
      <vt:lpstr>Feb ANX III</vt:lpstr>
      <vt:lpstr>Mar ANX I</vt:lpstr>
      <vt:lpstr>Mar ANX II</vt:lpstr>
      <vt:lpstr>MAR ANX III</vt:lpstr>
      <vt:lpstr>Dec ANX1</vt:lpstr>
      <vt:lpstr>Dec ANX11</vt:lpstr>
      <vt:lpstr>Dec ANX111</vt:lpstr>
      <vt:lpstr>' DEC ANX II '!Print_Area</vt:lpstr>
      <vt:lpstr>' Feb ANX I '!Print_Area</vt:lpstr>
      <vt:lpstr>'APR ANX I Signed copy'!Print_Area</vt:lpstr>
      <vt:lpstr>'APR ANXIII DIVISION'!Print_Area</vt:lpstr>
      <vt:lpstr>'Aug ANX I  '!Print_Area</vt:lpstr>
      <vt:lpstr>'Aug ANXII'!Print_Area</vt:lpstr>
      <vt:lpstr>'Aug ANXIII '!Print_Area</vt:lpstr>
      <vt:lpstr>'DEC ANX I  '!Print_Area</vt:lpstr>
      <vt:lpstr>'DEC ANX III '!Print_Area</vt:lpstr>
      <vt:lpstr>'Dec ANX1'!Print_Area</vt:lpstr>
      <vt:lpstr>'Dec ANX11'!Print_Area</vt:lpstr>
      <vt:lpstr>'Dec ANX111'!Print_Area</vt:lpstr>
      <vt:lpstr>'Feb ANX II'!Print_Area</vt:lpstr>
      <vt:lpstr>'Feb ANX III'!Print_Area</vt:lpstr>
      <vt:lpstr>'Jan ANX I   '!Print_Area</vt:lpstr>
      <vt:lpstr>'Jan ANX II  '!Print_Area</vt:lpstr>
      <vt:lpstr>'Jan ANX III  '!Print_Area</vt:lpstr>
      <vt:lpstr>'July ANX I '!Print_Area</vt:lpstr>
      <vt:lpstr>'July ANXII'!Print_Area</vt:lpstr>
      <vt:lpstr>'July ANXIII'!Print_Area</vt:lpstr>
      <vt:lpstr>'June ANX I  '!Print_Area</vt:lpstr>
      <vt:lpstr>'June ANXII'!Print_Area</vt:lpstr>
      <vt:lpstr>'June ANXIII'!Print_Area</vt:lpstr>
      <vt:lpstr>'Mar ANX I'!Print_Area</vt:lpstr>
      <vt:lpstr>'Mar ANX II'!Print_Area</vt:lpstr>
      <vt:lpstr>'MAR ANX III'!Print_Area</vt:lpstr>
      <vt:lpstr>'MAY ANX I Signed copy '!Print_Area</vt:lpstr>
      <vt:lpstr>'MAY ANXII ref'!Print_Area</vt:lpstr>
      <vt:lpstr>'Nov ANX I '!Print_Area</vt:lpstr>
      <vt:lpstr>'Nov ANX II'!Print_Area</vt:lpstr>
      <vt:lpstr>'Nov ANX III '!Print_Area</vt:lpstr>
      <vt:lpstr>'Oct ANX I    '!Print_Area</vt:lpstr>
      <vt:lpstr>'oct ANX II '!Print_Area</vt:lpstr>
      <vt:lpstr>'oct ANX III '!Print_Area</vt:lpstr>
      <vt:lpstr>'Sep ANX I   '!Print_Area</vt:lpstr>
      <vt:lpstr>'Sep ANXII'!Print_Area</vt:lpstr>
      <vt:lpstr>'Sep ANXIII '!Print_Area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 TO MD BESCOM</cp:lastModifiedBy>
  <cp:lastPrinted>2018-01-31T08:58:48Z</cp:lastPrinted>
  <dcterms:created xsi:type="dcterms:W3CDTF">2011-05-20T11:01:38Z</dcterms:created>
  <dcterms:modified xsi:type="dcterms:W3CDTF">2018-02-07T11:55:35Z</dcterms:modified>
</cp:coreProperties>
</file>