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euhua/Sites/localhost/zooma-metenova-mixer-selector-api-types/excel/"/>
    </mc:Choice>
  </mc:AlternateContent>
  <xr:revisionPtr revIDLastSave="0" documentId="13_ncr:1_{34B53015-4E68-1248-AD9A-9320C3A8190A}" xr6:coauthVersionLast="47" xr6:coauthVersionMax="47" xr10:uidLastSave="{00000000-0000-0000-0000-000000000000}"/>
  <bookViews>
    <workbookView xWindow="17360" yWindow="-28300" windowWidth="25600" windowHeight="28300" tabRatio="866" activeTab="7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mensions - DIN 28011" sheetId="20" r:id="rId6"/>
    <sheet name="Output" sheetId="13" r:id="rId7"/>
    <sheet name="ZG" sheetId="3" r:id="rId8"/>
    <sheet name="ZGP" sheetId="4" r:id="rId9"/>
    <sheet name="HP" sheetId="5" r:id="rId10"/>
    <sheet name="HS" sheetId="6" r:id="rId11"/>
    <sheet name="ZF" sheetId="7" r:id="rId12"/>
    <sheet name="Min Vol (IGNORE!)" sheetId="19" r:id="rId13"/>
    <sheet name="Min Vol ZG (IGNORE!)" sheetId="8" r:id="rId14"/>
    <sheet name="Vessel Dish Type List (IGNORE!)" sheetId="18" r:id="rId15"/>
    <sheet name="Vessel dimension - (IGNORE)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" i="6" l="1" a="1"/>
  <c r="X49" i="6" s="1"/>
  <c r="X49" i="3" a="1"/>
  <c r="X49" i="3" s="1"/>
  <c r="X50" i="3" s="1"/>
  <c r="S19" i="20" l="1"/>
  <c r="S18" i="20"/>
  <c r="S17" i="20"/>
  <c r="R17" i="20"/>
  <c r="S16" i="20"/>
  <c r="S15" i="20"/>
  <c r="S14" i="20"/>
  <c r="S9" i="20"/>
  <c r="B7" i="20" l="1"/>
  <c r="B5" i="20"/>
  <c r="B4" i="20"/>
  <c r="B23" i="20" s="1"/>
  <c r="B25" i="20" l="1"/>
  <c r="B28" i="20"/>
  <c r="B18" i="20"/>
  <c r="B6" i="20"/>
  <c r="B24" i="20"/>
  <c r="K13" i="11" l="1"/>
  <c r="J13" i="11"/>
  <c r="G17" i="11"/>
  <c r="G4" i="11"/>
  <c r="G7" i="11"/>
  <c r="C15" i="13"/>
  <c r="Q19" i="19" l="1"/>
  <c r="Q18" i="19"/>
  <c r="Q17" i="19"/>
  <c r="P17" i="19"/>
  <c r="Q16" i="19"/>
  <c r="Q15" i="19"/>
  <c r="Q14" i="19"/>
  <c r="Q9" i="19"/>
  <c r="B13" i="19" l="1"/>
  <c r="B19" i="19" s="1"/>
  <c r="B2" i="19"/>
  <c r="D6" i="18"/>
  <c r="D7" i="18"/>
  <c r="H7" i="18" s="1"/>
  <c r="D5" i="18"/>
  <c r="H5" i="18" s="1"/>
  <c r="D4" i="18"/>
  <c r="D3" i="18"/>
  <c r="H3" i="18" s="1"/>
  <c r="D2" i="18"/>
  <c r="H2" i="18" l="1"/>
  <c r="E2" i="19" s="1"/>
  <c r="H4" i="18"/>
  <c r="H6" i="18"/>
  <c r="G6" i="18"/>
  <c r="C4" i="18"/>
  <c r="G4" i="18" s="1"/>
  <c r="G5" i="11"/>
  <c r="F7" i="18"/>
  <c r="G7" i="18"/>
  <c r="C6" i="18"/>
  <c r="B3" i="19"/>
  <c r="B4" i="19" s="1"/>
  <c r="E6" i="18"/>
  <c r="F6" i="18"/>
  <c r="C5" i="18"/>
  <c r="G5" i="18" s="1"/>
  <c r="E7" i="18"/>
  <c r="C7" i="18"/>
  <c r="B17" i="19"/>
  <c r="B16" i="19"/>
  <c r="B18" i="19"/>
  <c r="B15" i="19"/>
  <c r="B14" i="19"/>
  <c r="C2" i="18"/>
  <c r="C3" i="18"/>
  <c r="G9" i="11" l="1"/>
  <c r="B8" i="20"/>
  <c r="B8" i="11"/>
  <c r="E4" i="18"/>
  <c r="J4" i="11"/>
  <c r="B15" i="20"/>
  <c r="B33" i="20" s="1"/>
  <c r="B12" i="11"/>
  <c r="F4" i="18"/>
  <c r="F3" i="18"/>
  <c r="G3" i="18"/>
  <c r="E3" i="18"/>
  <c r="F2" i="18"/>
  <c r="G2" i="18"/>
  <c r="B5" i="19"/>
  <c r="F5" i="18"/>
  <c r="E5" i="18"/>
  <c r="E2" i="18"/>
  <c r="B17" i="20" l="1"/>
  <c r="B16" i="20"/>
  <c r="B13" i="11"/>
  <c r="B10" i="20"/>
  <c r="B9" i="20"/>
  <c r="B8" i="19"/>
  <c r="G12" i="11"/>
  <c r="B7" i="19"/>
  <c r="G11" i="11"/>
  <c r="B6" i="19"/>
  <c r="G10" i="11"/>
  <c r="B11" i="20" l="1"/>
  <c r="B27" i="20"/>
  <c r="B29" i="20" s="1"/>
  <c r="B34" i="20" s="1"/>
  <c r="B35" i="20" s="1"/>
  <c r="B19" i="20"/>
  <c r="B9" i="19"/>
  <c r="E3" i="19" s="1"/>
  <c r="G34" i="19" s="1"/>
  <c r="E5" i="19"/>
  <c r="E6" i="19" s="1"/>
  <c r="E7" i="19" s="1"/>
  <c r="J33" i="20" l="1"/>
  <c r="H33" i="20"/>
  <c r="G33" i="20"/>
  <c r="F33" i="20"/>
  <c r="I33" i="20"/>
  <c r="I32" i="20"/>
  <c r="F32" i="20"/>
  <c r="H32" i="20"/>
  <c r="B14" i="20"/>
  <c r="B13" i="20"/>
  <c r="G32" i="20"/>
  <c r="J32" i="20"/>
  <c r="I35" i="19"/>
  <c r="I33" i="19"/>
  <c r="I34" i="19"/>
  <c r="I36" i="19"/>
  <c r="G36" i="19"/>
  <c r="G33" i="19"/>
  <c r="E4" i="19"/>
  <c r="E16" i="19"/>
  <c r="G35" i="19"/>
  <c r="F8" i="19"/>
  <c r="E8" i="19"/>
  <c r="F7" i="19"/>
  <c r="I37" i="19" l="1"/>
  <c r="E9" i="19"/>
  <c r="E10" i="19" s="1"/>
  <c r="G14" i="19" s="1"/>
  <c r="F9" i="19"/>
  <c r="F10" i="19" s="1"/>
  <c r="H14" i="19" s="1"/>
  <c r="E19" i="19" l="1"/>
  <c r="B34" i="19"/>
  <c r="B36" i="19"/>
  <c r="E29" i="19"/>
  <c r="B33" i="19"/>
  <c r="D35" i="19"/>
  <c r="D33" i="19"/>
  <c r="D36" i="19"/>
  <c r="B35" i="19"/>
  <c r="D37" i="19" s="1"/>
  <c r="E21" i="19"/>
  <c r="E30" i="19"/>
  <c r="E13" i="19"/>
  <c r="E18" i="19"/>
  <c r="D34" i="19"/>
  <c r="C4" i="13"/>
  <c r="G5" i="13"/>
  <c r="F5" i="13"/>
  <c r="E5" i="13"/>
  <c r="D5" i="13"/>
  <c r="C5" i="13"/>
  <c r="G6" i="13"/>
  <c r="F6" i="13"/>
  <c r="E6" i="13"/>
  <c r="D6" i="13"/>
  <c r="C6" i="13"/>
  <c r="G3" i="13"/>
  <c r="F3" i="13"/>
  <c r="E3" i="13"/>
  <c r="D3" i="13"/>
  <c r="C3" i="13"/>
  <c r="G21" i="13"/>
  <c r="F21" i="13"/>
  <c r="E21" i="13"/>
  <c r="D21" i="13"/>
  <c r="C21" i="13"/>
  <c r="D13" i="1"/>
  <c r="D35" i="13"/>
  <c r="C36" i="13"/>
  <c r="W5" i="3"/>
  <c r="V5" i="3"/>
  <c r="U5" i="3"/>
  <c r="T5" i="3"/>
  <c r="D22" i="13"/>
  <c r="E22" i="13"/>
  <c r="F22" i="13"/>
  <c r="G22" i="13"/>
  <c r="C22" i="13"/>
  <c r="D15" i="13"/>
  <c r="E15" i="13"/>
  <c r="F15" i="13"/>
  <c r="G15" i="13"/>
  <c r="D14" i="13"/>
  <c r="E14" i="13"/>
  <c r="F14" i="13"/>
  <c r="G14" i="13"/>
  <c r="C14" i="13"/>
  <c r="G12" i="13"/>
  <c r="F12" i="13"/>
  <c r="E12" i="13"/>
  <c r="D12" i="13"/>
  <c r="C12" i="13"/>
  <c r="G10" i="13"/>
  <c r="F10" i="13"/>
  <c r="E10" i="13"/>
  <c r="D10" i="13"/>
  <c r="C10" i="13"/>
  <c r="B7" i="11"/>
  <c r="J11" i="11" l="1"/>
  <c r="K14" i="11"/>
  <c r="J10" i="11"/>
  <c r="J14" i="11"/>
  <c r="J12" i="11"/>
  <c r="E39" i="19"/>
  <c r="G29" i="19"/>
  <c r="W66" i="7"/>
  <c r="W66" i="6"/>
  <c r="W66" i="5"/>
  <c r="D38" i="13"/>
  <c r="G38" i="13"/>
  <c r="F38" i="13"/>
  <c r="E38" i="13"/>
  <c r="C38" i="13"/>
  <c r="G39" i="13"/>
  <c r="F39" i="13"/>
  <c r="E39" i="13"/>
  <c r="C39" i="13"/>
  <c r="W66" i="4"/>
  <c r="W66" i="3" l="1"/>
  <c r="F47" i="13" l="1"/>
  <c r="E47" i="13"/>
  <c r="D47" i="13"/>
  <c r="C47" i="13"/>
  <c r="F45" i="13"/>
  <c r="E45" i="13"/>
  <c r="D45" i="13"/>
  <c r="C45" i="13"/>
  <c r="F42" i="13"/>
  <c r="E42" i="13"/>
  <c r="D42" i="13"/>
  <c r="C42" i="13"/>
  <c r="G23" i="13" l="1"/>
  <c r="F23" i="13"/>
  <c r="E23" i="13"/>
  <c r="D23" i="13"/>
  <c r="C23" i="13"/>
  <c r="G36" i="13"/>
  <c r="F36" i="13"/>
  <c r="E36" i="13"/>
  <c r="C35" i="13"/>
  <c r="G35" i="13"/>
  <c r="F35" i="13"/>
  <c r="E35" i="13"/>
  <c r="B45" i="7"/>
  <c r="B45" i="6"/>
  <c r="B45" i="4"/>
  <c r="B45" i="5"/>
  <c r="F46" i="13" l="1"/>
  <c r="E46" i="13"/>
  <c r="D46" i="13"/>
  <c r="C46" i="13"/>
  <c r="F44" i="13"/>
  <c r="E44" i="13"/>
  <c r="D44" i="13"/>
  <c r="C44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G9" i="13"/>
  <c r="G8" i="13"/>
  <c r="F9" i="13"/>
  <c r="F8" i="13"/>
  <c r="E9" i="13"/>
  <c r="E8" i="13"/>
  <c r="D9" i="13"/>
  <c r="D8" i="13"/>
  <c r="G4" i="13"/>
  <c r="F4" i="13"/>
  <c r="E4" i="13"/>
  <c r="D4" i="13"/>
  <c r="C9" i="13"/>
  <c r="C8" i="13"/>
  <c r="B22" i="11"/>
  <c r="B5" i="11"/>
  <c r="B10" i="11" s="1"/>
  <c r="B4" i="11"/>
  <c r="L66" i="3"/>
  <c r="L67" i="3"/>
  <c r="L68" i="3"/>
  <c r="L69" i="3"/>
  <c r="J65" i="3"/>
  <c r="H67" i="3"/>
  <c r="J67" i="3" s="1"/>
  <c r="H69" i="3"/>
  <c r="J69" i="3" s="1"/>
  <c r="H65" i="3"/>
  <c r="G13" i="11" l="1"/>
  <c r="B14" i="11"/>
  <c r="B6" i="11"/>
  <c r="B11" i="11"/>
  <c r="B15" i="11"/>
  <c r="B25" i="11"/>
  <c r="B21" i="11"/>
  <c r="B20" i="11"/>
  <c r="K12" i="11" l="1"/>
  <c r="K11" i="11"/>
  <c r="G22" i="11"/>
  <c r="G21" i="11"/>
  <c r="G20" i="11"/>
  <c r="G19" i="11"/>
  <c r="G18" i="11"/>
  <c r="G23" i="11"/>
  <c r="J7" i="11"/>
  <c r="J5" i="11"/>
  <c r="J17" i="11"/>
  <c r="I17" i="11"/>
  <c r="B30" i="11"/>
  <c r="C11" i="13"/>
  <c r="F11" i="13"/>
  <c r="D11" i="13"/>
  <c r="E11" i="13"/>
  <c r="G11" i="13"/>
  <c r="B24" i="11"/>
  <c r="B26" i="11" s="1"/>
  <c r="B31" i="11" s="1"/>
  <c r="B16" i="11"/>
  <c r="J9" i="11" s="1"/>
  <c r="B32" i="11" l="1"/>
  <c r="C13" i="13" s="1"/>
  <c r="D18" i="13"/>
  <c r="E18" i="13"/>
  <c r="F18" i="13"/>
  <c r="G18" i="13"/>
  <c r="C18" i="13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G13" i="13" l="1"/>
  <c r="F13" i="13"/>
  <c r="E13" i="13"/>
  <c r="D13" i="13"/>
  <c r="B45" i="3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X49" i="4" s="1" a="1"/>
  <c r="X49" i="4" s="1"/>
  <c r="B44" i="7"/>
  <c r="X49" i="7" s="1" a="1"/>
  <c r="X49" i="7" s="1"/>
  <c r="B44" i="5"/>
  <c r="X49" i="5" s="1" a="1"/>
  <c r="X49" i="5" s="1"/>
  <c r="X55" i="5" s="1"/>
  <c r="B44" i="3"/>
  <c r="F44" i="3"/>
  <c r="F52" i="6" l="1"/>
  <c r="H52" i="6" s="1"/>
  <c r="J52" i="6" s="1"/>
  <c r="F50" i="6"/>
  <c r="F52" i="5"/>
  <c r="H52" i="5" s="1"/>
  <c r="F50" i="5"/>
  <c r="F48" i="5"/>
  <c r="H48" i="5" s="1"/>
  <c r="F48" i="4"/>
  <c r="H48" i="4" s="1"/>
  <c r="F54" i="4"/>
  <c r="H54" i="4" s="1"/>
  <c r="F48" i="6"/>
  <c r="H48" i="6" s="1"/>
  <c r="J48" i="6" s="1"/>
  <c r="F50" i="7"/>
  <c r="F48" i="7"/>
  <c r="F52" i="4"/>
  <c r="H52" i="4" s="1"/>
  <c r="F50" i="4"/>
  <c r="H50" i="4" s="1"/>
  <c r="C24" i="13"/>
  <c r="F23" i="20" s="1"/>
  <c r="C31" i="13"/>
  <c r="G31" i="13"/>
  <c r="G24" i="13"/>
  <c r="J23" i="20" s="1"/>
  <c r="D31" i="13"/>
  <c r="D24" i="13"/>
  <c r="G23" i="20" s="1"/>
  <c r="F31" i="13"/>
  <c r="F24" i="13"/>
  <c r="I23" i="20" s="1"/>
  <c r="E31" i="13"/>
  <c r="E24" i="13"/>
  <c r="H23" i="20" s="1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G49" i="3"/>
  <c r="K49" i="3" s="1"/>
  <c r="H55" i="4"/>
  <c r="H49" i="4"/>
  <c r="H53" i="4"/>
  <c r="H51" i="4"/>
  <c r="G54" i="4"/>
  <c r="G52" i="4"/>
  <c r="G50" i="4"/>
  <c r="G48" i="4"/>
  <c r="G48" i="6"/>
  <c r="G50" i="6"/>
  <c r="G52" i="6"/>
  <c r="G48" i="7"/>
  <c r="G50" i="7"/>
  <c r="G50" i="5"/>
  <c r="G52" i="5"/>
  <c r="G48" i="5"/>
  <c r="B2" i="8"/>
  <c r="G26" i="8" s="1"/>
  <c r="H64" i="3" l="1"/>
  <c r="X60" i="3"/>
  <c r="H29" i="20"/>
  <c r="H27" i="20"/>
  <c r="H26" i="20"/>
  <c r="H25" i="20"/>
  <c r="H31" i="20"/>
  <c r="H28" i="20"/>
  <c r="H24" i="20"/>
  <c r="H34" i="20" s="1"/>
  <c r="H35" i="20" s="1"/>
  <c r="G24" i="20"/>
  <c r="G34" i="20" s="1"/>
  <c r="G35" i="20" s="1"/>
  <c r="G25" i="20"/>
  <c r="G28" i="20"/>
  <c r="G27" i="20"/>
  <c r="G29" i="20"/>
  <c r="G31" i="20"/>
  <c r="G26" i="20"/>
  <c r="J31" i="20"/>
  <c r="J25" i="20"/>
  <c r="J27" i="20"/>
  <c r="J29" i="20"/>
  <c r="J26" i="20"/>
  <c r="J28" i="20"/>
  <c r="J24" i="20"/>
  <c r="J34" i="20" s="1"/>
  <c r="J35" i="20" s="1"/>
  <c r="F24" i="20"/>
  <c r="F34" i="20" s="1"/>
  <c r="F35" i="20" s="1"/>
  <c r="F28" i="20"/>
  <c r="F31" i="20"/>
  <c r="F25" i="20"/>
  <c r="F26" i="20"/>
  <c r="F27" i="20"/>
  <c r="F29" i="20"/>
  <c r="I31" i="20"/>
  <c r="I27" i="20"/>
  <c r="I28" i="20"/>
  <c r="I24" i="20"/>
  <c r="I34" i="20" s="1"/>
  <c r="I35" i="20" s="1"/>
  <c r="I25" i="20"/>
  <c r="I26" i="20"/>
  <c r="I29" i="20"/>
  <c r="X51" i="5"/>
  <c r="X60" i="7"/>
  <c r="H50" i="7"/>
  <c r="K50" i="7" s="1"/>
  <c r="H62" i="3"/>
  <c r="K62" i="3" s="1"/>
  <c r="C32" i="13"/>
  <c r="F32" i="13"/>
  <c r="F33" i="13"/>
  <c r="F37" i="13"/>
  <c r="F34" i="13"/>
  <c r="D33" i="13"/>
  <c r="D37" i="13"/>
  <c r="D34" i="13"/>
  <c r="D32" i="13"/>
  <c r="C37" i="13"/>
  <c r="C33" i="13"/>
  <c r="C34" i="13"/>
  <c r="G34" i="13"/>
  <c r="G37" i="13"/>
  <c r="G33" i="13"/>
  <c r="G32" i="13"/>
  <c r="E33" i="13"/>
  <c r="E37" i="13"/>
  <c r="E32" i="13"/>
  <c r="E34" i="13"/>
  <c r="H48" i="7"/>
  <c r="K48" i="7" s="1"/>
  <c r="H50" i="6"/>
  <c r="J50" i="6" s="1"/>
  <c r="X60" i="6" s="1"/>
  <c r="H50" i="5"/>
  <c r="J50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Z49" i="3" s="1"/>
  <c r="K52" i="5"/>
  <c r="J52" i="5"/>
  <c r="K48" i="5"/>
  <c r="J48" i="5"/>
  <c r="K50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X63" i="3" l="1"/>
  <c r="X62" i="3"/>
  <c r="X51" i="3"/>
  <c r="X55" i="3"/>
  <c r="X63" i="6"/>
  <c r="X62" i="6"/>
  <c r="X54" i="6" s="1"/>
  <c r="F28" i="13" s="1"/>
  <c r="X54" i="3"/>
  <c r="F40" i="20"/>
  <c r="H36" i="20"/>
  <c r="J50" i="7"/>
  <c r="J39" i="20"/>
  <c r="J41" i="20"/>
  <c r="J44" i="20" s="1"/>
  <c r="J47" i="20" s="1"/>
  <c r="J50" i="20" s="1"/>
  <c r="J40" i="20"/>
  <c r="J36" i="20"/>
  <c r="G39" i="20"/>
  <c r="G40" i="20"/>
  <c r="G41" i="20"/>
  <c r="G44" i="20" s="1"/>
  <c r="G47" i="20" s="1"/>
  <c r="G50" i="20" s="1"/>
  <c r="G36" i="20"/>
  <c r="H39" i="20"/>
  <c r="I41" i="20"/>
  <c r="I44" i="20" s="1"/>
  <c r="I47" i="20" s="1"/>
  <c r="I50" i="20" s="1"/>
  <c r="H41" i="20"/>
  <c r="H44" i="20" s="1"/>
  <c r="H47" i="20" s="1"/>
  <c r="H50" i="20" s="1"/>
  <c r="H40" i="20"/>
  <c r="F38" i="20"/>
  <c r="F36" i="20"/>
  <c r="F37" i="20"/>
  <c r="F41" i="20"/>
  <c r="F39" i="20"/>
  <c r="H37" i="20"/>
  <c r="J37" i="20"/>
  <c r="G37" i="20"/>
  <c r="I37" i="20"/>
  <c r="I36" i="20"/>
  <c r="I40" i="20"/>
  <c r="I39" i="20"/>
  <c r="E25" i="13"/>
  <c r="F25" i="13"/>
  <c r="X72" i="6"/>
  <c r="X70" i="6"/>
  <c r="X74" i="6"/>
  <c r="X73" i="6"/>
  <c r="X71" i="6"/>
  <c r="X75" i="6"/>
  <c r="X67" i="6"/>
  <c r="X76" i="6"/>
  <c r="X77" i="6"/>
  <c r="X68" i="6"/>
  <c r="X69" i="6"/>
  <c r="X55" i="6"/>
  <c r="X56" i="6" s="1"/>
  <c r="J48" i="7"/>
  <c r="X51" i="6"/>
  <c r="X50" i="6"/>
  <c r="Z49" i="6"/>
  <c r="K50" i="6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X53" i="6" l="1"/>
  <c r="Z53" i="6" s="1"/>
  <c r="X52" i="6"/>
  <c r="Z52" i="6" s="1"/>
  <c r="Z54" i="6"/>
  <c r="X53" i="3"/>
  <c r="Z53" i="3" s="1"/>
  <c r="X52" i="3"/>
  <c r="Z52" i="3" s="1"/>
  <c r="T52" i="3"/>
  <c r="C28" i="13"/>
  <c r="Z54" i="3"/>
  <c r="F44" i="20"/>
  <c r="F47" i="20" s="1"/>
  <c r="F50" i="20" s="1"/>
  <c r="H42" i="20"/>
  <c r="H45" i="20" s="1"/>
  <c r="H48" i="20" s="1"/>
  <c r="E16" i="13" s="1"/>
  <c r="H43" i="20"/>
  <c r="H46" i="20" s="1"/>
  <c r="H49" i="20" s="1"/>
  <c r="E17" i="13" s="1"/>
  <c r="G43" i="20"/>
  <c r="G46" i="20" s="1"/>
  <c r="G49" i="20" s="1"/>
  <c r="D17" i="13" s="1"/>
  <c r="J43" i="20"/>
  <c r="J46" i="20" s="1"/>
  <c r="J49" i="20" s="1"/>
  <c r="G17" i="13" s="1"/>
  <c r="F42" i="20"/>
  <c r="F45" i="20" s="1"/>
  <c r="G42" i="20"/>
  <c r="G45" i="20" s="1"/>
  <c r="G48" i="20" s="1"/>
  <c r="D16" i="13" s="1"/>
  <c r="F43" i="20"/>
  <c r="F46" i="20" s="1"/>
  <c r="F49" i="20" s="1"/>
  <c r="C17" i="13" s="1"/>
  <c r="J42" i="20"/>
  <c r="J45" i="20" s="1"/>
  <c r="J48" i="20" s="1"/>
  <c r="G16" i="13" s="1"/>
  <c r="I42" i="20"/>
  <c r="I45" i="20" s="1"/>
  <c r="I48" i="20" s="1"/>
  <c r="F16" i="13" s="1"/>
  <c r="I43" i="20"/>
  <c r="I46" i="20" s="1"/>
  <c r="I49" i="20" s="1"/>
  <c r="F17" i="13" s="1"/>
  <c r="X60" i="5"/>
  <c r="Z49" i="5"/>
  <c r="Z51" i="5"/>
  <c r="X50" i="5"/>
  <c r="Z50" i="5" s="1"/>
  <c r="E26" i="13" s="1"/>
  <c r="X57" i="5"/>
  <c r="C25" i="13"/>
  <c r="Z50" i="6"/>
  <c r="F26" i="13" s="1"/>
  <c r="Z56" i="6"/>
  <c r="Z51" i="6"/>
  <c r="F27" i="13"/>
  <c r="X61" i="6"/>
  <c r="X58" i="6" s="1"/>
  <c r="E27" i="13"/>
  <c r="G25" i="13"/>
  <c r="X60" i="4"/>
  <c r="D25" i="13"/>
  <c r="X50" i="4"/>
  <c r="Z50" i="4" s="1"/>
  <c r="D26" i="13" s="1"/>
  <c r="Z49" i="4"/>
  <c r="X51" i="4"/>
  <c r="X55" i="4"/>
  <c r="X57" i="4" s="1"/>
  <c r="X57" i="6"/>
  <c r="Z55" i="6"/>
  <c r="X51" i="7"/>
  <c r="X50" i="7"/>
  <c r="Z50" i="7" s="1"/>
  <c r="G26" i="13" s="1"/>
  <c r="X55" i="7"/>
  <c r="Z49" i="7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X63" i="7" l="1"/>
  <c r="X62" i="7"/>
  <c r="X54" i="7"/>
  <c r="X62" i="4"/>
  <c r="X63" i="4"/>
  <c r="X63" i="5"/>
  <c r="X62" i="5"/>
  <c r="X54" i="5" s="1"/>
  <c r="E28" i="13" s="1"/>
  <c r="X54" i="4"/>
  <c r="F48" i="20"/>
  <c r="C16" i="13" s="1"/>
  <c r="X56" i="5"/>
  <c r="Z56" i="5" s="1"/>
  <c r="X68" i="5"/>
  <c r="X77" i="5"/>
  <c r="X69" i="5"/>
  <c r="X61" i="5"/>
  <c r="X58" i="5" s="1"/>
  <c r="X75" i="5"/>
  <c r="X74" i="5"/>
  <c r="X73" i="5"/>
  <c r="X72" i="5"/>
  <c r="X70" i="5"/>
  <c r="X71" i="5"/>
  <c r="Z55" i="5"/>
  <c r="X76" i="5"/>
  <c r="X67" i="5"/>
  <c r="Z51" i="3"/>
  <c r="Z50" i="3"/>
  <c r="C26" i="13" s="1"/>
  <c r="Y77" i="6"/>
  <c r="Y70" i="6"/>
  <c r="Y73" i="6"/>
  <c r="Y67" i="6"/>
  <c r="Y75" i="6"/>
  <c r="Y71" i="6"/>
  <c r="Y74" i="6"/>
  <c r="Y72" i="6"/>
  <c r="Y69" i="6"/>
  <c r="Y68" i="6"/>
  <c r="Y76" i="6"/>
  <c r="Z57" i="6"/>
  <c r="X56" i="4"/>
  <c r="Z55" i="4"/>
  <c r="X73" i="4"/>
  <c r="X75" i="4"/>
  <c r="X74" i="4"/>
  <c r="X68" i="4"/>
  <c r="X76" i="4"/>
  <c r="X69" i="4"/>
  <c r="X77" i="4"/>
  <c r="X70" i="4"/>
  <c r="X67" i="4"/>
  <c r="X71" i="4"/>
  <c r="X72" i="4"/>
  <c r="X61" i="7"/>
  <c r="X58" i="7" s="1"/>
  <c r="Z51" i="7"/>
  <c r="G27" i="13"/>
  <c r="X75" i="7"/>
  <c r="X68" i="7"/>
  <c r="X69" i="7"/>
  <c r="X77" i="7"/>
  <c r="X76" i="7"/>
  <c r="X70" i="7"/>
  <c r="X67" i="7"/>
  <c r="X71" i="7"/>
  <c r="X72" i="7"/>
  <c r="X73" i="7"/>
  <c r="X74" i="7"/>
  <c r="Z57" i="4"/>
  <c r="X61" i="4"/>
  <c r="X58" i="4" s="1"/>
  <c r="Z57" i="5"/>
  <c r="Z51" i="4"/>
  <c r="D27" i="13"/>
  <c r="X56" i="3"/>
  <c r="Z56" i="3" s="1"/>
  <c r="X61" i="3"/>
  <c r="X57" i="3"/>
  <c r="X57" i="7"/>
  <c r="X56" i="7"/>
  <c r="Z56" i="7" s="1"/>
  <c r="Z55" i="7"/>
  <c r="C51" i="8"/>
  <c r="B51" i="8" s="1"/>
  <c r="J50" i="8"/>
  <c r="K50" i="8" s="1"/>
  <c r="D50" i="8"/>
  <c r="C34" i="8"/>
  <c r="G40" i="8"/>
  <c r="J52" i="8"/>
  <c r="I53" i="8"/>
  <c r="H53" i="8" s="1"/>
  <c r="Z54" i="7" l="1"/>
  <c r="X52" i="7"/>
  <c r="Z52" i="7" s="1"/>
  <c r="X53" i="7"/>
  <c r="Z53" i="7" s="1"/>
  <c r="G28" i="13"/>
  <c r="Z54" i="5"/>
  <c r="X52" i="5"/>
  <c r="Z52" i="5" s="1"/>
  <c r="X53" i="5"/>
  <c r="Z53" i="5" s="1"/>
  <c r="X53" i="4"/>
  <c r="Z53" i="4" s="1"/>
  <c r="X52" i="4"/>
  <c r="Z52" i="4" s="1"/>
  <c r="D28" i="13"/>
  <c r="Z56" i="4"/>
  <c r="X58" i="3"/>
  <c r="Y73" i="5"/>
  <c r="X73" i="3"/>
  <c r="Y70" i="5"/>
  <c r="Y72" i="5"/>
  <c r="Y77" i="5"/>
  <c r="Y74" i="5"/>
  <c r="Y69" i="5"/>
  <c r="Y76" i="5"/>
  <c r="Y68" i="5"/>
  <c r="Y75" i="5"/>
  <c r="Y71" i="5"/>
  <c r="Y67" i="5"/>
  <c r="C27" i="13"/>
  <c r="Z55" i="3"/>
  <c r="X72" i="3"/>
  <c r="X76" i="3"/>
  <c r="X70" i="3"/>
  <c r="X68" i="3"/>
  <c r="X71" i="3"/>
  <c r="X77" i="3"/>
  <c r="X67" i="3"/>
  <c r="X75" i="3"/>
  <c r="X69" i="3"/>
  <c r="X74" i="3"/>
  <c r="Z54" i="4"/>
  <c r="Y70" i="7"/>
  <c r="Y67" i="7"/>
  <c r="Y72" i="7"/>
  <c r="Y71" i="7"/>
  <c r="Y73" i="7"/>
  <c r="Y74" i="7"/>
  <c r="Y75" i="7"/>
  <c r="Y68" i="7"/>
  <c r="Y76" i="7"/>
  <c r="Y69" i="7"/>
  <c r="Y77" i="7"/>
  <c r="Y68" i="4"/>
  <c r="Y76" i="4"/>
  <c r="Y77" i="4"/>
  <c r="Y70" i="4"/>
  <c r="Y67" i="4"/>
  <c r="Y69" i="4"/>
  <c r="Y71" i="4"/>
  <c r="Y72" i="4"/>
  <c r="Y73" i="4"/>
  <c r="Y74" i="4"/>
  <c r="Y75" i="4"/>
  <c r="Z57" i="7"/>
  <c r="Z57" i="3"/>
  <c r="Y72" i="3"/>
  <c r="Y73" i="3"/>
  <c r="Y74" i="3"/>
  <c r="Y75" i="3"/>
  <c r="Y68" i="3"/>
  <c r="Y76" i="3"/>
  <c r="Y69" i="3"/>
  <c r="Y77" i="3"/>
  <c r="Y70" i="3"/>
  <c r="Y67" i="3"/>
  <c r="Y71" i="3"/>
  <c r="Z58" i="6"/>
  <c r="D51" i="8"/>
  <c r="E50" i="8" s="1"/>
  <c r="C52" i="8"/>
  <c r="B52" i="8" s="1"/>
  <c r="K51" i="8"/>
  <c r="J53" i="8"/>
  <c r="K52" i="8" s="1"/>
  <c r="I54" i="8"/>
  <c r="H54" i="8" s="1"/>
  <c r="Z58" i="5" l="1"/>
  <c r="Z58" i="4"/>
  <c r="Z58" i="3"/>
  <c r="Z58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 l="1"/>
  <c r="H84" i="8" s="1"/>
  <c r="J83" i="8"/>
  <c r="K82" i="8" s="1"/>
  <c r="E82" i="8"/>
  <c r="B84" i="8"/>
  <c r="C85" i="8"/>
  <c r="D84" i="8"/>
  <c r="J84" i="8" l="1"/>
  <c r="K83" i="8" s="1"/>
  <c r="I85" i="8"/>
  <c r="H85" i="8" s="1"/>
  <c r="C86" i="8"/>
  <c r="D85" i="8"/>
  <c r="B85" i="8"/>
  <c r="E83" i="8"/>
  <c r="J85" i="8" l="1"/>
  <c r="K84" i="8" s="1"/>
  <c r="I86" i="8"/>
  <c r="H86" i="8" s="1"/>
  <c r="E84" i="8"/>
  <c r="D86" i="8"/>
  <c r="B86" i="8"/>
  <c r="C87" i="8"/>
  <c r="I87" i="8" l="1"/>
  <c r="H87" i="8" s="1"/>
  <c r="J86" i="8"/>
  <c r="K85" i="8" s="1"/>
  <c r="B87" i="8"/>
  <c r="C88" i="8"/>
  <c r="D87" i="8"/>
  <c r="E85" i="8"/>
  <c r="J87" i="8" l="1"/>
  <c r="K86" i="8" s="1"/>
  <c r="I88" i="8"/>
  <c r="H88" i="8" s="1"/>
  <c r="E86" i="8"/>
  <c r="B88" i="8"/>
  <c r="D88" i="8"/>
  <c r="C89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I172" i="8"/>
  <c r="H172" i="8" s="1"/>
  <c r="J171" i="8"/>
  <c r="E170" i="8" l="1"/>
  <c r="B172" i="8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89" i="8"/>
  <c r="I192" i="8"/>
  <c r="H192" i="8" s="1"/>
  <c r="J191" i="8"/>
  <c r="E190" i="8" l="1"/>
  <c r="B192" i="8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I203" i="8"/>
  <c r="H203" i="8" s="1"/>
  <c r="J202" i="8"/>
  <c r="K200" i="8"/>
  <c r="E201" i="8" l="1"/>
  <c r="B203" i="8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K217" i="8"/>
  <c r="I220" i="8"/>
  <c r="H220" i="8" s="1"/>
  <c r="J219" i="8"/>
  <c r="E218" i="8" l="1"/>
  <c r="D220" i="8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I334" i="8"/>
  <c r="H334" i="8" s="1"/>
  <c r="J333" i="8"/>
  <c r="K332" i="8" s="1"/>
  <c r="K331" i="8"/>
  <c r="E332" i="8" l="1"/>
  <c r="D334" i="8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I369" i="8"/>
  <c r="H369" i="8" s="1"/>
  <c r="J368" i="8"/>
  <c r="K367" i="8" s="1"/>
  <c r="K366" i="8"/>
  <c r="E367" i="8" l="1"/>
  <c r="D369" i="8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I382" i="8"/>
  <c r="H382" i="8" s="1"/>
  <c r="J381" i="8"/>
  <c r="E380" i="8" l="1"/>
  <c r="K380" i="8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K393" i="8"/>
  <c r="I396" i="8"/>
  <c r="H396" i="8" s="1"/>
  <c r="J395" i="8"/>
  <c r="K394" i="8" s="1"/>
  <c r="E394" i="8" l="1"/>
  <c r="B396" i="8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I400" i="8"/>
  <c r="H400" i="8" s="1"/>
  <c r="J399" i="8"/>
  <c r="E398" i="8" l="1"/>
  <c r="B400" i="8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I441" i="8"/>
  <c r="H441" i="8" s="1"/>
  <c r="J440" i="8"/>
  <c r="E439" i="8" l="1"/>
  <c r="D441" i="8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I550" i="8"/>
  <c r="H550" i="8" s="1"/>
  <c r="J549" i="8"/>
  <c r="E548" i="8" l="1"/>
  <c r="B550" i="8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K568" i="8"/>
  <c r="I571" i="8"/>
  <c r="H571" i="8" s="1"/>
  <c r="J570" i="8"/>
  <c r="E569" i="8" l="1"/>
  <c r="B571" i="8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C627" i="8"/>
  <c r="K624" i="8"/>
  <c r="I627" i="8"/>
  <c r="H627" i="8" s="1"/>
  <c r="J626" i="8"/>
  <c r="K625" i="8" s="1"/>
  <c r="E625" i="8" l="1"/>
  <c r="B627" i="8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2" i="8"/>
  <c r="K642" i="8"/>
  <c r="I645" i="8"/>
  <c r="H645" i="8" s="1"/>
  <c r="J644" i="8"/>
  <c r="E643" i="8" l="1"/>
  <c r="B645" i="8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C659" i="8"/>
  <c r="I659" i="8"/>
  <c r="H659" i="8" s="1"/>
  <c r="J658" i="8"/>
  <c r="E657" i="8" l="1"/>
  <c r="B659" i="8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I696" i="8"/>
  <c r="H696" i="8" s="1"/>
  <c r="J695" i="8"/>
  <c r="E694" i="8" l="1"/>
  <c r="D696" i="8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I712" i="8"/>
  <c r="H712" i="8" s="1"/>
  <c r="J711" i="8"/>
  <c r="K709" i="8"/>
  <c r="E710" i="8" l="1"/>
  <c r="B712" i="8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I758" i="8"/>
  <c r="H758" i="8" s="1"/>
  <c r="J757" i="8"/>
  <c r="K755" i="8"/>
  <c r="E756" i="8" l="1"/>
  <c r="D758" i="8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I765" i="8"/>
  <c r="H765" i="8" s="1"/>
  <c r="J764" i="8"/>
  <c r="K762" i="8"/>
  <c r="E763" i="8" l="1"/>
  <c r="B765" i="8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C787" i="8"/>
  <c r="I787" i="8"/>
  <c r="H787" i="8" s="1"/>
  <c r="J786" i="8"/>
  <c r="E785" i="8" l="1"/>
  <c r="B787" i="8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C890" i="8"/>
  <c r="I890" i="8"/>
  <c r="H890" i="8" s="1"/>
  <c r="J889" i="8"/>
  <c r="E888" i="8" l="1"/>
  <c r="D890" i="8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I920" i="8"/>
  <c r="H920" i="8" s="1"/>
  <c r="J919" i="8"/>
  <c r="E918" i="8" l="1"/>
  <c r="B920" i="8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K1025" i="8"/>
  <c r="I1028" i="8"/>
  <c r="H1028" i="8" s="1"/>
  <c r="J1027" i="8"/>
  <c r="K1026" i="8" s="1"/>
  <c r="E1026" i="8" l="1"/>
  <c r="C1029" i="8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199" i="8"/>
  <c r="I1202" i="8"/>
  <c r="H1202" i="8" s="1"/>
  <c r="J1201" i="8"/>
  <c r="K1199" i="8"/>
  <c r="E1200" i="8" l="1"/>
  <c r="B1202" i="8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K1293" i="8"/>
  <c r="I1296" i="8"/>
  <c r="H1296" i="8" s="1"/>
  <c r="J1295" i="8"/>
  <c r="E1294" i="8" l="1"/>
  <c r="B1296" i="8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C1302" i="8"/>
  <c r="I1302" i="8"/>
  <c r="H1302" i="8" s="1"/>
  <c r="J1301" i="8"/>
  <c r="K1300" i="8" s="1"/>
  <c r="K1299" i="8"/>
  <c r="E1300" i="8" l="1"/>
  <c r="D1302" i="8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C1311" i="8"/>
  <c r="I1311" i="8"/>
  <c r="H1311" i="8" s="1"/>
  <c r="J1310" i="8"/>
  <c r="K1308" i="8"/>
  <c r="E1309" i="8" l="1"/>
  <c r="C1312" i="8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I1372" i="8"/>
  <c r="H1372" i="8" s="1"/>
  <c r="J1371" i="8"/>
  <c r="K1369" i="8"/>
  <c r="E1370" i="8" l="1"/>
  <c r="C1373" i="8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K1403" i="8"/>
  <c r="I1406" i="8"/>
  <c r="H1406" i="8" s="1"/>
  <c r="J1405" i="8"/>
  <c r="E1404" i="8" l="1"/>
  <c r="B1406" i="8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I1509" i="8"/>
  <c r="H1509" i="8" s="1"/>
  <c r="J1508" i="8"/>
  <c r="K1506" i="8"/>
  <c r="E1507" i="8" l="1"/>
  <c r="B1509" i="8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0" i="8"/>
  <c r="I1843" i="8"/>
  <c r="H1843" i="8" s="1"/>
  <c r="J1842" i="8"/>
  <c r="K1840" i="8"/>
  <c r="E1841" i="8" l="1"/>
  <c r="B1843" i="8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K1870" i="8"/>
  <c r="I1873" i="8"/>
  <c r="H1873" i="8" s="1"/>
  <c r="J1872" i="8"/>
  <c r="E1871" i="8" l="1"/>
  <c r="K1871" i="8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C1911" i="8"/>
  <c r="E1908" i="8"/>
  <c r="K1908" i="8"/>
  <c r="I1911" i="8"/>
  <c r="H1911" i="8" s="1"/>
  <c r="J1910" i="8"/>
  <c r="E1909" i="8" l="1"/>
  <c r="K1909" i="8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8" i="8"/>
  <c r="I2001" i="8"/>
  <c r="H2001" i="8" s="1"/>
  <c r="J2000" i="8"/>
  <c r="K1998" i="8"/>
  <c r="E1999" i="8" l="1"/>
  <c r="B2001" i="8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<sst xmlns="http://schemas.openxmlformats.org/spreadsheetml/2006/main" count="1157" uniqueCount="408">
  <si>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</si>
  <si>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</si>
  <si>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</si>
  <si>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</si>
  <si>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</si>
  <si>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</si>
  <si>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</si>
  <si>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</si>
  <si>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</si>
  <si>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</si>
  <si>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</si>
  <si>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</si>
  <si>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</si>
  <si>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</si>
  <si>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</si>
  <si>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</si>
  <si>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</si>
  <si>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</si>
  <si>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</si>
  <si>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</si>
  <si>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</si>
  <si>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</si>
  <si>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</si>
  <si>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</si>
  <si>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</si>
  <si>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</si>
  <si>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</si>
  <si>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</si>
  <si>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</si>
  <si>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</si>
  <si>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</si>
  <si>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</si>
  <si>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</si>
  <si>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</si>
  <si>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</si>
  <si>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</si>
  <si>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</si>
  <si>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</si>
  <si>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</si>
  <si>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</si>
  <si>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</si>
  <si>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</si>
  <si>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</si>
  <si>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</si>
  <si>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</si>
  <si>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</si>
  <si>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</si>
  <si>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</si>
  <si>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</si>
  <si>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</si>
  <si>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</si>
  <si>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</si>
  <si>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</si>
  <si>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</si>
  <si>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</si>
  <si>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</si>
  <si>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</si>
  <si>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</si>
  <si>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</si>
  <si>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</si>
  <si>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</si>
  <si>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</si>
  <si>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</si>
  <si>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</si>
  <si>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</si>
  <si>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</si>
  <si>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</si>
  <si>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</si>
  <si>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</si>
  <si>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</si>
  <si>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</si>
  <si>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</si>
  <si>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</si>
  <si>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</si>
  <si>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</si>
  <si>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</si>
  <si>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</si>
  <si>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</si>
  <si>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</si>
  <si>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</si>
  <si>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</si>
  <si>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</si>
  <si>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</si>
  <si>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</si>
  <si>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</si>
  <si>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</si>
  <si>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</si>
  <si>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</si>
  <si>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</si>
  <si>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</si>
  <si>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</si>
  <si>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</si>
  <si>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</si>
  <si>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</si>
  <si>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</si>
  <si>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</si>
  <si>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</si>
  <si>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</si>
  <si>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</si>
  <si>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</si>
  <si>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</si>
  <si>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</si>
  <si>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</si>
  <si>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</si>
  <si>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</si>
  <si>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</si>
  <si>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</si>
  <si>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</si>
  <si>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</si>
  <si>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</si>
  <si>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</si>
  <si>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</si>
  <si>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</si>
  <si>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</si>
  <si>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</si>
  <si>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</si>
  <si>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</si>
  <si>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</si>
  <si>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</si>
  <si>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</si>
  <si>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</si>
  <si>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</si>
  <si>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</si>
  <si>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</si>
  <si>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</si>
  <si>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</si>
  <si>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</si>
  <si>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</si>
  <si>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</si>
  <si>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</si>
  <si>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</si>
  <si>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</si>
  <si>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</si>
  <si>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</si>
  <si>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</si>
  <si>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</si>
  <si>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</si>
  <si>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</si>
  <si>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</si>
  <si>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</si>
  <si>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</si>
  <si>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</si>
  <si>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</si>
  <si>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</si>
  <si>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</si>
  <si>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</si>
  <si>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</si>
  <si>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</si>
  <si>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</si>
  <si>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</si>
  <si>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</si>
  <si>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</si>
  <si>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</si>
  <si>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</si>
  <si>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</si>
  <si>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</si>
  <si>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</si>
  <si>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</si>
  <si>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</si>
  <si>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</si>
  <si>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</si>
  <si>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</si>
  <si>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</si>
  <si>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</si>
  <si>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</si>
  <si>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</si>
  <si>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</si>
  <si>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</si>
  <si>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</si>
  <si>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</si>
  <si>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</si>
  <si>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</si>
  <si>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</si>
  <si>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</si>
  <si>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</si>
  <si>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</si>
  <si>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</si>
  <si>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</si>
  <si>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</si>
  <si>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</si>
  <si>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</si>
  <si>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</si>
  <si>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</si>
  <si>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</si>
  <si>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</si>
  <si>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</si>
  <si>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</si>
  <si>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</si>
  <si>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</si>
  <si>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</si>
  <si>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</si>
  <si>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</si>
  <si>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</si>
  <si>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</si>
  <si>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</si>
  <si>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</si>
  <si>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</si>
  <si>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</si>
  <si>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</si>
  <si>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</si>
  <si>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</si>
  <si>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</si>
  <si>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</si>
  <si>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</si>
  <si>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</si>
  <si>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</si>
  <si>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</si>
  <si>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</si>
  <si>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</si>
  <si>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</si>
  <si>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</si>
  <si>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</si>
  <si>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</si>
  <si>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</si>
  <si>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</si>
  <si>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</si>
  <si>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</si>
  <si>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</si>
  <si>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</si>
  <si>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</si>
  <si>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</si>
  <si>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K</t>
  </si>
  <si>
    <t>EN 1.4404 / 316L</t>
  </si>
  <si>
    <t>EN 1.4435 / 316L</t>
  </si>
  <si>
    <t>EN 1.4539 / ANSI 904L</t>
  </si>
  <si>
    <t>Titanium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</si>
  <si>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</si>
  <si>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</si>
  <si>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</si>
  <si>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</si>
  <si>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</si>
  <si>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</si>
  <si>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</si>
  <si>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</si>
  <si>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</si>
  <si>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</si>
  <si>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</si>
  <si>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</si>
  <si>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</si>
  <si>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</si>
  <si>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</si>
  <si>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</si>
  <si>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</si>
  <si>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</si>
  <si>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</si>
  <si>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</si>
  <si>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</si>
  <si>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</si>
  <si>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</si>
  <si>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</si>
  <si>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</si>
  <si>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</si>
  <si>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</si>
  <si>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</si>
  <si>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</si>
  <si>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</si>
  <si>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</si>
  <si>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</si>
  <si>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</si>
  <si>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</si>
  <si>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</si>
  <si>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</si>
  <si>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</si>
  <si>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</si>
  <si>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</si>
  <si>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</si>
  <si>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</si>
  <si>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</si>
  <si>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</si>
  <si>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</si>
  <si>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</si>
  <si>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</si>
  <si>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</si>
  <si>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</si>
  <si>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</si>
  <si>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</si>
  <si>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</si>
  <si>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</si>
  <si>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</si>
  <si>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</si>
  <si>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</si>
  <si>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</si>
  <si>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</si>
  <si>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</si>
  <si>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</si>
  <si>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</si>
  <si>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</si>
  <si>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</si>
  <si>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</si>
  <si>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</si>
  <si>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</si>
  <si>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</si>
  <si>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</si>
  <si>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</si>
  <si>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</si>
  <si>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</si>
  <si>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</si>
  <si>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Female Sleeve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</si>
  <si>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</si>
  <si>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</si>
  <si>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</si>
  <si>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</si>
  <si>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</si>
  <si>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</si>
  <si>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</si>
  <si>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</si>
  <si>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</si>
  <si>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</si>
  <si>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</si>
  <si>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</si>
  <si>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</si>
  <si>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</si>
  <si>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</si>
  <si>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</si>
  <si>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</si>
  <si>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</si>
  <si>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</si>
  <si>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</si>
  <si>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</si>
  <si>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</si>
  <si>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</si>
  <si>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</si>
  <si>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</si>
  <si>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</si>
  <si>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</si>
  <si>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</si>
  <si>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</si>
  <si>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</si>
  <si>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</si>
  <si>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</si>
  <si>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</si>
  <si>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</si>
  <si>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</si>
  <si>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</si>
  <si>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</si>
  <si>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</si>
  <si>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</si>
  <si>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</si>
  <si>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</si>
  <si>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</si>
  <si>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</si>
  <si>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</si>
  <si>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</si>
  <si>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</si>
  <si>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</si>
  <si>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</si>
  <si>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</si>
  <si>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</si>
  <si>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</si>
  <si>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</si>
  <si>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</si>
  <si>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</si>
  <si>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</si>
  <si>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</si>
  <si>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</si>
  <si>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</si>
  <si>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Inner radius</t>
  </si>
  <si>
    <t>Outer diameter</t>
  </si>
  <si>
    <t>Maximum volume</t>
  </si>
  <si>
    <t>Minimum continous working volume</t>
  </si>
  <si>
    <t>AL-6XN</t>
  </si>
  <si>
    <t>Alloy C276</t>
  </si>
  <si>
    <t>Alloy C22</t>
  </si>
  <si>
    <t>P</t>
  </si>
  <si>
    <t>Q</t>
  </si>
  <si>
    <t>T</t>
  </si>
  <si>
    <t>SAF 2205</t>
  </si>
  <si>
    <t>SAF 2507</t>
  </si>
  <si>
    <t>EN 1.4529</t>
  </si>
  <si>
    <t>Center to KR (L)</t>
  </si>
  <si>
    <t>Dimensions up to top of cylinder (Maximum Volume)</t>
  </si>
  <si>
    <t>Mixers</t>
  </si>
  <si>
    <t>Min vol &amp; Last drop</t>
  </si>
  <si>
    <t>FS3 (min vol) [mm]</t>
  </si>
  <si>
    <t>FSD (min vol) [mm]</t>
  </si>
  <si>
    <t>FSD (last drop) [mm]</t>
  </si>
  <si>
    <t>FSH (min vol) [mm]</t>
  </si>
  <si>
    <t>FSH (last drop) [mm]</t>
  </si>
  <si>
    <t>FS3 (last drop) [mm]</t>
  </si>
  <si>
    <t>ρ (min vol) [deg]</t>
  </si>
  <si>
    <t>ρ (last drop) [deg]</t>
  </si>
  <si>
    <t>ρ (min vol ATEX) [deg]</t>
  </si>
  <si>
    <t>β [deg]</t>
  </si>
  <si>
    <t>ϕ [deg]</t>
  </si>
  <si>
    <t>MH/2 [mm]</t>
  </si>
  <si>
    <t>Last Drop height [mm]</t>
  </si>
  <si>
    <t>Female Sleeve Height (FS2) [mm]</t>
  </si>
  <si>
    <t>Female Sleeve  Radius (FSø/2) [mm]</t>
  </si>
  <si>
    <t>TPø/2 [mm]</t>
  </si>
  <si>
    <t>Height bottom dish (DH)</t>
  </si>
  <si>
    <t>Volume bottom dish (VD)</t>
  </si>
  <si>
    <t>Top of MH (TMH) [mm]</t>
  </si>
  <si>
    <t>MH3 (min vol ATEX) [mm]</t>
  </si>
  <si>
    <t>MHD (min vol ATEX) [mm]</t>
  </si>
  <si>
    <t>MHH (min vol ATEX) [mm]</t>
  </si>
  <si>
    <t>Other</t>
  </si>
  <si>
    <t>T95</t>
  </si>
  <si>
    <t>T99</t>
  </si>
  <si>
    <t>Minimum Continous working volume [L]</t>
  </si>
  <si>
    <t>Minimum Continous working volume ATEX [L]</t>
  </si>
  <si>
    <t>Last drop mixing volume during drain</t>
  </si>
  <si>
    <t>Last Drop mixing volume during drain [L]</t>
  </si>
  <si>
    <t>Calculations based on cylindrical vessel with torispherical heads according to DIN 28011</t>
  </si>
  <si>
    <t>Max speed - Indicative blending-time 1</t>
  </si>
  <si>
    <t>Max speed - Indicative blending-time 2</t>
  </si>
  <si>
    <t>zg10</t>
  </si>
  <si>
    <t>The tank turnover and blending-time is indicative and can not be guaranteed. To evaluate and optimize this mixing configuration, a CFD simulation and/or mixing evaluation can be performed in Metenova's Application lab.</t>
  </si>
  <si>
    <t>For more detailed product data, please see respectively datasheets for Mix Head, Female Sleave, Male Post, Tank Plate and Drive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</si>
</sst>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9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37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39" xfId="0" applyFont="1" applyBorder="1" applyAlignment="1">
      <alignment horizontal="left" wrapText="1" readingOrder="1"/>
    </xf>
    <xf numFmtId="0" fontId="0" fillId="0" borderId="39" xfId="0" applyBorder="1" applyAlignment="1">
      <alignment wrapText="1"/>
    </xf>
    <xf numFmtId="0" fontId="1" fillId="0" borderId="39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0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1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24" xfId="0" applyFill="1" applyBorder="1"/>
    <xf numFmtId="0" fontId="0" fillId="3" borderId="50" xfId="0" applyFill="1" applyBorder="1"/>
    <xf numFmtId="0" fontId="0" fillId="3" borderId="47" xfId="0" applyFill="1" applyBorder="1"/>
    <xf numFmtId="0" fontId="0" fillId="3" borderId="49" xfId="0" applyFill="1" applyBorder="1"/>
    <xf numFmtId="0" fontId="13" fillId="0" borderId="51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2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2" xfId="0" applyFill="1" applyBorder="1"/>
    <xf numFmtId="0" fontId="0" fillId="3" borderId="45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5" xfId="0" applyFill="1" applyBorder="1"/>
    <xf numFmtId="0" fontId="0" fillId="10" borderId="48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4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48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4" xfId="0" applyFill="1" applyBorder="1"/>
    <xf numFmtId="0" fontId="0" fillId="11" borderId="42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1" fillId="6" borderId="32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3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9" borderId="1" xfId="0" applyFill="1" applyBorder="1" applyAlignment="1">
      <alignment wrapText="1"/>
    </xf>
    <xf numFmtId="164" fontId="1" fillId="0" borderId="0" xfId="0" applyNumberFormat="1" applyFont="1"/>
    <xf numFmtId="0" fontId="1" fillId="0" borderId="22" xfId="0" applyFont="1" applyBorder="1" applyAlignment="1">
      <alignment wrapText="1"/>
    </xf>
    <xf numFmtId="0" fontId="1" fillId="0" borderId="28" xfId="0" applyFont="1" applyBorder="1"/>
    <xf numFmtId="0" fontId="1" fillId="0" borderId="40" xfId="0" applyFont="1" applyBorder="1"/>
    <xf numFmtId="0" fontId="1" fillId="0" borderId="22" xfId="0" applyFont="1" applyBorder="1"/>
    <xf numFmtId="0" fontId="0" fillId="0" borderId="8" xfId="0" applyBorder="1" applyAlignment="1">
      <alignment wrapText="1"/>
    </xf>
    <xf numFmtId="0" fontId="0" fillId="0" borderId="6" xfId="0" applyBorder="1"/>
    <xf numFmtId="0" fontId="0" fillId="0" borderId="8" xfId="0" applyBorder="1"/>
    <xf numFmtId="164" fontId="0" fillId="0" borderId="40" xfId="0" applyNumberFormat="1" applyBorder="1"/>
    <xf numFmtId="2" fontId="0" fillId="0" borderId="40" xfId="0" applyNumberFormat="1" applyBorder="1"/>
    <xf numFmtId="0" fontId="0" fillId="13" borderId="8" xfId="0" applyFill="1" applyBorder="1"/>
    <xf numFmtId="166" fontId="0" fillId="13" borderId="40" xfId="0" applyNumberFormat="1" applyFill="1" applyBorder="1"/>
    <xf numFmtId="2" fontId="0" fillId="13" borderId="40" xfId="0" applyNumberFormat="1" applyFill="1" applyBorder="1"/>
    <xf numFmtId="0" fontId="0" fillId="14" borderId="8" xfId="0" applyFill="1" applyBorder="1"/>
    <xf numFmtId="2" fontId="0" fillId="14" borderId="40" xfId="0" applyNumberFormat="1" applyFill="1" applyBorder="1"/>
    <xf numFmtId="166" fontId="0" fillId="14" borderId="40" xfId="0" applyNumberFormat="1" applyFill="1" applyBorder="1"/>
    <xf numFmtId="2" fontId="0" fillId="10" borderId="28" xfId="0" applyNumberFormat="1" applyFill="1" applyBorder="1"/>
    <xf numFmtId="0" fontId="0" fillId="15" borderId="8" xfId="0" applyFill="1" applyBorder="1"/>
    <xf numFmtId="2" fontId="0" fillId="15" borderId="22" xfId="0" applyNumberFormat="1" applyFill="1" applyBorder="1"/>
    <xf numFmtId="2" fontId="0" fillId="15" borderId="40" xfId="0" applyNumberFormat="1" applyFill="1" applyBorder="1"/>
    <xf numFmtId="166" fontId="0" fillId="15" borderId="40" xfId="0" applyNumberFormat="1" applyFill="1" applyBorder="1"/>
    <xf numFmtId="2" fontId="0" fillId="4" borderId="40" xfId="0" applyNumberFormat="1" applyFill="1" applyBorder="1"/>
    <xf numFmtId="2" fontId="0" fillId="16" borderId="22" xfId="0" applyNumberFormat="1" applyFill="1" applyBorder="1"/>
    <xf numFmtId="0" fontId="0" fillId="10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16" borderId="6" xfId="0" applyFill="1" applyBorder="1" applyAlignment="1">
      <alignment wrapText="1"/>
    </xf>
    <xf numFmtId="0" fontId="0" fillId="0" borderId="32" xfId="0" applyBorder="1" applyAlignment="1">
      <alignment wrapText="1"/>
    </xf>
    <xf numFmtId="2" fontId="0" fillId="10" borderId="40" xfId="0" applyNumberFormat="1" applyFill="1" applyBorder="1"/>
    <xf numFmtId="0" fontId="0" fillId="3" borderId="23" xfId="0" applyFill="1" applyBorder="1"/>
    <xf numFmtId="0" fontId="0" fillId="3" borderId="4" xfId="0" applyFill="1" applyBorder="1"/>
    <xf numFmtId="0" fontId="0" fillId="10" borderId="43" xfId="0" applyFill="1" applyBorder="1"/>
    <xf numFmtId="166" fontId="0" fillId="10" borderId="44" xfId="0" applyNumberFormat="1" applyFill="1" applyBorder="1"/>
    <xf numFmtId="1" fontId="0" fillId="10" borderId="44" xfId="0" applyNumberFormat="1" applyFill="1" applyBorder="1"/>
    <xf numFmtId="0" fontId="0" fillId="10" borderId="48" xfId="0" applyFill="1" applyBorder="1"/>
    <xf numFmtId="2" fontId="0" fillId="10" borderId="44" xfId="0" applyNumberFormat="1" applyFill="1" applyBorder="1"/>
    <xf numFmtId="0" fontId="0" fillId="0" borderId="33" xfId="0" applyBorder="1" applyAlignment="1">
      <alignment wrapText="1"/>
    </xf>
    <xf numFmtId="0" fontId="0" fillId="0" borderId="37" xfId="0" quotePrefix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39" xfId="0" quotePrefix="1" applyBorder="1" applyAlignment="1">
      <alignment wrapText="1"/>
    </xf>
    <xf numFmtId="0" fontId="0" fillId="0" borderId="51" xfId="0" applyBorder="1" applyAlignment="1">
      <alignment wrapText="1"/>
    </xf>
    <xf numFmtId="0" fontId="0" fillId="11" borderId="0" xfId="0" applyFill="1" applyAlignment="1">
      <alignment horizontal="right"/>
    </xf>
    <xf numFmtId="2" fontId="0" fillId="10" borderId="40" xfId="0" applyNumberFormat="1" applyFill="1" applyBorder="1" applyAlignment="1">
      <alignment horizontal="right"/>
    </xf>
    <xf numFmtId="2" fontId="0" fillId="10" borderId="44" xfId="0" applyNumberFormat="1" applyFill="1" applyBorder="1" applyAlignment="1">
      <alignment horizontal="right"/>
    </xf>
    <xf numFmtId="0" fontId="0" fillId="10" borderId="45" xfId="0" applyFill="1" applyBorder="1" applyAlignment="1">
      <alignment horizontal="right"/>
    </xf>
    <xf numFmtId="0" fontId="0" fillId="11" borderId="34" xfId="0" applyFill="1" applyBorder="1" applyAlignment="1">
      <alignment horizontal="right"/>
    </xf>
    <xf numFmtId="164" fontId="0" fillId="3" borderId="0" xfId="0" quotePrefix="1" applyNumberFormat="1" applyFill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6" borderId="35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6" borderId="36" xfId="0" applyFont="1" applyFill="1" applyBorder="1" applyAlignment="1">
      <alignment wrapText="1"/>
    </xf>
    <xf numFmtId="0" fontId="1" fillId="6" borderId="32" xfId="0" applyFont="1" applyFill="1" applyBorder="1"/>
    <xf numFmtId="0" fontId="1" fillId="6" borderId="10" xfId="0" applyFont="1" applyFill="1" applyBorder="1"/>
    <xf numFmtId="0" fontId="1" fillId="6" borderId="33" xfId="0" applyFont="1" applyFill="1" applyBorder="1"/>
    <xf numFmtId="0" fontId="18" fillId="0" borderId="32" xfId="0" applyFont="1" applyBorder="1" applyAlignment="1">
      <alignment horizontal="left" vertical="center" wrapText="1" readingOrder="1"/>
    </xf>
    <xf numFmtId="0" fontId="18" fillId="0" borderId="10" xfId="0" applyFont="1" applyBorder="1" applyAlignment="1">
      <alignment horizontal="left" vertical="center" wrapText="1" readingOrder="1"/>
    </xf>
    <xf numFmtId="0" fontId="18" fillId="0" borderId="33" xfId="0" applyFont="1" applyBorder="1" applyAlignment="1">
      <alignment horizontal="left" vertical="center" wrapText="1" readingOrder="1"/>
    </xf>
    <xf numFmtId="0" fontId="17" fillId="0" borderId="54" xfId="0" applyFont="1" applyBorder="1" applyAlignment="1">
      <alignment wrapText="1"/>
    </xf>
    <xf numFmtId="0" fontId="17" fillId="0" borderId="55" xfId="0" applyFont="1" applyBorder="1" applyAlignment="1">
      <alignment wrapText="1"/>
    </xf>
    <xf numFmtId="0" fontId="17" fillId="0" borderId="56" xfId="0" applyFont="1" applyBorder="1" applyAlignment="1">
      <alignment wrapText="1"/>
    </xf>
    <xf numFmtId="0" fontId="17" fillId="0" borderId="32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17" fillId="0" borderId="33" xfId="0" applyFont="1" applyBorder="1" applyAlignment="1">
      <alignment wrapText="1"/>
    </xf>
    <xf numFmtId="0" fontId="0" fillId="3" borderId="18" xfId="0" applyFill="1" applyBorder="1" applyAlignment="1">
      <alignment horizontal="center" vertical="center" textRotation="90" wrapText="1"/>
    </xf>
    <xf numFmtId="0" fontId="0" fillId="3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8" xfId="0" applyFill="1" applyBorder="1" applyAlignment="1">
      <alignment horizontal="center" textRotation="90" wrapText="1"/>
    </xf>
    <xf numFmtId="0" fontId="0" fillId="0" borderId="1" xfId="0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2">
    <cellStyle name="Indata" xfId="1" builtinId="20"/>
    <cellStyle name="Normal" xfId="0" builtinId="0"/>
  </cellStyles>
  <dxfs count="8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ZG!$X$66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ZG!$X$67:$X$77</c:f>
              <c:numCache>
                <c:formatCode>0.00</c:formatCode>
                <c:ptCount val="11"/>
                <c:pt idx="0">
                  <c:v>0</c:v>
                </c:pt>
                <c:pt idx="1">
                  <c:v>0.34096646196211877</c:v>
                </c:pt>
                <c:pt idx="2">
                  <c:v>0.68193292392423754</c:v>
                </c:pt>
                <c:pt idx="3">
                  <c:v>1.0228993858863564</c:v>
                </c:pt>
                <c:pt idx="4">
                  <c:v>1.3638658478484751</c:v>
                </c:pt>
                <c:pt idx="5">
                  <c:v>1.7048323098105937</c:v>
                </c:pt>
                <c:pt idx="6">
                  <c:v>2.0457987717727129</c:v>
                </c:pt>
                <c:pt idx="7">
                  <c:v>2.3867652337348315</c:v>
                </c:pt>
                <c:pt idx="8">
                  <c:v>2.7277316956969502</c:v>
                </c:pt>
                <c:pt idx="9">
                  <c:v>3.0686981576590688</c:v>
                </c:pt>
                <c:pt idx="10">
                  <c:v>3.4096646196211875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ZG!$Y$66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ZG!$Y$67:$Y$77</c:f>
              <c:numCache>
                <c:formatCode>0.00</c:formatCode>
                <c:ptCount val="11"/>
                <c:pt idx="0">
                  <c:v>0</c:v>
                </c:pt>
                <c:pt idx="1">
                  <c:v>0.34096646196211877</c:v>
                </c:pt>
                <c:pt idx="2">
                  <c:v>0.68193292392423754</c:v>
                </c:pt>
                <c:pt idx="3">
                  <c:v>1.0228993858863564</c:v>
                </c:pt>
                <c:pt idx="4">
                  <c:v>1.3638658478484751</c:v>
                </c:pt>
                <c:pt idx="5">
                  <c:v>1.7048323098105937</c:v>
                </c:pt>
                <c:pt idx="6">
                  <c:v>2.0457987717727129</c:v>
                </c:pt>
                <c:pt idx="7">
                  <c:v>2.3867652337348315</c:v>
                </c:pt>
                <c:pt idx="8">
                  <c:v>2.7277316956969502</c:v>
                </c:pt>
                <c:pt idx="9">
                  <c:v>3.0686981576590688</c:v>
                </c:pt>
                <c:pt idx="10">
                  <c:v>3.4096646196211875</c:v>
                </c:pt>
              </c:numCache>
            </c:numRef>
          </c:xVal>
          <c:yVal>
            <c:numRef>
              <c:f>ZG!$W$67:$W$77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0</xdr:row>
      <xdr:rowOff>85725</xdr:rowOff>
    </xdr:from>
    <xdr:to>
      <xdr:col>9</xdr:col>
      <xdr:colOff>1021125</xdr:colOff>
      <xdr:row>19</xdr:row>
      <xdr:rowOff>76200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B830643-4A6C-48A2-8462-04BB30AC1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85725"/>
          <a:ext cx="6336075" cy="5648325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136071</xdr:colOff>
      <xdr:row>25</xdr:row>
      <xdr:rowOff>312965</xdr:rowOff>
    </xdr:from>
    <xdr:to>
      <xdr:col>25</xdr:col>
      <xdr:colOff>338595</xdr:colOff>
      <xdr:row>48</xdr:row>
      <xdr:rowOff>13609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889772F5-3BB9-5336-6C42-DCF33BF3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0" y="7688036"/>
          <a:ext cx="9305702" cy="5578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15</xdr:row>
      <xdr:rowOff>228600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87">
  <autoFilter ref="A1:F19" xr:uid="{7395098D-495A-41B3-9849-D9F205106A5A}"/>
  <tableColumns count="6">
    <tableColumn id="6" xr3:uid="{489E3052-5B45-41B4-AB09-0C67493C2916}" name="Process Code" dataDxfId="86"/>
    <tableColumn id="1" xr3:uid="{9EF84E1A-CE86-49D7-98DE-6EE5E9A9D0FC}" name="Main Mixing purpose" dataDxfId="85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2" totalsRowShown="0">
  <autoFilter ref="A1:B12" xr:uid="{5C5F82A3-B193-4236-9755-7437394F0635}"/>
  <tableColumns count="2">
    <tableColumn id="1" xr3:uid="{5120345B-BF69-47DD-B4F9-BD0E766BC747}" name="Letter"/>
    <tableColumn id="2" xr3:uid="{FA0B64DB-AD8B-4B7F-8EF6-33E467969296}" name="Material variant" dataDxfId="8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83">
  <autoFilter ref="A1:A5" xr:uid="{CB1EDA48-69B9-403D-A645-3051FDDDC4AC}"/>
  <tableColumns count="1">
    <tableColumn id="1" xr3:uid="{000B208C-5652-4FBE-B808-A25AC178E1E4}" name="O-rings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81">
  <autoFilter ref="A1:A3" xr:uid="{CB1EDA48-69B9-403D-A645-3051FDDDC4AC}"/>
  <tableColumns count="1">
    <tableColumn id="1" xr3:uid="{2BC780CA-1595-46DA-B773-836E8AFCF258}" name="O-rings" dataDxfId="8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BA4A7D-EA06-4441-B44D-9B412BC2C8E9}" name="Tabell36" displayName="Tabell36" ref="N1:T25" totalsRowShown="0" dataDxfId="79">
  <autoFilter ref="N1:T25" xr:uid="{DCBA4A7D-EA06-4441-B44D-9B412BC2C8E9}"/>
  <tableColumns count="7">
    <tableColumn id="1" xr3:uid="{EFD42274-27B2-4E2C-B37A-6F36CC9D1114}" name="Size" dataDxfId="78"/>
    <tableColumn id="2" xr3:uid="{32D7BE5C-6F65-47F5-BCAF-CADAAB981E50}" name="MHø/2" dataDxfId="77"/>
    <tableColumn id="3" xr3:uid="{E81BB297-D6EA-44B6-A48D-A19B0EA48A4E}" name="TPø/2" dataDxfId="76"/>
    <tableColumn id="4" xr3:uid="{903CD89D-6A66-42E0-8DF0-306BB2FC5DFE}" name="FSø/2" dataDxfId="75"/>
    <tableColumn id="5" xr3:uid="{8A29AF2F-EE26-450B-923D-845844E6905D}" name="TP to top of FS (FS2)" dataDxfId="74"/>
    <tableColumn id="6" xr3:uid="{6CD382B6-EB54-4927-9FEF-BC0AF3D16EDA}" name="Top of MH" dataDxfId="73"/>
    <tableColumn id="7" xr3:uid="{1DFFA767-69B3-4481-BC63-98E0B3B9A221}" name="Last drop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71">
  <autoFilter ref="L1:R25" xr:uid="{10F9E294-8A2A-4994-903E-2A532C975135}"/>
  <tableColumns count="7">
    <tableColumn id="1" xr3:uid="{75275885-55D8-4C89-9CF9-7A78FA681AE5}" name="Size" dataDxfId="70"/>
    <tableColumn id="2" xr3:uid="{8A4E637C-A211-4A42-AD51-784B28F71A60}" name="MHø/2" dataDxfId="69"/>
    <tableColumn id="3" xr3:uid="{5040C413-BF57-4B34-9E94-695FAD43D1FF}" name="TPø/2" dataDxfId="68"/>
    <tableColumn id="4" xr3:uid="{7B8C4DD9-E389-4EBF-9CB4-A2F445647EF1}" name="FSø/2" dataDxfId="67"/>
    <tableColumn id="5" xr3:uid="{C4DBB129-CDE2-4C03-8238-D6262F72151D}" name="TP to top of FS (FS2)" dataDxfId="66"/>
    <tableColumn id="6" xr3:uid="{836AF688-6A25-4D34-8E7E-908B5E3DDF31}" name="Top of MH" dataDxfId="65"/>
    <tableColumn id="7" xr3:uid="{0A9A952D-6E44-47DD-8C83-13416D3EA1D2}" name="Last drop" dataDxfId="6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63"/>
    <tableColumn id="6" xr3:uid="{5AB54C33-1565-4475-B1E8-F1F74A6C3FED}" name="Knuckleradius (KR)" dataDxfId="62"/>
    <tableColumn id="7" xr3:uid="{E6264FDD-DFA5-4723-98C5-243E0FE382DA}" name="Dish height (DH)" dataDxfId="61"/>
    <tableColumn id="11" xr3:uid="{25A1DCC4-DD0B-4E79-991D-7CC0E458E528}" name="Vol dish" dataDxfId="6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zoomScale="115" zoomScaleNormal="115" workbookViewId="0">
      <selection activeCell="D39" sqref="D39"/>
    </sheetView>
  </sheetViews>
  <sheetFormatPr baseColWidth="10" defaultColWidth="8.83203125" defaultRowHeight="15"/>
  <cols>
    <col min="2" max="2" width="13.83203125" customWidth="1"/>
    <col min="3" max="3" width="26.5" customWidth="1"/>
    <col min="4" max="4" width="18.6640625" bestFit="1" customWidth="1"/>
    <col min="5" max="5" width="17.5" bestFit="1" customWidth="1"/>
    <col min="6" max="6" width="18.33203125" bestFit="1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s="17"/>
      <c r="B1" s="17"/>
      <c r="C1" s="17"/>
      <c r="D1" s="17"/>
      <c r="E1" s="17"/>
      <c r="F1" s="17"/>
    </row>
    <row r="2" spans="1:16">
      <c r="A2" s="17"/>
      <c r="B2" s="17"/>
      <c r="C2" s="253" t="s">
        <v>0</v>
      </c>
      <c r="D2" s="254"/>
      <c r="E2" s="255"/>
      <c r="F2" s="192"/>
      <c r="G2" s="82"/>
    </row>
    <row r="3" spans="1:16">
      <c r="A3" s="17"/>
      <c r="B3" s="17"/>
      <c r="C3" s="120" t="s">
        <v>193</v>
      </c>
      <c r="D3" s="257" t="s">
        <v>215</v>
      </c>
      <c r="E3" s="257"/>
      <c r="F3" s="192"/>
      <c r="G3" s="53"/>
    </row>
    <row r="4" spans="1:16">
      <c r="A4" s="17"/>
      <c r="B4" s="17"/>
      <c r="C4" s="120" t="s">
        <v>192</v>
      </c>
      <c r="D4" s="258"/>
      <c r="E4" s="258"/>
      <c r="F4" s="192"/>
    </row>
    <row r="5" spans="1:16">
      <c r="A5" s="17"/>
      <c r="B5" s="17"/>
      <c r="C5" s="120" t="s">
        <v>191</v>
      </c>
      <c r="D5" s="258"/>
      <c r="E5" s="258"/>
      <c r="F5" s="192"/>
    </row>
    <row r="6" spans="1:16">
      <c r="A6" s="17"/>
      <c r="B6" s="17"/>
      <c r="C6" s="120" t="s">
        <v>198</v>
      </c>
      <c r="D6" s="258"/>
      <c r="E6" s="258"/>
      <c r="F6" s="192"/>
    </row>
    <row r="7" spans="1:16">
      <c r="A7" s="17"/>
      <c r="B7" s="17"/>
      <c r="C7" s="120" t="s">
        <v>195</v>
      </c>
      <c r="D7" s="258" t="s">
        <v>232</v>
      </c>
      <c r="E7" s="258"/>
      <c r="F7" s="192"/>
    </row>
    <row r="8" spans="1:16">
      <c r="A8" s="17"/>
      <c r="B8" s="17"/>
      <c r="C8" s="120" t="s">
        <v>196</v>
      </c>
      <c r="D8" s="258" t="s">
        <v>232</v>
      </c>
      <c r="E8" s="258"/>
      <c r="F8" s="192"/>
    </row>
    <row r="9" spans="1:16">
      <c r="A9" s="17"/>
      <c r="B9" s="17"/>
      <c r="C9" s="3" t="s">
        <v>1</v>
      </c>
      <c r="D9" s="3">
        <v>1450</v>
      </c>
      <c r="E9" s="3" t="s">
        <v>7</v>
      </c>
      <c r="F9" s="192"/>
    </row>
    <row r="10" spans="1:16">
      <c r="A10" s="17"/>
      <c r="B10" s="17"/>
      <c r="C10" s="3" t="s">
        <v>154</v>
      </c>
      <c r="D10" s="3">
        <v>5</v>
      </c>
      <c r="E10" s="3" t="s">
        <v>7</v>
      </c>
      <c r="F10" s="192"/>
    </row>
    <row r="11" spans="1:16">
      <c r="A11" s="17"/>
      <c r="B11" s="17"/>
      <c r="C11" s="3" t="s">
        <v>358</v>
      </c>
      <c r="D11" s="3">
        <v>500</v>
      </c>
      <c r="E11" s="3" t="s">
        <v>12</v>
      </c>
      <c r="F11" s="192"/>
    </row>
    <row r="12" spans="1:16">
      <c r="A12" s="17"/>
      <c r="B12" s="17"/>
      <c r="C12" s="3" t="s">
        <v>2</v>
      </c>
      <c r="D12" s="3">
        <v>2990</v>
      </c>
      <c r="E12" s="3" t="s">
        <v>12</v>
      </c>
      <c r="F12" s="192"/>
    </row>
    <row r="13" spans="1:16">
      <c r="A13" s="17"/>
      <c r="B13" s="17"/>
      <c r="C13" s="3" t="s">
        <v>184</v>
      </c>
      <c r="D13" s="3" t="str">
        <f>IF($D$3=0,
"General",
VLOOKUP($D$3,Tabell15[],5,FALSE))</f>
        <v>General</v>
      </c>
      <c r="E13" s="3"/>
      <c r="F13" s="192"/>
    </row>
    <row r="14" spans="1:16">
      <c r="A14" s="17"/>
      <c r="B14" s="17"/>
      <c r="C14" s="3" t="s">
        <v>4</v>
      </c>
      <c r="D14" s="3">
        <v>1000</v>
      </c>
      <c r="E14" s="3" t="s">
        <v>130</v>
      </c>
      <c r="F14" s="192"/>
    </row>
    <row r="15" spans="1:16">
      <c r="A15" s="17"/>
      <c r="B15" s="17"/>
      <c r="C15" s="3" t="s">
        <v>3</v>
      </c>
      <c r="D15" s="3">
        <v>700</v>
      </c>
      <c r="E15" s="3" t="s">
        <v>131</v>
      </c>
      <c r="F15" s="192"/>
    </row>
    <row r="16" spans="1:16">
      <c r="A16" s="17"/>
      <c r="B16" s="17"/>
      <c r="C16" s="257" t="s">
        <v>180</v>
      </c>
      <c r="D16" s="257"/>
      <c r="E16" s="257"/>
      <c r="F16" s="192"/>
      <c r="O16" s="3" t="s">
        <v>147</v>
      </c>
      <c r="P16" s="3"/>
    </row>
    <row r="17" spans="1:16">
      <c r="A17" s="17"/>
      <c r="B17" s="17"/>
      <c r="C17" s="3" t="s">
        <v>241</v>
      </c>
      <c r="D17" s="3" t="s">
        <v>140</v>
      </c>
      <c r="E17" s="3"/>
      <c r="F17" s="192"/>
      <c r="O17" s="3" t="s">
        <v>142</v>
      </c>
      <c r="P17" s="3" t="s">
        <v>149</v>
      </c>
    </row>
    <row r="18" spans="1:16">
      <c r="A18" s="17"/>
      <c r="B18" s="17"/>
      <c r="C18" s="257" t="s">
        <v>171</v>
      </c>
      <c r="D18" s="257"/>
      <c r="E18" s="257"/>
      <c r="F18" s="192"/>
      <c r="O18" s="3"/>
      <c r="P18" s="3"/>
    </row>
    <row r="19" spans="1:16">
      <c r="A19" s="17"/>
      <c r="B19" s="17"/>
      <c r="C19" s="3" t="s">
        <v>142</v>
      </c>
      <c r="D19" s="3" t="s">
        <v>226</v>
      </c>
      <c r="E19" s="3"/>
      <c r="F19" s="192"/>
      <c r="O19" s="3"/>
      <c r="P19" s="3"/>
    </row>
    <row r="20" spans="1:16">
      <c r="A20" s="17"/>
      <c r="B20" s="17"/>
      <c r="C20" s="3" t="s">
        <v>230</v>
      </c>
      <c r="D20" s="3" t="s">
        <v>246</v>
      </c>
      <c r="E20" s="3"/>
      <c r="F20" s="192"/>
      <c r="O20" s="3"/>
      <c r="P20" s="3"/>
    </row>
    <row r="21" spans="1:16">
      <c r="A21" s="17"/>
      <c r="B21" s="17"/>
      <c r="C21" s="3" t="s">
        <v>243</v>
      </c>
      <c r="D21" s="125" t="s">
        <v>245</v>
      </c>
      <c r="E21" s="3"/>
      <c r="F21" s="192"/>
      <c r="O21" s="3"/>
      <c r="P21" s="3"/>
    </row>
    <row r="22" spans="1:16">
      <c r="A22" s="17"/>
      <c r="B22" s="17"/>
      <c r="C22" s="3" t="s">
        <v>231</v>
      </c>
      <c r="D22" s="3" t="s">
        <v>232</v>
      </c>
      <c r="E22" s="3"/>
      <c r="F22" s="192"/>
      <c r="O22" s="3"/>
      <c r="P22" s="3"/>
    </row>
    <row r="23" spans="1:16">
      <c r="A23" s="17"/>
      <c r="B23" s="17"/>
      <c r="C23" s="3" t="s">
        <v>244</v>
      </c>
      <c r="D23" s="3" t="s">
        <v>245</v>
      </c>
      <c r="E23" s="3"/>
      <c r="F23" s="192"/>
      <c r="O23" s="3"/>
      <c r="P23" s="3"/>
    </row>
    <row r="24" spans="1:16">
      <c r="A24" s="17"/>
      <c r="B24" s="17"/>
      <c r="C24" s="3" t="s">
        <v>235</v>
      </c>
      <c r="D24" s="3" t="s">
        <v>242</v>
      </c>
      <c r="E24" s="3"/>
      <c r="F24" s="192"/>
      <c r="O24" s="3"/>
      <c r="P24" s="3"/>
    </row>
    <row r="25" spans="1:16">
      <c r="A25" s="17"/>
      <c r="B25" s="17"/>
      <c r="C25" s="17"/>
      <c r="D25" s="17"/>
      <c r="E25" s="17"/>
      <c r="F25" s="192"/>
      <c r="O25" s="3"/>
      <c r="P25" s="3"/>
    </row>
    <row r="26" spans="1:16">
      <c r="A26" s="17"/>
      <c r="B26" s="17"/>
      <c r="C26" s="17"/>
      <c r="D26" s="17"/>
      <c r="E26" s="17" t="s">
        <v>255</v>
      </c>
      <c r="F26" s="192"/>
      <c r="O26" s="3" t="s">
        <v>142</v>
      </c>
      <c r="P26" s="3" t="s">
        <v>152</v>
      </c>
    </row>
    <row r="27" spans="1:16" ht="20" customHeight="1">
      <c r="A27" s="17"/>
      <c r="B27" s="256" t="s">
        <v>133</v>
      </c>
      <c r="C27" s="3" t="s">
        <v>236</v>
      </c>
      <c r="D27" s="3" t="s">
        <v>405</v>
      </c>
      <c r="E27" s="3"/>
      <c r="F27" s="192"/>
      <c r="O27" s="3" t="s">
        <v>142</v>
      </c>
      <c r="P27" s="3" t="s">
        <v>150</v>
      </c>
    </row>
    <row r="28" spans="1:16" ht="20" customHeight="1">
      <c r="A28" s="17"/>
      <c r="B28" s="256"/>
      <c r="C28" s="3" t="s">
        <v>237</v>
      </c>
      <c r="D28" s="3"/>
      <c r="E28" s="3"/>
      <c r="F28" s="17"/>
      <c r="O28" s="3" t="s">
        <v>142</v>
      </c>
      <c r="P28" s="3" t="s">
        <v>151</v>
      </c>
    </row>
    <row r="29" spans="1:16" ht="20" customHeight="1">
      <c r="A29" s="17"/>
      <c r="B29" s="256"/>
      <c r="C29" s="3" t="s">
        <v>238</v>
      </c>
      <c r="D29" s="3"/>
      <c r="E29" s="3"/>
      <c r="F29" s="17"/>
      <c r="O29" s="3" t="s">
        <v>148</v>
      </c>
      <c r="P29" s="3"/>
    </row>
    <row r="30" spans="1:16" ht="20" customHeight="1">
      <c r="A30" s="17"/>
      <c r="B30" s="256"/>
      <c r="C30" s="3" t="s">
        <v>239</v>
      </c>
      <c r="D30" s="3" t="s">
        <v>31</v>
      </c>
      <c r="E30" s="3"/>
      <c r="F30" s="192"/>
      <c r="O30" s="3"/>
      <c r="P30" s="3"/>
    </row>
    <row r="31" spans="1:16" ht="20" customHeight="1">
      <c r="A31" s="17"/>
      <c r="B31" s="256"/>
      <c r="C31" s="3" t="s">
        <v>240</v>
      </c>
      <c r="D31" s="3"/>
      <c r="E31" s="3"/>
      <c r="F31" s="192"/>
      <c r="O31" s="3"/>
      <c r="P31" s="3"/>
    </row>
    <row r="32" spans="1:16">
      <c r="A32" s="17"/>
      <c r="B32" s="17"/>
      <c r="C32" s="17"/>
      <c r="D32" s="17"/>
      <c r="E32" s="17"/>
      <c r="F32" s="17"/>
    </row>
    <row r="33" spans="2:7" ht="32">
      <c r="B33" s="193" t="s">
        <v>290</v>
      </c>
      <c r="C33" s="3"/>
    </row>
    <row r="35" spans="2:7">
      <c r="B35" s="7"/>
      <c r="C35" s="11"/>
      <c r="D35" s="53"/>
      <c r="E35" s="53"/>
      <c r="F35" s="53"/>
      <c r="G35" s="53"/>
    </row>
    <row r="36" spans="2:7">
      <c r="B36" s="121"/>
      <c r="C36" s="53"/>
    </row>
    <row r="37" spans="2:7">
      <c r="B37" s="121"/>
      <c r="C37" s="53"/>
    </row>
    <row r="38" spans="2:7">
      <c r="B38" s="121"/>
      <c r="C38" s="53"/>
    </row>
    <row r="39" spans="2:7">
      <c r="B39" s="121"/>
      <c r="C39" s="53"/>
    </row>
    <row r="40" spans="2:7">
      <c r="B40" s="121"/>
      <c r="C40" s="53"/>
    </row>
    <row r="41" spans="2:7">
      <c r="B41" s="121"/>
      <c r="C41" s="53"/>
    </row>
    <row r="42" spans="2:7">
      <c r="B42" s="121"/>
      <c r="C42" s="53"/>
    </row>
    <row r="43" spans="2:7">
      <c r="B43" s="121"/>
      <c r="C43" s="53"/>
    </row>
    <row r="44" spans="2:7">
      <c r="B44" s="121"/>
      <c r="C44" s="53"/>
    </row>
    <row r="45" spans="2:7">
      <c r="B45" s="121"/>
      <c r="C45" s="53"/>
    </row>
    <row r="46" spans="2:7">
      <c r="B46" s="121"/>
      <c r="C46" s="53"/>
    </row>
    <row r="47" spans="2:7">
      <c r="B47" s="121"/>
      <c r="C47" s="53"/>
    </row>
    <row r="48" spans="2:7">
      <c r="B48" s="121"/>
      <c r="C48" s="53"/>
    </row>
    <row r="49" spans="2:5">
      <c r="B49" s="121"/>
      <c r="C49" s="53"/>
    </row>
    <row r="50" spans="2:5" ht="20.25" customHeight="1">
      <c r="B50" s="252"/>
      <c r="C50" s="252"/>
    </row>
    <row r="52" spans="2:5">
      <c r="E52" s="53"/>
    </row>
    <row r="53" spans="2:5">
      <c r="E53" s="53"/>
    </row>
    <row r="54" spans="2:5">
      <c r="E54" s="53"/>
    </row>
    <row r="55" spans="2:5">
      <c r="E55" s="53"/>
    </row>
    <row r="63" spans="2:5">
      <c r="C63" s="53"/>
    </row>
    <row r="64" spans="2:5">
      <c r="C64" s="53"/>
    </row>
    <row r="65" spans="3:3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  <x14:dataValidation type="list" allowBlank="1" showInputMessage="1" showErrorMessage="1" xr:uid="{67FAD953-D8D5-425C-957C-BF34426CABC2}">
          <x14:formula1>
            <xm:f>'SS Material List'!$A$2:$A$12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baseColWidth="10" defaultColWidth="8.83203125" defaultRowHeight="15"/>
  <cols>
    <col min="2" max="2" width="86.1640625" bestFit="1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7" ht="32">
      <c r="A1" s="7" t="s">
        <v>205</v>
      </c>
      <c r="B1" s="7" t="s">
        <v>204</v>
      </c>
      <c r="C1" s="53" t="s">
        <v>344</v>
      </c>
      <c r="D1" s="53" t="s">
        <v>345</v>
      </c>
      <c r="E1" s="53" t="s">
        <v>199</v>
      </c>
      <c r="F1" s="53" t="s">
        <v>200</v>
      </c>
    </row>
    <row r="2" spans="1:7" ht="16">
      <c r="A2" s="121" t="s">
        <v>206</v>
      </c>
      <c r="B2" s="53" t="s">
        <v>325</v>
      </c>
      <c r="C2" t="s">
        <v>125</v>
      </c>
      <c r="D2" t="s">
        <v>127</v>
      </c>
      <c r="E2" t="s">
        <v>201</v>
      </c>
      <c r="F2" t="s">
        <v>166</v>
      </c>
      <c r="G2" s="82"/>
    </row>
    <row r="3" spans="1:7" ht="16">
      <c r="A3" s="121" t="s">
        <v>207</v>
      </c>
      <c r="B3" s="53" t="s">
        <v>326</v>
      </c>
      <c r="C3" t="s">
        <v>125</v>
      </c>
      <c r="D3" t="s">
        <v>127</v>
      </c>
      <c r="E3" t="s">
        <v>202</v>
      </c>
      <c r="F3" t="s">
        <v>270</v>
      </c>
      <c r="G3" s="53"/>
    </row>
    <row r="4" spans="1:7" ht="16">
      <c r="A4" s="121" t="s">
        <v>208</v>
      </c>
      <c r="B4" s="53" t="s">
        <v>327</v>
      </c>
      <c r="C4" t="s">
        <v>125</v>
      </c>
      <c r="D4" t="s">
        <v>127</v>
      </c>
      <c r="E4" t="s">
        <v>201</v>
      </c>
      <c r="F4" t="s">
        <v>267</v>
      </c>
      <c r="G4" s="53"/>
    </row>
    <row r="5" spans="1:7" ht="16">
      <c r="A5" s="121" t="s">
        <v>209</v>
      </c>
      <c r="B5" s="53" t="s">
        <v>328</v>
      </c>
      <c r="C5" t="s">
        <v>125</v>
      </c>
      <c r="D5" t="s">
        <v>127</v>
      </c>
      <c r="E5" t="s">
        <v>202</v>
      </c>
      <c r="F5" t="s">
        <v>267</v>
      </c>
    </row>
    <row r="6" spans="1:7" ht="16">
      <c r="A6" s="121" t="s">
        <v>210</v>
      </c>
      <c r="B6" s="53" t="s">
        <v>329</v>
      </c>
      <c r="C6" t="s">
        <v>129</v>
      </c>
      <c r="D6" t="s">
        <v>125</v>
      </c>
      <c r="E6" t="s">
        <v>146</v>
      </c>
      <c r="F6" t="s">
        <v>197</v>
      </c>
    </row>
    <row r="7" spans="1:7" ht="16">
      <c r="A7" s="121" t="s">
        <v>211</v>
      </c>
      <c r="B7" s="53" t="s">
        <v>330</v>
      </c>
      <c r="C7" t="s">
        <v>129</v>
      </c>
      <c r="D7" t="s">
        <v>125</v>
      </c>
      <c r="E7" t="s">
        <v>146</v>
      </c>
      <c r="F7" t="s">
        <v>197</v>
      </c>
    </row>
    <row r="8" spans="1:7" ht="16">
      <c r="A8" s="121" t="s">
        <v>212</v>
      </c>
      <c r="B8" s="53" t="s">
        <v>331</v>
      </c>
      <c r="C8" t="s">
        <v>129</v>
      </c>
      <c r="D8" t="s">
        <v>125</v>
      </c>
      <c r="E8" t="s">
        <v>146</v>
      </c>
      <c r="F8" t="s">
        <v>197</v>
      </c>
    </row>
    <row r="9" spans="1:7" ht="16">
      <c r="A9" s="121" t="s">
        <v>213</v>
      </c>
      <c r="B9" s="53" t="s">
        <v>332</v>
      </c>
      <c r="C9" t="s">
        <v>125</v>
      </c>
      <c r="D9" t="s">
        <v>127</v>
      </c>
      <c r="E9" t="s">
        <v>201</v>
      </c>
      <c r="F9" t="s">
        <v>267</v>
      </c>
    </row>
    <row r="10" spans="1:7" ht="16">
      <c r="A10" s="121" t="s">
        <v>214</v>
      </c>
      <c r="B10" s="53" t="s">
        <v>333</v>
      </c>
      <c r="C10" t="s">
        <v>125</v>
      </c>
      <c r="D10" t="s">
        <v>127</v>
      </c>
      <c r="E10" t="s">
        <v>202</v>
      </c>
      <c r="F10" t="s">
        <v>267</v>
      </c>
    </row>
    <row r="11" spans="1:7" ht="16">
      <c r="A11" s="121" t="s">
        <v>215</v>
      </c>
      <c r="B11" s="53" t="s">
        <v>334</v>
      </c>
      <c r="C11" t="s">
        <v>125</v>
      </c>
      <c r="D11" t="s">
        <v>136</v>
      </c>
      <c r="E11" t="s">
        <v>202</v>
      </c>
      <c r="F11" t="s">
        <v>197</v>
      </c>
    </row>
    <row r="12" spans="1:7" ht="16">
      <c r="A12" s="121" t="s">
        <v>216</v>
      </c>
      <c r="B12" s="53" t="s">
        <v>335</v>
      </c>
      <c r="C12" t="s">
        <v>125</v>
      </c>
      <c r="D12" t="s">
        <v>136</v>
      </c>
      <c r="E12" t="s">
        <v>202</v>
      </c>
      <c r="F12" t="s">
        <v>197</v>
      </c>
    </row>
    <row r="13" spans="1:7" ht="16">
      <c r="A13" s="121" t="s">
        <v>217</v>
      </c>
      <c r="B13" s="53" t="s">
        <v>337</v>
      </c>
      <c r="C13" t="s">
        <v>127</v>
      </c>
      <c r="D13" t="s">
        <v>125</v>
      </c>
      <c r="E13" t="s">
        <v>201</v>
      </c>
      <c r="F13" t="s">
        <v>166</v>
      </c>
    </row>
    <row r="14" spans="1:7" ht="16">
      <c r="A14" s="121" t="s">
        <v>218</v>
      </c>
      <c r="B14" s="53" t="s">
        <v>336</v>
      </c>
      <c r="C14" t="s">
        <v>128</v>
      </c>
      <c r="D14" t="s">
        <v>136</v>
      </c>
      <c r="E14" t="s">
        <v>202</v>
      </c>
      <c r="F14" t="s">
        <v>166</v>
      </c>
    </row>
    <row r="15" spans="1:7" ht="16">
      <c r="A15" s="121" t="s">
        <v>271</v>
      </c>
      <c r="B15" s="53" t="s">
        <v>338</v>
      </c>
      <c r="C15" t="s">
        <v>128</v>
      </c>
      <c r="D15" t="s">
        <v>136</v>
      </c>
      <c r="E15" t="s">
        <v>202</v>
      </c>
      <c r="F15" t="s">
        <v>267</v>
      </c>
    </row>
    <row r="16" spans="1:7" ht="16">
      <c r="A16" s="121" t="s">
        <v>272</v>
      </c>
      <c r="B16" s="53" t="s">
        <v>339</v>
      </c>
      <c r="C16" t="s">
        <v>126</v>
      </c>
      <c r="D16" t="s">
        <v>136</v>
      </c>
      <c r="E16" t="s">
        <v>202</v>
      </c>
      <c r="F16" t="s">
        <v>267</v>
      </c>
    </row>
    <row r="17" spans="1:16" ht="16">
      <c r="A17" s="121" t="s">
        <v>341</v>
      </c>
      <c r="B17" s="53" t="s">
        <v>340</v>
      </c>
      <c r="C17" t="s">
        <v>274</v>
      </c>
      <c r="D17" t="s">
        <v>136</v>
      </c>
      <c r="E17" t="s">
        <v>202</v>
      </c>
      <c r="F17" t="s">
        <v>267</v>
      </c>
    </row>
    <row r="18" spans="1:16" ht="16">
      <c r="A18" s="121" t="s">
        <v>342</v>
      </c>
      <c r="B18" s="53" t="s">
        <v>203</v>
      </c>
      <c r="C18" t="s">
        <v>274</v>
      </c>
      <c r="E18" t="s">
        <v>202</v>
      </c>
      <c r="F18" t="s">
        <v>197</v>
      </c>
    </row>
    <row r="19" spans="1:16" ht="16">
      <c r="A19" s="121" t="s">
        <v>343</v>
      </c>
      <c r="B19" s="53" t="s">
        <v>273</v>
      </c>
      <c r="C19" t="s">
        <v>274</v>
      </c>
      <c r="E19" t="s">
        <v>202</v>
      </c>
      <c r="F19" t="s">
        <v>267</v>
      </c>
    </row>
    <row r="20" spans="1:16">
      <c r="F20" s="53"/>
    </row>
    <row r="21" spans="1:16">
      <c r="F21" s="53"/>
      <c r="O21" s="3" t="s">
        <v>147</v>
      </c>
      <c r="P21" s="3"/>
    </row>
    <row r="22" spans="1:16">
      <c r="F22" s="53"/>
      <c r="O22" s="3" t="s">
        <v>142</v>
      </c>
      <c r="P22" s="3" t="s">
        <v>149</v>
      </c>
    </row>
    <row r="23" spans="1:16">
      <c r="F23" s="53"/>
      <c r="O23" s="3"/>
      <c r="P23" s="3"/>
    </row>
    <row r="24" spans="1:16">
      <c r="F24" s="53"/>
      <c r="O24" s="3"/>
      <c r="P24" s="3"/>
    </row>
    <row r="25" spans="1:16">
      <c r="F25" s="53"/>
      <c r="O25" s="3"/>
      <c r="P25" s="3"/>
    </row>
    <row r="26" spans="1:16">
      <c r="F26" s="53"/>
      <c r="O26" s="3"/>
      <c r="P26" s="3"/>
    </row>
    <row r="27" spans="1:16">
      <c r="F27" s="53"/>
      <c r="O27" s="3"/>
      <c r="P27" s="3"/>
    </row>
    <row r="28" spans="1:16">
      <c r="F28" s="53"/>
      <c r="O28" s="3"/>
      <c r="P28" s="3"/>
    </row>
    <row r="29" spans="1:16">
      <c r="F29" s="53"/>
      <c r="O29" s="3" t="s">
        <v>142</v>
      </c>
      <c r="P29" s="3" t="s">
        <v>152</v>
      </c>
    </row>
    <row r="30" spans="1:16" ht="20" customHeight="1">
      <c r="B30" s="128"/>
      <c r="F30" s="53"/>
      <c r="O30" s="3" t="s">
        <v>142</v>
      </c>
      <c r="P30" s="3" t="s">
        <v>150</v>
      </c>
    </row>
    <row r="31" spans="1:16" ht="20" customHeight="1">
      <c r="B31" s="128"/>
      <c r="O31" s="3" t="s">
        <v>142</v>
      </c>
      <c r="P31" s="3" t="s">
        <v>151</v>
      </c>
    </row>
    <row r="32" spans="1:16" ht="20" customHeight="1">
      <c r="B32" s="128"/>
      <c r="O32" s="3" t="s">
        <v>148</v>
      </c>
      <c r="P32" s="3"/>
    </row>
    <row r="33" spans="2:16" ht="20" customHeight="1">
      <c r="B33" s="128"/>
      <c r="O33" s="3"/>
      <c r="P33" s="3"/>
    </row>
    <row r="34" spans="2:16" ht="20" customHeight="1">
      <c r="B34" s="128"/>
      <c r="O34" s="3"/>
      <c r="P34" s="3"/>
    </row>
    <row r="52" spans="2:5">
      <c r="B52" s="121"/>
      <c r="C52" s="53"/>
    </row>
    <row r="53" spans="2:5" ht="20.25" customHeight="1">
      <c r="B53" s="252"/>
      <c r="C53" s="252"/>
    </row>
    <row r="55" spans="2:5">
      <c r="E55" s="53"/>
    </row>
    <row r="56" spans="2:5">
      <c r="E56" s="53"/>
    </row>
    <row r="57" spans="2:5">
      <c r="E57" s="53"/>
    </row>
    <row r="58" spans="2:5">
      <c r="E58" s="53"/>
    </row>
    <row r="66" spans="3:3">
      <c r="C66" s="53"/>
    </row>
    <row r="67" spans="3:3">
      <c r="C67" s="53"/>
    </row>
    <row r="68" spans="3:3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49"/>
  <sheetViews>
    <sheetView zoomScale="115" zoomScaleNormal="115" workbookViewId="0">
      <selection activeCell="E10" sqref="E10"/>
    </sheetView>
  </sheetViews>
  <sheetFormatPr baseColWidth="10" defaultColWidth="8.83203125" defaultRowHeight="15"/>
  <cols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219</v>
      </c>
      <c r="B1" t="s">
        <v>220</v>
      </c>
      <c r="G1" s="82"/>
    </row>
    <row r="2" spans="1:16">
      <c r="A2" t="s">
        <v>136</v>
      </c>
      <c r="B2" t="s">
        <v>222</v>
      </c>
      <c r="G2" s="53"/>
    </row>
    <row r="3" spans="1:16">
      <c r="A3" t="s">
        <v>138</v>
      </c>
      <c r="B3" t="s">
        <v>223</v>
      </c>
    </row>
    <row r="4" spans="1:16">
      <c r="A4" t="s">
        <v>139</v>
      </c>
      <c r="B4" t="s">
        <v>224</v>
      </c>
    </row>
    <row r="5" spans="1:16">
      <c r="A5" t="s">
        <v>72</v>
      </c>
      <c r="B5" t="s">
        <v>362</v>
      </c>
    </row>
    <row r="6" spans="1:16">
      <c r="A6" t="s">
        <v>140</v>
      </c>
      <c r="B6" t="s">
        <v>361</v>
      </c>
    </row>
    <row r="7" spans="1:16">
      <c r="A7" t="s">
        <v>141</v>
      </c>
      <c r="B7" t="s">
        <v>360</v>
      </c>
    </row>
    <row r="8" spans="1:16">
      <c r="A8" t="s">
        <v>221</v>
      </c>
      <c r="B8" t="s">
        <v>225</v>
      </c>
    </row>
    <row r="9" spans="1:16">
      <c r="A9" t="s">
        <v>363</v>
      </c>
      <c r="B9" t="s">
        <v>366</v>
      </c>
    </row>
    <row r="10" spans="1:16">
      <c r="A10" t="s">
        <v>364</v>
      </c>
      <c r="B10" t="s">
        <v>367</v>
      </c>
    </row>
    <row r="11" spans="1:16">
      <c r="A11" t="s">
        <v>365</v>
      </c>
      <c r="B11" t="s">
        <v>368</v>
      </c>
    </row>
    <row r="12" spans="1:16" ht="16">
      <c r="B12" s="53" t="s">
        <v>395</v>
      </c>
    </row>
    <row r="13" spans="1:16">
      <c r="F13" s="53"/>
      <c r="O13" s="3" t="s">
        <v>142</v>
      </c>
      <c r="P13" s="3" t="s">
        <v>149</v>
      </c>
    </row>
    <row r="14" spans="1:16">
      <c r="F14" s="53"/>
      <c r="O14" s="3"/>
      <c r="P14" s="3"/>
    </row>
    <row r="15" spans="1:16">
      <c r="F15" s="53"/>
      <c r="O15" s="3"/>
      <c r="P15" s="3"/>
    </row>
    <row r="16" spans="1:16">
      <c r="F16" s="53"/>
      <c r="O16" s="3"/>
      <c r="P16" s="3"/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 t="s">
        <v>142</v>
      </c>
      <c r="P20" s="3" t="s">
        <v>152</v>
      </c>
    </row>
    <row r="21" spans="2:16" ht="20" customHeight="1">
      <c r="B21" s="128"/>
      <c r="F21" s="53"/>
      <c r="O21" s="3" t="s">
        <v>142</v>
      </c>
      <c r="P21" s="3" t="s">
        <v>150</v>
      </c>
    </row>
    <row r="22" spans="2:16" ht="20" customHeight="1">
      <c r="B22" s="128"/>
      <c r="O22" s="3" t="s">
        <v>142</v>
      </c>
      <c r="P22" s="3" t="s">
        <v>151</v>
      </c>
    </row>
    <row r="23" spans="2:16" ht="20" customHeight="1">
      <c r="B23" s="128"/>
      <c r="O23" s="3" t="s">
        <v>148</v>
      </c>
      <c r="P23" s="3"/>
    </row>
    <row r="24" spans="2:16" ht="20" customHeight="1">
      <c r="B24" s="128"/>
      <c r="O24" s="3"/>
      <c r="P24" s="3"/>
    </row>
    <row r="25" spans="2:16" ht="20" customHeight="1">
      <c r="B25" s="128"/>
      <c r="O25" s="3"/>
      <c r="P25" s="3"/>
    </row>
    <row r="43" spans="2:5">
      <c r="B43" s="121"/>
      <c r="C43" s="53"/>
    </row>
    <row r="44" spans="2:5" ht="20.25" customHeight="1"/>
    <row r="46" spans="2:5">
      <c r="E46" s="53"/>
    </row>
    <row r="47" spans="2:5">
      <c r="E47" s="53"/>
    </row>
    <row r="48" spans="2:5">
      <c r="E48" s="53"/>
    </row>
    <row r="49" spans="5:5">
      <c r="E49" s="53"/>
    </row>
  </sheetData>
  <dataValidations count="4">
    <dataValidation type="list" allowBlank="1" showInputMessage="1" showErrorMessage="1" sqref="D17" xr:uid="{D94A2014-CD8A-47DA-9CD5-5E69CA4142B5}">
      <formula1>"YES,NO"</formula1>
    </dataValidation>
    <dataValidation type="list" allowBlank="1" showInputMessage="1" showErrorMessage="1" sqref="D15" xr:uid="{BEF029E8-7750-4B58-8632-8DAE2ECFF0FA}">
      <formula1>$E$46:$E$49</formula1>
    </dataValidation>
    <dataValidation type="list" allowBlank="1" showInputMessage="1" showErrorMessage="1" sqref="D16" xr:uid="{31912351-E37F-4EF1-B50F-DD6C48F2EA5E}">
      <formula1>"IP55,IP66"</formula1>
    </dataValidation>
    <dataValidation type="list" allowBlank="1" showInputMessage="1" showErrorMessage="1" sqref="D13" xr:uid="{DD8DBC36-A047-486C-B0CC-674848D0FC28}">
      <formula1>$A$2:$A$12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226</v>
      </c>
      <c r="B2" s="53"/>
      <c r="G2" s="82"/>
    </row>
    <row r="3" spans="1:16" ht="32">
      <c r="A3" s="53" t="s">
        <v>227</v>
      </c>
      <c r="B3" s="53"/>
      <c r="G3" s="53"/>
    </row>
    <row r="4" spans="1:16" ht="16">
      <c r="A4" s="53" t="s">
        <v>228</v>
      </c>
      <c r="B4" s="53"/>
    </row>
    <row r="5" spans="1:16" ht="16">
      <c r="A5" s="53" t="s">
        <v>229</v>
      </c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A13" s="121"/>
      <c r="B13" s="53"/>
    </row>
    <row r="14" spans="1:16">
      <c r="A14" s="121"/>
      <c r="B14" s="53"/>
    </row>
    <row r="15" spans="1:16">
      <c r="F15" s="53"/>
    </row>
    <row r="16" spans="1:16">
      <c r="F16" s="53"/>
      <c r="O16" s="3" t="s">
        <v>147</v>
      </c>
      <c r="P16" s="3"/>
    </row>
    <row r="17" spans="2:16">
      <c r="F17" s="53"/>
      <c r="O17" s="3" t="s">
        <v>142</v>
      </c>
      <c r="P17" s="3" t="s">
        <v>149</v>
      </c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/>
      <c r="P23" s="3"/>
    </row>
    <row r="24" spans="2:16">
      <c r="F24" s="53"/>
      <c r="O24" s="3" t="s">
        <v>142</v>
      </c>
      <c r="P24" s="3" t="s">
        <v>152</v>
      </c>
    </row>
    <row r="25" spans="2:16" ht="20" customHeight="1">
      <c r="B25" s="128"/>
      <c r="F25" s="53"/>
      <c r="O25" s="3" t="s">
        <v>142</v>
      </c>
      <c r="P25" s="3" t="s">
        <v>150</v>
      </c>
    </row>
    <row r="26" spans="2:16" ht="20" customHeight="1">
      <c r="B26" s="128"/>
      <c r="O26" s="3" t="s">
        <v>142</v>
      </c>
      <c r="P26" s="3" t="s">
        <v>151</v>
      </c>
    </row>
    <row r="27" spans="2:16" ht="20" customHeight="1">
      <c r="B27" s="128"/>
      <c r="O27" s="3" t="s">
        <v>148</v>
      </c>
      <c r="P27" s="3"/>
    </row>
    <row r="28" spans="2:16" ht="20" customHeight="1">
      <c r="B28" s="128"/>
      <c r="O28" s="3"/>
      <c r="P28" s="3"/>
    </row>
    <row r="29" spans="2:16" ht="20" customHeight="1">
      <c r="B29" s="128"/>
      <c r="O29" s="3"/>
      <c r="P29" s="3"/>
    </row>
    <row r="47" spans="2:3">
      <c r="B47" s="121"/>
      <c r="C47" s="53"/>
    </row>
    <row r="48" spans="2:3" ht="20.25" customHeight="1">
      <c r="B48" s="252"/>
      <c r="C48" s="252"/>
    </row>
    <row r="61" spans="3:3">
      <c r="C61" s="53"/>
    </row>
    <row r="62" spans="3:3">
      <c r="C62" s="53"/>
    </row>
    <row r="63" spans="3:3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246</v>
      </c>
      <c r="B2" s="53"/>
      <c r="G2" s="82"/>
    </row>
    <row r="3" spans="1:16" ht="16">
      <c r="A3" s="53" t="s">
        <v>143</v>
      </c>
      <c r="B3" s="53"/>
      <c r="G3" s="53"/>
    </row>
    <row r="4" spans="1:16">
      <c r="A4" s="121"/>
      <c r="B4" s="53"/>
    </row>
    <row r="5" spans="1:16">
      <c r="A5" s="121"/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F13" s="53"/>
    </row>
    <row r="14" spans="1:16">
      <c r="F14" s="53"/>
      <c r="O14" s="3" t="s">
        <v>147</v>
      </c>
      <c r="P14" s="3"/>
    </row>
    <row r="15" spans="1:16">
      <c r="F15" s="53"/>
      <c r="O15" s="3" t="s">
        <v>142</v>
      </c>
      <c r="P15" s="3" t="s">
        <v>149</v>
      </c>
    </row>
    <row r="16" spans="1:16">
      <c r="F16" s="53"/>
      <c r="O16" s="3"/>
      <c r="P16" s="3"/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 t="s">
        <v>142</v>
      </c>
      <c r="P22" s="3" t="s">
        <v>152</v>
      </c>
    </row>
    <row r="23" spans="2:16" ht="20" customHeight="1">
      <c r="B23" s="128"/>
      <c r="F23" s="53"/>
      <c r="O23" s="3" t="s">
        <v>142</v>
      </c>
      <c r="P23" s="3" t="s">
        <v>150</v>
      </c>
    </row>
    <row r="24" spans="2:16" ht="20" customHeight="1">
      <c r="B24" s="128"/>
      <c r="O24" s="3" t="s">
        <v>142</v>
      </c>
      <c r="P24" s="3" t="s">
        <v>151</v>
      </c>
    </row>
    <row r="25" spans="2:16" ht="20" customHeight="1">
      <c r="B25" s="128"/>
      <c r="O25" s="3" t="s">
        <v>148</v>
      </c>
      <c r="P25" s="3"/>
    </row>
    <row r="26" spans="2:16" ht="20" customHeight="1">
      <c r="B26" s="128"/>
      <c r="O26" s="3"/>
      <c r="P26" s="3"/>
    </row>
    <row r="27" spans="2:16" ht="20" customHeight="1">
      <c r="B27" s="128"/>
      <c r="O27" s="3"/>
      <c r="P27" s="3"/>
    </row>
    <row r="45" spans="2:3">
      <c r="B45" s="121"/>
      <c r="C45" s="53"/>
    </row>
    <row r="46" spans="2:3" ht="20.25" customHeight="1">
      <c r="B46" s="252"/>
      <c r="C46" s="252"/>
    </row>
    <row r="59" spans="3:3">
      <c r="C59" s="53"/>
    </row>
    <row r="60" spans="3:3">
      <c r="C60" s="53"/>
    </row>
    <row r="61" spans="3:3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92D5-CDB8-4B21-BCAC-9A485BC799FA}">
  <sheetPr>
    <tabColor theme="7" tint="0.39997558519241921"/>
  </sheetPr>
  <dimension ref="A1:W55"/>
  <sheetViews>
    <sheetView zoomScaleNormal="100" workbookViewId="0">
      <selection activeCell="F48" sqref="F48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9.5" customWidth="1"/>
    <col min="5" max="5" width="23.5" customWidth="1"/>
    <col min="6" max="6" width="9.5" customWidth="1"/>
    <col min="7" max="7" width="10.5" customWidth="1"/>
    <col min="8" max="8" width="13.33203125" customWidth="1"/>
    <col min="9" max="9" width="19.1640625" customWidth="1"/>
    <col min="10" max="10" width="23.83203125" customWidth="1"/>
    <col min="11" max="11" width="9.6640625" customWidth="1"/>
    <col min="12" max="12" width="11.5" bestFit="1" customWidth="1"/>
    <col min="13" max="13" width="13" customWidth="1"/>
    <col min="18" max="18" width="10.6640625" customWidth="1"/>
  </cols>
  <sheetData>
    <row r="1" spans="1:23" ht="19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t="s">
        <v>301</v>
      </c>
      <c r="O1" t="s">
        <v>312</v>
      </c>
      <c r="P1" t="s">
        <v>311</v>
      </c>
      <c r="Q1" t="s">
        <v>310</v>
      </c>
      <c r="R1" t="s">
        <v>298</v>
      </c>
      <c r="S1" t="s">
        <v>299</v>
      </c>
      <c r="T1" t="s">
        <v>300</v>
      </c>
      <c r="U1" s="112"/>
      <c r="V1" s="112"/>
      <c r="W1" s="112"/>
    </row>
    <row r="2" spans="1:23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96" t="s">
        <v>18</v>
      </c>
      <c r="O2">
        <v>35</v>
      </c>
      <c r="P2">
        <v>27.5</v>
      </c>
      <c r="Q2">
        <v>9</v>
      </c>
      <c r="R2" s="197">
        <v>61.25</v>
      </c>
      <c r="S2" s="198">
        <v>90</v>
      </c>
      <c r="T2" s="197">
        <v>16.39</v>
      </c>
      <c r="U2" s="110"/>
      <c r="V2" s="110"/>
      <c r="W2" s="110"/>
    </row>
    <row r="3" spans="1:23" ht="32">
      <c r="A3" t="s">
        <v>352</v>
      </c>
      <c r="B3" s="53" t="s">
        <v>283</v>
      </c>
      <c r="D3" s="7"/>
      <c r="E3" s="7"/>
      <c r="F3" s="7"/>
      <c r="G3" s="7"/>
      <c r="H3" s="53"/>
      <c r="I3" s="53"/>
      <c r="J3" s="7"/>
      <c r="N3" s="196" t="s">
        <v>19</v>
      </c>
      <c r="O3">
        <v>48</v>
      </c>
      <c r="P3">
        <v>27.5</v>
      </c>
      <c r="Q3">
        <v>9</v>
      </c>
      <c r="R3" s="197">
        <v>61.75</v>
      </c>
      <c r="S3" s="198">
        <v>90.5</v>
      </c>
      <c r="T3" s="197">
        <v>18.88</v>
      </c>
      <c r="U3" s="7"/>
      <c r="V3" s="7"/>
      <c r="W3" s="7"/>
    </row>
    <row r="4" spans="1:23" ht="19">
      <c r="A4" s="4" t="s">
        <v>13</v>
      </c>
      <c r="B4" s="5">
        <f>Input!$D$12</f>
        <v>2990</v>
      </c>
      <c r="C4" s="6" t="s">
        <v>12</v>
      </c>
      <c r="D4" s="7"/>
      <c r="E4" s="7"/>
      <c r="F4" s="7"/>
      <c r="G4" s="7"/>
      <c r="H4" s="53"/>
      <c r="J4" s="7"/>
      <c r="L4" s="82"/>
      <c r="N4" s="196"/>
      <c r="O4">
        <v>0</v>
      </c>
      <c r="P4">
        <v>0</v>
      </c>
      <c r="Q4">
        <v>0</v>
      </c>
      <c r="R4" s="197"/>
      <c r="S4" s="198"/>
      <c r="T4" s="197"/>
      <c r="U4" s="7"/>
      <c r="V4" s="7"/>
      <c r="W4" s="7"/>
    </row>
    <row r="5" spans="1:23" ht="19">
      <c r="A5" s="8" t="s">
        <v>1</v>
      </c>
      <c r="B5" s="9">
        <f>Input!$D$9</f>
        <v>1450</v>
      </c>
      <c r="C5" s="10" t="s">
        <v>7</v>
      </c>
      <c r="D5" s="11"/>
      <c r="E5" s="11"/>
      <c r="F5" s="11"/>
      <c r="G5" s="11"/>
      <c r="H5" s="53"/>
      <c r="J5" s="11"/>
      <c r="L5" s="82"/>
      <c r="N5" s="196" t="s">
        <v>20</v>
      </c>
      <c r="O5">
        <v>58.5</v>
      </c>
      <c r="P5">
        <v>47</v>
      </c>
      <c r="Q5">
        <v>16</v>
      </c>
      <c r="R5" s="198">
        <v>91</v>
      </c>
      <c r="S5" s="198">
        <v>162.80000000000001</v>
      </c>
      <c r="T5" s="197">
        <v>19.37</v>
      </c>
      <c r="U5" s="11"/>
      <c r="V5" s="11"/>
      <c r="W5" s="11"/>
    </row>
    <row r="6" spans="1:23" ht="19">
      <c r="A6" s="8" t="s">
        <v>356</v>
      </c>
      <c r="B6" s="9">
        <f>$B$5/2</f>
        <v>725</v>
      </c>
      <c r="C6" s="10" t="s">
        <v>7</v>
      </c>
      <c r="D6" s="11"/>
      <c r="E6" s="11"/>
      <c r="F6" s="11"/>
      <c r="G6" s="11"/>
      <c r="H6" s="53"/>
      <c r="J6" s="11"/>
      <c r="L6" s="82"/>
      <c r="N6" s="196" t="s">
        <v>21</v>
      </c>
      <c r="O6">
        <v>74</v>
      </c>
      <c r="P6">
        <v>47</v>
      </c>
      <c r="Q6">
        <v>16</v>
      </c>
      <c r="R6" s="198">
        <v>101</v>
      </c>
      <c r="S6" s="198">
        <v>172.8</v>
      </c>
      <c r="T6" s="197">
        <v>19.96</v>
      </c>
      <c r="U6" s="11"/>
      <c r="V6" s="11"/>
      <c r="W6" s="11"/>
    </row>
    <row r="7" spans="1:23" ht="19">
      <c r="A7" s="8" t="s">
        <v>15</v>
      </c>
      <c r="B7" s="9">
        <f>IF(Input!$D$10=0,5,Input!$D$10)</f>
        <v>5</v>
      </c>
      <c r="C7" s="1" t="s">
        <v>7</v>
      </c>
      <c r="H7" s="53"/>
      <c r="L7" s="58"/>
      <c r="N7" s="196" t="s">
        <v>22</v>
      </c>
      <c r="O7">
        <v>80</v>
      </c>
      <c r="P7">
        <v>52</v>
      </c>
      <c r="Q7">
        <v>16</v>
      </c>
      <c r="R7" s="198">
        <v>102.5</v>
      </c>
      <c r="S7" s="198">
        <v>174.3</v>
      </c>
      <c r="T7" s="197">
        <v>19.59</v>
      </c>
      <c r="U7" s="111"/>
      <c r="W7" s="12"/>
    </row>
    <row r="8" spans="1:23" ht="19">
      <c r="A8" s="8" t="s">
        <v>357</v>
      </c>
      <c r="B8" s="9">
        <f>VLOOKUP($B$3,Tabell2[[Dish Head Type]:[Vol dish]],2,FALSE)</f>
        <v>1460</v>
      </c>
      <c r="C8" s="1" t="s">
        <v>7</v>
      </c>
      <c r="H8" s="53"/>
      <c r="L8" s="58"/>
      <c r="N8" s="196" t="s">
        <v>23</v>
      </c>
      <c r="O8">
        <v>88.5</v>
      </c>
      <c r="P8">
        <v>64.75</v>
      </c>
      <c r="Q8">
        <v>16</v>
      </c>
      <c r="R8" s="198">
        <v>106</v>
      </c>
      <c r="S8" s="198">
        <v>177.8</v>
      </c>
      <c r="T8" s="197">
        <v>18.850000000000001</v>
      </c>
      <c r="U8" s="111"/>
      <c r="W8" s="12"/>
    </row>
    <row r="9" spans="1:23" ht="16">
      <c r="A9" s="8" t="s">
        <v>279</v>
      </c>
      <c r="B9" s="11">
        <f>VLOOKUP($B$3,Tabell2[[Dish Head Type]:[Vol dish]],4,FALSE)</f>
        <v>1460</v>
      </c>
      <c r="C9" s="1"/>
      <c r="H9" s="53"/>
      <c r="L9" s="58"/>
      <c r="N9" s="196" t="s">
        <v>24</v>
      </c>
      <c r="O9">
        <v>118</v>
      </c>
      <c r="P9">
        <v>79.75</v>
      </c>
      <c r="Q9">
        <v>20</v>
      </c>
      <c r="R9" s="198">
        <v>107.6</v>
      </c>
      <c r="S9" s="197">
        <f>194.94+4.6</f>
        <v>199.54</v>
      </c>
      <c r="T9" s="197">
        <v>19.09</v>
      </c>
      <c r="U9" s="111"/>
      <c r="W9" s="12"/>
    </row>
    <row r="10" spans="1:23" ht="16">
      <c r="A10" s="8" t="s">
        <v>293</v>
      </c>
      <c r="B10" s="11">
        <f>VLOOKUP($B$3,Tabell2[[Dish Head Type]:[Vol dish]],5,FALSE)</f>
        <v>146</v>
      </c>
      <c r="C10" s="1"/>
      <c r="H10" s="53"/>
      <c r="L10" s="58"/>
      <c r="N10" s="196" t="s">
        <v>25</v>
      </c>
      <c r="O10">
        <v>150</v>
      </c>
      <c r="P10">
        <v>99.75</v>
      </c>
      <c r="Q10">
        <v>20</v>
      </c>
      <c r="R10" s="198">
        <v>119.6</v>
      </c>
      <c r="S10" s="197">
        <v>211.09527947999999</v>
      </c>
      <c r="T10" s="197">
        <v>19.079999999999998</v>
      </c>
      <c r="U10" s="111"/>
      <c r="W10" s="12"/>
    </row>
    <row r="11" spans="1:23" ht="16">
      <c r="A11" s="8" t="s">
        <v>369</v>
      </c>
      <c r="B11" s="202">
        <f>($B$6-$B$10)*$B$9/($B$9-$B$10)</f>
        <v>643.33333333333337</v>
      </c>
      <c r="C11" s="1"/>
      <c r="H11" s="53"/>
      <c r="L11" s="58"/>
      <c r="N11" s="196" t="s">
        <v>26</v>
      </c>
      <c r="O11">
        <v>175</v>
      </c>
      <c r="P11">
        <v>114.75</v>
      </c>
      <c r="Q11">
        <v>20</v>
      </c>
      <c r="R11" s="198">
        <v>125.5</v>
      </c>
      <c r="S11" s="198">
        <v>217</v>
      </c>
      <c r="T11" s="197">
        <v>18.62</v>
      </c>
      <c r="U11" s="111"/>
      <c r="W11" s="12"/>
    </row>
    <row r="12" spans="1:23" ht="19">
      <c r="A12" s="8"/>
      <c r="B12" s="14"/>
      <c r="C12" s="1"/>
      <c r="H12" s="53"/>
      <c r="L12" s="58"/>
      <c r="N12" t="s">
        <v>134</v>
      </c>
      <c r="O12">
        <v>200</v>
      </c>
      <c r="P12">
        <v>124.75</v>
      </c>
      <c r="Q12">
        <v>0</v>
      </c>
      <c r="U12" s="12"/>
      <c r="W12" s="12"/>
    </row>
    <row r="13" spans="1:23" ht="33">
      <c r="A13" s="96" t="s">
        <v>121</v>
      </c>
      <c r="B13" s="14" t="str">
        <f>IF($B$5&lt;1000,
CONCATENATE(ROUNDUP(0.5*$B$11,0),"mm"),
CONCATENATE(ROUNDUP(0.3*$B$11,0), "mm - ",ROUNDUP(0.5*$B$11,0),"mm"))</f>
        <v>193mm - 322mm</v>
      </c>
      <c r="C13" s="1"/>
      <c r="D13" s="14"/>
      <c r="E13" s="14"/>
      <c r="F13" s="14"/>
      <c r="H13" s="53"/>
      <c r="L13" s="58"/>
      <c r="N13" t="s">
        <v>135</v>
      </c>
      <c r="O13">
        <v>225</v>
      </c>
      <c r="P13">
        <v>124.75</v>
      </c>
      <c r="Q13">
        <v>0</v>
      </c>
      <c r="U13" s="12"/>
      <c r="W13" s="12"/>
    </row>
    <row r="14" spans="1:23" ht="49">
      <c r="A14" s="96" t="s">
        <v>265</v>
      </c>
      <c r="B14" s="14" t="str">
        <f>IF($B$5&lt;1000,
CONCATENATE(ROUNDUP(0.5*$B$11/25.4,1)," in"),
CONCATENATE(SUBSTITUTE(ROUNDUP(0.3*$B$11/25.4,1),",",".",1), " in - ",SUBSTITUTE(ROUNDUP(0.5*$B$11/25.4,1),",",".",1)," in"))</f>
        <v>7.6 in - 12.7 in</v>
      </c>
      <c r="C14" s="1"/>
      <c r="H14" s="53"/>
      <c r="N14" s="196" t="s">
        <v>30</v>
      </c>
      <c r="O14">
        <v>33</v>
      </c>
      <c r="P14">
        <v>40</v>
      </c>
      <c r="Q14">
        <v>9</v>
      </c>
      <c r="R14" s="197">
        <v>89.75</v>
      </c>
      <c r="S14" s="198">
        <f>2.27+135.93</f>
        <v>138.20000000000002</v>
      </c>
      <c r="T14" s="198">
        <v>42</v>
      </c>
      <c r="U14" s="12"/>
      <c r="W14" s="12"/>
    </row>
    <row r="15" spans="1:23" ht="33">
      <c r="A15" s="96" t="s">
        <v>390</v>
      </c>
      <c r="B15" s="108">
        <f>VLOOKUP($B$3,Tabell2[[Dish Head Type]:[Vol dish]],7,FALSE)</f>
        <v>301.76204837500001</v>
      </c>
      <c r="C15" s="1" t="s">
        <v>12</v>
      </c>
      <c r="H15" s="53"/>
      <c r="I15" s="82"/>
      <c r="N15" s="196" t="s">
        <v>31</v>
      </c>
      <c r="O15">
        <v>52.5</v>
      </c>
      <c r="P15">
        <v>57</v>
      </c>
      <c r="Q15">
        <v>16</v>
      </c>
      <c r="R15" s="198">
        <v>131.5</v>
      </c>
      <c r="S15" s="198">
        <f>207.14+4.16</f>
        <v>211.29999999999998</v>
      </c>
      <c r="T15" s="198">
        <v>47</v>
      </c>
      <c r="U15" s="12"/>
      <c r="W15" s="12"/>
    </row>
    <row r="16" spans="1:23" ht="33">
      <c r="A16" s="96" t="s">
        <v>389</v>
      </c>
      <c r="B16" s="97">
        <f>VLOOKUP($B$3,Tabell2[[Dish Head Type]:[Vol dish]],6,FALSE)</f>
        <v>280.23500000000001</v>
      </c>
      <c r="C16" s="1" t="s">
        <v>7</v>
      </c>
      <c r="H16" s="53"/>
      <c r="I16" s="82"/>
      <c r="N16" s="196" t="s">
        <v>32</v>
      </c>
      <c r="O16">
        <v>69.5</v>
      </c>
      <c r="P16">
        <v>80</v>
      </c>
      <c r="Q16">
        <v>20</v>
      </c>
      <c r="R16" s="198">
        <v>169</v>
      </c>
      <c r="S16" s="198">
        <f>255.84+4.16</f>
        <v>260</v>
      </c>
      <c r="T16" s="198">
        <v>58</v>
      </c>
      <c r="U16" s="12"/>
      <c r="W16" s="12"/>
    </row>
    <row r="17" spans="1:23" ht="19">
      <c r="A17" s="96" t="s">
        <v>159</v>
      </c>
      <c r="B17" s="97">
        <f>$B$4-$B$15</f>
        <v>2688.2379516249998</v>
      </c>
      <c r="C17" s="1" t="s">
        <v>12</v>
      </c>
      <c r="H17" s="53"/>
      <c r="N17" s="196" t="s">
        <v>27</v>
      </c>
      <c r="O17">
        <v>33</v>
      </c>
      <c r="P17">
        <v>27.5</v>
      </c>
      <c r="Q17">
        <v>9</v>
      </c>
      <c r="R17" s="197">
        <f>3.5+58.13</f>
        <v>61.63</v>
      </c>
      <c r="S17" s="197">
        <f>106.56+2.27</f>
        <v>108.83</v>
      </c>
      <c r="T17" s="197">
        <v>34.14</v>
      </c>
      <c r="U17" s="12"/>
      <c r="W17" s="12"/>
    </row>
    <row r="18" spans="1:23" ht="19">
      <c r="A18" s="96" t="s">
        <v>163</v>
      </c>
      <c r="B18" s="97">
        <f>($B$4-(0.1*($B$5/100)^3))/(PI()*(($B$5)/200)^2)*100</f>
        <v>1626.0752666118017</v>
      </c>
      <c r="C18" s="1" t="s">
        <v>7</v>
      </c>
      <c r="H18" s="53"/>
      <c r="N18" s="196" t="s">
        <v>28</v>
      </c>
      <c r="O18">
        <v>51.5</v>
      </c>
      <c r="P18">
        <v>47</v>
      </c>
      <c r="Q18">
        <v>16</v>
      </c>
      <c r="R18" s="197">
        <v>100.37</v>
      </c>
      <c r="S18" s="197">
        <f>176.01+4.16</f>
        <v>180.17</v>
      </c>
      <c r="T18" s="197">
        <v>47.4</v>
      </c>
      <c r="U18" s="12"/>
      <c r="W18" s="12"/>
    </row>
    <row r="19" spans="1:23" ht="19">
      <c r="A19" s="15" t="s">
        <v>14</v>
      </c>
      <c r="B19" s="95">
        <f>($B$16+$B$18)/$B$5</f>
        <v>1.314696735594346</v>
      </c>
      <c r="C19" s="2"/>
      <c r="H19" s="53"/>
      <c r="N19" s="196" t="s">
        <v>29</v>
      </c>
      <c r="O19">
        <v>68</v>
      </c>
      <c r="P19">
        <v>79.75</v>
      </c>
      <c r="Q19">
        <v>20</v>
      </c>
      <c r="R19" s="198">
        <v>137</v>
      </c>
      <c r="S19" s="197">
        <f>224.61+4.16</f>
        <v>228.77</v>
      </c>
      <c r="T19" s="198">
        <v>78</v>
      </c>
    </row>
    <row r="20" spans="1:23">
      <c r="H20" s="53"/>
      <c r="K20" s="44"/>
      <c r="L20" s="44"/>
      <c r="N20" s="196" t="s">
        <v>79</v>
      </c>
      <c r="O20">
        <v>48</v>
      </c>
      <c r="P20">
        <v>27.5</v>
      </c>
      <c r="Q20">
        <v>9</v>
      </c>
      <c r="R20" s="198"/>
      <c r="S20" s="198"/>
      <c r="T20" s="198"/>
    </row>
    <row r="21" spans="1:23">
      <c r="H21" s="53"/>
      <c r="N21" s="196" t="s">
        <v>80</v>
      </c>
      <c r="O21">
        <v>75</v>
      </c>
      <c r="P21">
        <v>47</v>
      </c>
      <c r="Q21">
        <v>16</v>
      </c>
      <c r="R21" s="198">
        <v>101</v>
      </c>
      <c r="S21" s="198">
        <v>179</v>
      </c>
      <c r="T21" s="198">
        <v>20</v>
      </c>
    </row>
    <row r="22" spans="1:23" ht="16">
      <c r="A22" s="110" t="s">
        <v>370</v>
      </c>
      <c r="B22" s="110"/>
      <c r="C22" s="110"/>
      <c r="D22" s="110"/>
      <c r="E22" s="110" t="s">
        <v>296</v>
      </c>
      <c r="F22" s="110"/>
      <c r="G22" s="110"/>
      <c r="H22" s="53"/>
      <c r="K22" s="110"/>
      <c r="L22" s="110"/>
      <c r="M22" s="110"/>
      <c r="N22" t="s">
        <v>119</v>
      </c>
      <c r="O22">
        <v>88.5</v>
      </c>
      <c r="P22">
        <v>64.75</v>
      </c>
      <c r="Q22">
        <v>16</v>
      </c>
      <c r="R22">
        <v>105</v>
      </c>
      <c r="S22">
        <v>187</v>
      </c>
      <c r="T22">
        <v>20</v>
      </c>
      <c r="U22" s="110"/>
      <c r="V22" s="110"/>
      <c r="W22" s="110"/>
    </row>
    <row r="23" spans="1:23" ht="19">
      <c r="A23" s="4" t="s">
        <v>156</v>
      </c>
      <c r="B23" s="5">
        <f>Input!$D$11-$B$4</f>
        <v>-2490</v>
      </c>
      <c r="C23" s="6" t="s">
        <v>12</v>
      </c>
      <c r="D23" s="7"/>
      <c r="E23" s="33" t="s">
        <v>371</v>
      </c>
      <c r="F23" s="33" t="str">
        <f>Output!C$24</f>
        <v>ZG10</v>
      </c>
      <c r="G23" s="33" t="str">
        <f>Output!D$24</f>
        <v>N/A</v>
      </c>
      <c r="H23" s="33" t="str">
        <f>Output!E$24</f>
        <v>N/A</v>
      </c>
      <c r="I23" s="33" t="str">
        <f>Output!F$24</f>
        <v>HS5</v>
      </c>
      <c r="J23" s="33" t="str">
        <f>Output!G$24</f>
        <v>N/A</v>
      </c>
      <c r="K23" s="7"/>
      <c r="L23" s="7"/>
      <c r="M23" s="7"/>
      <c r="N23" s="196" t="s">
        <v>81</v>
      </c>
      <c r="O23">
        <v>118</v>
      </c>
      <c r="P23">
        <v>79.75</v>
      </c>
      <c r="Q23">
        <v>20</v>
      </c>
      <c r="R23" s="198">
        <v>109</v>
      </c>
      <c r="S23" s="198">
        <v>201</v>
      </c>
      <c r="T23" s="198">
        <v>21.38</v>
      </c>
      <c r="U23" s="7"/>
      <c r="V23" s="7"/>
      <c r="W23" s="7"/>
    </row>
    <row r="24" spans="1:23" ht="19">
      <c r="A24" s="8" t="s">
        <v>1</v>
      </c>
      <c r="B24" s="9">
        <f>$B$5</f>
        <v>1450</v>
      </c>
      <c r="C24" s="10" t="s">
        <v>7</v>
      </c>
      <c r="D24" s="11"/>
      <c r="E24" s="203" t="s">
        <v>388</v>
      </c>
      <c r="F24" s="204">
        <f>IF($F$23="N/A","N/A",VLOOKUP($F$23,Tabell36[],3,FALSE))</f>
        <v>114.75</v>
      </c>
      <c r="G24" s="204" t="str">
        <f>IF($G$23="N/A","N/A",VLOOKUP($G$23,Tabell36[],3,FALSE))</f>
        <v>N/A</v>
      </c>
      <c r="H24" s="204" t="str">
        <f>IF($H$23="N/A","N/A",VLOOKUP($H$23,Tabell36[],3,FALSE))</f>
        <v>N/A</v>
      </c>
      <c r="I24" s="204">
        <f>IF($I$23="N/A","N/A",VLOOKUP($I$23,Tabell36[],3,FALSE))</f>
        <v>57</v>
      </c>
      <c r="J24" s="204" t="str">
        <f>IF($J$23="N/A","N/A",VLOOKUP($J$23,Tabell36[],3,FALSE))</f>
        <v>N/A</v>
      </c>
      <c r="K24" s="11"/>
      <c r="L24" s="11"/>
      <c r="M24" s="11"/>
      <c r="N24" s="196" t="s">
        <v>33</v>
      </c>
      <c r="O24">
        <v>70</v>
      </c>
      <c r="P24">
        <v>54.75</v>
      </c>
      <c r="Q24">
        <v>36.75</v>
      </c>
      <c r="R24" s="198">
        <v>55</v>
      </c>
      <c r="S24" s="198">
        <v>66.5</v>
      </c>
      <c r="T24" s="198">
        <v>31.1</v>
      </c>
      <c r="U24" s="11"/>
      <c r="V24" s="11"/>
      <c r="W24" s="11"/>
    </row>
    <row r="25" spans="1:23" ht="33">
      <c r="A25" s="8" t="s">
        <v>15</v>
      </c>
      <c r="B25" s="9">
        <f>$B$7</f>
        <v>5</v>
      </c>
      <c r="C25" s="1" t="s">
        <v>7</v>
      </c>
      <c r="E25" s="193" t="s">
        <v>387</v>
      </c>
      <c r="F25" s="205">
        <f>IF($F$23="N/A","N/A",VLOOKUP($F$23,Tabell36[],4,FALSE))</f>
        <v>20</v>
      </c>
      <c r="G25" s="205" t="str">
        <f>IF($G$23="N/A","N/A",VLOOKUP($G$23,Tabell36[],4,FALSE))</f>
        <v>N/A</v>
      </c>
      <c r="H25" s="205" t="str">
        <f>IF($H$23="N/A","N/A",VLOOKUP($H$23,Tabell36[],4,FALSE))</f>
        <v>N/A</v>
      </c>
      <c r="I25" s="205">
        <f>IF($I$23="N/A","N/A",VLOOKUP($I$23,Tabell36[],4,FALSE))</f>
        <v>16</v>
      </c>
      <c r="J25" s="205" t="str">
        <f>IF($J$23="N/A","N/A",VLOOKUP($J$23,Tabell36[],4,FALSE))</f>
        <v>N/A</v>
      </c>
      <c r="N25" s="196" t="s">
        <v>34</v>
      </c>
      <c r="O25">
        <v>110</v>
      </c>
      <c r="P25">
        <v>84</v>
      </c>
      <c r="Q25">
        <v>61</v>
      </c>
      <c r="R25" s="198">
        <v>71.5</v>
      </c>
      <c r="S25" s="198">
        <v>169.5</v>
      </c>
      <c r="T25" s="198">
        <v>41.5</v>
      </c>
      <c r="U25" s="111"/>
      <c r="W25" s="12"/>
    </row>
    <row r="26" spans="1:23" ht="33">
      <c r="A26" s="8"/>
      <c r="B26" s="14"/>
      <c r="C26" s="1"/>
      <c r="E26" s="193" t="s">
        <v>386</v>
      </c>
      <c r="F26" s="205">
        <f>IF($F$23="N/A","N/A",VLOOKUP($F$23,Tabell36[],5,FALSE))</f>
        <v>125.5</v>
      </c>
      <c r="G26" s="205" t="str">
        <f>IF($G$23="N/A","N/A",VLOOKUP($G$23,Tabell36[],5,FALSE))</f>
        <v>N/A</v>
      </c>
      <c r="H26" s="205" t="str">
        <f>IF($H$23="N/A","N/A",VLOOKUP($H$23,Tabell36[],5,FALSE))</f>
        <v>N/A</v>
      </c>
      <c r="I26" s="205">
        <f>IF($I$23="N/A","N/A",VLOOKUP($I$23,Tabell36[],5,FALSE))</f>
        <v>131.5</v>
      </c>
      <c r="J26" s="205" t="str">
        <f>IF($J$23="N/A","N/A",VLOOKUP($J$23,Tabell36[],5,FALSE))</f>
        <v>N/A</v>
      </c>
      <c r="P26" s="12"/>
      <c r="Q26" s="12"/>
      <c r="S26" s="12"/>
      <c r="T26" s="13"/>
      <c r="U26" s="12"/>
      <c r="W26" s="12"/>
    </row>
    <row r="27" spans="1:23" ht="19">
      <c r="A27" s="96" t="s">
        <v>122</v>
      </c>
      <c r="B27" s="97">
        <f>$B$16</f>
        <v>280.23500000000001</v>
      </c>
      <c r="C27" s="1" t="s">
        <v>7</v>
      </c>
      <c r="E27" s="193" t="s">
        <v>391</v>
      </c>
      <c r="F27" s="205">
        <f>IF($F$23="N/A","N/A",VLOOKUP($F$23,Tabell36[],6,FALSE))</f>
        <v>217</v>
      </c>
      <c r="G27" s="205" t="str">
        <f>IF($G$23="N/A","N/A",VLOOKUP($G$23,Tabell36[],6,FALSE))</f>
        <v>N/A</v>
      </c>
      <c r="H27" s="205" t="str">
        <f>IF($H$23="N/A","N/A",VLOOKUP($H$23,Tabell36[],6,FALSE))</f>
        <v>N/A</v>
      </c>
      <c r="I27" s="205">
        <f>IF($I$23="N/A","N/A",VLOOKUP($I$23,Tabell36[],6,FALSE))</f>
        <v>211.29999999999998</v>
      </c>
      <c r="J27" s="205" t="str">
        <f>IF($J$23="N/A","N/A",VLOOKUP($J$23,Tabell36[],6,FALSE))</f>
        <v>N/A</v>
      </c>
      <c r="P27" s="12"/>
      <c r="Q27" s="12"/>
      <c r="S27" s="12"/>
      <c r="T27" s="13"/>
      <c r="U27" s="12"/>
      <c r="W27" s="12"/>
    </row>
    <row r="28" spans="1:23" ht="33">
      <c r="A28" s="96" t="s">
        <v>153</v>
      </c>
      <c r="B28" s="97">
        <f>(Input!$D$11-$B$4)/(PI()*($B$5/200)^2)*100</f>
        <v>-1507.9031944782664</v>
      </c>
      <c r="C28" s="1" t="s">
        <v>7</v>
      </c>
      <c r="E28" s="193" t="s">
        <v>385</v>
      </c>
      <c r="F28" s="205">
        <f>IF($F$23="N/A","N/A",VLOOKUP($F$23,Tabell36[],7,FALSE))</f>
        <v>18.62</v>
      </c>
      <c r="G28" s="205" t="str">
        <f>IF($G$23="N/A","N/A",VLOOKUP($G$23,Tabell36[],7,FALSE))</f>
        <v>N/A</v>
      </c>
      <c r="H28" s="205" t="str">
        <f>IF($H$23="N/A","N/A",VLOOKUP($H$23,Tabell36[],7,FALSE))</f>
        <v>N/A</v>
      </c>
      <c r="I28" s="205">
        <f>IF($I$23="N/A","N/A",VLOOKUP($I$23,Tabell36[],7,FALSE))</f>
        <v>47</v>
      </c>
      <c r="J28" s="205" t="str">
        <f>IF($J$23="N/A","N/A",VLOOKUP($J$23,Tabell36[],7,FALSE))</f>
        <v>N/A</v>
      </c>
      <c r="P28" s="12"/>
      <c r="Q28" s="12"/>
      <c r="S28" s="12"/>
      <c r="T28" s="13"/>
      <c r="U28" s="12"/>
      <c r="W28" s="12"/>
    </row>
    <row r="29" spans="1:23" ht="33">
      <c r="A29" s="96" t="s">
        <v>123</v>
      </c>
      <c r="B29" s="97">
        <f>SUM($B$16,$B$18,$B$27,$B$28)</f>
        <v>678.64207213353529</v>
      </c>
      <c r="C29" s="1" t="s">
        <v>7</v>
      </c>
      <c r="E29" s="193" t="s">
        <v>384</v>
      </c>
      <c r="F29" s="206">
        <f>IF($F$23="N/A","N/A",VLOOKUP($F$23,Tabell36[],2,FALSE))</f>
        <v>175</v>
      </c>
      <c r="G29" s="206" t="str">
        <f>IF($G$23="N/A","N/A",VLOOKUP($G$23,Tabell36[],2,FALSE))</f>
        <v>N/A</v>
      </c>
      <c r="H29" s="206" t="str">
        <f>IF($H$23="N/A","N/A",VLOOKUP($H$23,Tabell36[],2,FALSE))</f>
        <v>N/A</v>
      </c>
      <c r="I29" s="206">
        <f>IF($I$23="N/A","N/A",VLOOKUP($I$23,Tabell36[],2,FALSE))</f>
        <v>52.5</v>
      </c>
      <c r="J29" s="206" t="str">
        <f>IF($J$23="N/A","N/A",VLOOKUP($J$23,Tabell36[],2,FALSE))</f>
        <v>N/A</v>
      </c>
      <c r="P29" s="12"/>
      <c r="Q29" s="12"/>
      <c r="S29" s="12"/>
      <c r="T29" s="13"/>
      <c r="U29" s="12"/>
      <c r="W29" s="12"/>
    </row>
    <row r="30" spans="1:23" ht="19">
      <c r="A30" s="15"/>
      <c r="B30" s="16"/>
      <c r="C30" s="2"/>
      <c r="G30" s="12"/>
    </row>
    <row r="31" spans="1:23" ht="16">
      <c r="E31" s="207" t="s">
        <v>372</v>
      </c>
      <c r="F31" s="3" t="str">
        <f>F23</f>
        <v>ZG10</v>
      </c>
      <c r="G31" s="3" t="str">
        <f t="shared" ref="G31:J31" si="0">G23</f>
        <v>N/A</v>
      </c>
      <c r="H31" s="3" t="str">
        <f t="shared" si="0"/>
        <v>N/A</v>
      </c>
      <c r="I31" s="3" t="str">
        <f t="shared" si="0"/>
        <v>HS5</v>
      </c>
      <c r="J31" s="3" t="str">
        <f t="shared" si="0"/>
        <v>N/A</v>
      </c>
    </row>
    <row r="32" spans="1:23" ht="16">
      <c r="A32" s="110" t="s">
        <v>162</v>
      </c>
      <c r="B32" s="110"/>
      <c r="C32" s="110"/>
      <c r="E32" s="208" t="s">
        <v>305</v>
      </c>
      <c r="F32" s="210">
        <f>$B$9-SQRT(($B$9)^2-($B$11)^2)</f>
        <v>149.38097746819562</v>
      </c>
      <c r="G32" s="210">
        <f t="shared" ref="G32:J32" si="1">$B$9-SQRT(($B$9)^2-($B$11)^2)</f>
        <v>149.38097746819562</v>
      </c>
      <c r="H32" s="210">
        <f t="shared" si="1"/>
        <v>149.38097746819562</v>
      </c>
      <c r="I32" s="210">
        <f t="shared" si="1"/>
        <v>149.38097746819562</v>
      </c>
      <c r="J32" s="210">
        <f t="shared" si="1"/>
        <v>149.38097746819562</v>
      </c>
      <c r="M32" s="12"/>
    </row>
    <row r="33" spans="1:15" ht="32">
      <c r="A33" s="33" t="s">
        <v>157</v>
      </c>
      <c r="B33" s="42">
        <f>($B$4+$B$23+$B$15)*8</f>
        <v>6414.0963869999996</v>
      </c>
      <c r="C33" s="33" t="s">
        <v>161</v>
      </c>
      <c r="E33" s="209" t="s">
        <v>383</v>
      </c>
      <c r="F33" s="211">
        <f>IF($B$5&lt;1000,
           ASIN(($B$11*0.5)/$B$9)*(180/PI()),
           ASIN(($B$11*0.3)/$B$9)*(180/PI()))</f>
        <v>7.5962653613582098</v>
      </c>
      <c r="G33" s="211">
        <f>IF($B$5&lt;1000,
           ASIN(($B$11*0.5)/$B$9)*(180/PI()),
           ASIN(($B$11*0.3)/$B$9)*(180/PI()))</f>
        <v>7.5962653613582098</v>
      </c>
      <c r="H33" s="211">
        <f>IF($B$5&lt;1000,
           ASIN(($B$11*0.5)/$B$9)*(180/PI()),
           ASIN(($B$11*0.3)/$B$9)*(180/PI()))</f>
        <v>7.5962653613582098</v>
      </c>
      <c r="I33" s="211">
        <f>IF($B$5&lt;1000,
           ASIN(($B$11*0.5)/$B$9)*(180/PI()),
           ASIN(($B$11*0.3)/$B$9)*(180/PI()))</f>
        <v>7.5962653613582098</v>
      </c>
      <c r="J33" s="211">
        <f>IF($B$5&lt;1000,
           ASIN(($B$11*0.5)/$B$9)*(180/PI()),
           ASIN(($B$11*0.3)/$B$9)*(180/PI()))</f>
        <v>7.5962653613582098</v>
      </c>
      <c r="L33" s="83"/>
    </row>
    <row r="34" spans="1:15" ht="16">
      <c r="A34" s="33" t="s">
        <v>155</v>
      </c>
      <c r="B34" s="42">
        <f>(PI()*(($B$5+2*$B$7)/200)^2*((($B$29+2*$B$7)-2*(0.1935*($B$5+4*$B$7)-0.455*$B$7))/100)+2*(0.1*(($B$5+2*$B$7)/100)^3))*8</f>
        <v>6644.2248112146453</v>
      </c>
      <c r="C34" s="32" t="s">
        <v>161</v>
      </c>
      <c r="E34" s="209" t="s">
        <v>382</v>
      </c>
      <c r="F34" s="211">
        <f>IF(F$23="N/A","N/A",ASIN(F$24/$B$9)*(180/PI()))</f>
        <v>4.507862036382674</v>
      </c>
      <c r="G34" s="211" t="str">
        <f t="shared" ref="G34:J34" si="2">IF(G$23="N/A","N/A",ASIN(G$24/$B$9)*(180/PI()))</f>
        <v>N/A</v>
      </c>
      <c r="H34" s="211" t="str">
        <f t="shared" si="2"/>
        <v>N/A</v>
      </c>
      <c r="I34" s="211">
        <f t="shared" si="2"/>
        <v>2.2374586594981145</v>
      </c>
      <c r="J34" s="211" t="str">
        <f t="shared" si="2"/>
        <v>N/A</v>
      </c>
    </row>
    <row r="35" spans="1:15" ht="32">
      <c r="A35" s="33" t="s">
        <v>160</v>
      </c>
      <c r="B35" s="42">
        <f>ROUNDUP($B$34-$B$33,-1)</f>
        <v>240</v>
      </c>
      <c r="C35" s="3" t="s">
        <v>161</v>
      </c>
      <c r="E35" s="209" t="s">
        <v>314</v>
      </c>
      <c r="F35" s="211">
        <f>IF(F$23="N/A","N/A",$B$9*(1-COS(F$34*PI()/180)))</f>
        <v>4.5164248607955848</v>
      </c>
      <c r="G35" s="211" t="str">
        <f t="shared" ref="G35:J35" si="3">IF(G$23="N/A","N/A",$B$9*(1-COS(G$34*PI()/180)))</f>
        <v>N/A</v>
      </c>
      <c r="H35" s="211" t="str">
        <f t="shared" si="3"/>
        <v>N/A</v>
      </c>
      <c r="I35" s="211">
        <f t="shared" si="3"/>
        <v>1.1130955416728971</v>
      </c>
      <c r="J35" s="211" t="str">
        <f t="shared" si="3"/>
        <v>N/A</v>
      </c>
    </row>
    <row r="36" spans="1:15">
      <c r="E36" s="212" t="s">
        <v>379</v>
      </c>
      <c r="F36" s="213">
        <f>IF(F$23="N/A","N/A",ATAN(F$25/($B$9-F$35-F$26))*(180/PI()))</f>
        <v>0.86153637252376136</v>
      </c>
      <c r="G36" s="213" t="str">
        <f t="shared" ref="G36:J36" si="4">IF(G$23="N/A","N/A",ATAN(G$25/($B$9-G$35-G$26))*(180/PI()))</f>
        <v>N/A</v>
      </c>
      <c r="H36" s="213" t="str">
        <f t="shared" si="4"/>
        <v>N/A</v>
      </c>
      <c r="I36" s="213">
        <f t="shared" si="4"/>
        <v>0.69059599330681565</v>
      </c>
      <c r="J36" s="213" t="str">
        <f t="shared" si="4"/>
        <v>N/A</v>
      </c>
    </row>
    <row r="37" spans="1:15">
      <c r="A37" s="7"/>
      <c r="E37" s="215" t="s">
        <v>380</v>
      </c>
      <c r="F37" s="217">
        <f>IF(F$23="N/A","N/A",ATAN(F$29/($B$9-F$35-$F$28))*(180/PI()))</f>
        <v>6.9440277636203174</v>
      </c>
      <c r="G37" s="217" t="str">
        <f t="shared" ref="G37:J37" si="5">IF(G$23="N/A","N/A",ATAN(G$29/($B$9-G$35-$F$28))*(180/PI()))</f>
        <v>N/A</v>
      </c>
      <c r="H37" s="217" t="str">
        <f t="shared" si="5"/>
        <v>N/A</v>
      </c>
      <c r="I37" s="217">
        <f t="shared" si="5"/>
        <v>2.0875972383647734</v>
      </c>
      <c r="J37" s="217" t="str">
        <f t="shared" si="5"/>
        <v>N/A</v>
      </c>
      <c r="L37" s="12"/>
      <c r="O37" s="12"/>
    </row>
    <row r="38" spans="1:15">
      <c r="A38" s="7"/>
      <c r="E38" s="219" t="s">
        <v>381</v>
      </c>
      <c r="F38" s="222">
        <f>IF(F$23="N/A","N/A",ATAN(F$29/($B$9-F$35-$F$28))*(180/PI()))</f>
        <v>6.9440277636203174</v>
      </c>
      <c r="G38" s="222"/>
      <c r="H38" s="222"/>
      <c r="I38" s="222"/>
      <c r="J38" s="222"/>
      <c r="L38" s="12"/>
      <c r="O38" s="12"/>
    </row>
    <row r="39" spans="1:15">
      <c r="A39" s="7"/>
      <c r="B39" s="12"/>
      <c r="E39" s="212" t="s">
        <v>373</v>
      </c>
      <c r="F39" s="214">
        <f>IF(F$23="N/A","N/A",SQRT(($B$9-F$35-F$26)^2+(F$25)^2))</f>
        <v>1330.1339444356947</v>
      </c>
      <c r="G39" s="214" t="str">
        <f>IF(G$23="N/A","N/A",SQRT(($B$9-G$35-G$26)^2+(G$25)^2))</f>
        <v>N/A</v>
      </c>
      <c r="H39" s="214" t="str">
        <f>IF(H$23="N/A","N/A",SQRT(($B$9-H$35-H$26)^2+(H$25)^2))</f>
        <v>N/A</v>
      </c>
      <c r="I39" s="214">
        <f>IF(I$23="N/A","N/A",SQRT(($B$9-I$35-I$26)^2+(I$25)^2))</f>
        <v>1327.4833310168003</v>
      </c>
      <c r="J39" s="214" t="str">
        <f>IF(J$23="N/A","N/A",SQRT(($B$9-J$35-J$26)^2+(J$25)^2))</f>
        <v>N/A</v>
      </c>
      <c r="O39" s="83"/>
    </row>
    <row r="40" spans="1:15">
      <c r="E40" s="215" t="s">
        <v>378</v>
      </c>
      <c r="F40" s="216">
        <f>IF(F$23="N/A","N/A",SQRT(($B$9-F$35-F$28)^2+(F$29)^2))</f>
        <v>1447.4812377235903</v>
      </c>
      <c r="G40" s="216" t="str">
        <f>IF(G$23="N/A","N/A",SQRT(($B$9-G$35-G$28)^2+(G$29)^2))</f>
        <v>N/A</v>
      </c>
      <c r="H40" s="216" t="str">
        <f>IF(H$23="N/A","N/A",SQRT(($B$9-H$35-H$28)^2+(H$29)^2))</f>
        <v>N/A</v>
      </c>
      <c r="I40" s="216">
        <f>IF(I$23="N/A","N/A",SQRT(($B$9-I$35-I$28)^2+(I$29)^2))</f>
        <v>1412.862654676992</v>
      </c>
      <c r="J40" s="216" t="str">
        <f>IF(J$23="N/A","N/A",SQRT(($B$9-J$35-J$28)^2+(J$29)^2))</f>
        <v>N/A</v>
      </c>
    </row>
    <row r="41" spans="1:15">
      <c r="E41" s="219" t="s">
        <v>392</v>
      </c>
      <c r="F41" s="221">
        <f>IF(F$23="N/A","N/A",$B$9-F$35-F$27)</f>
        <v>1238.4835751392045</v>
      </c>
      <c r="G41" s="221" t="str">
        <f t="shared" ref="G41:J41" si="6">IF(G$23="N/A","N/A",$B$9-G$35-G$27)</f>
        <v>N/A</v>
      </c>
      <c r="H41" s="221" t="str">
        <f t="shared" si="6"/>
        <v>N/A</v>
      </c>
      <c r="I41" s="221">
        <f t="shared" si="6"/>
        <v>1247.5869044583271</v>
      </c>
      <c r="J41" s="221" t="str">
        <f t="shared" si="6"/>
        <v>N/A</v>
      </c>
    </row>
    <row r="42" spans="1:15">
      <c r="E42" s="212" t="s">
        <v>374</v>
      </c>
      <c r="F42" s="214">
        <f>IF(F$23="N/A","N/A",F$39*SIN((F$33+F$36)*(PI()/180)))</f>
        <v>195.63738043850438</v>
      </c>
      <c r="G42" s="214" t="str">
        <f t="shared" ref="G42:J42" si="7">IF(G$23="N/A","N/A",G$39*SIN((G$33+G$36)*(PI()/180)))</f>
        <v>N/A</v>
      </c>
      <c r="H42" s="214" t="str">
        <f t="shared" si="7"/>
        <v>N/A</v>
      </c>
      <c r="I42" s="214">
        <f t="shared" si="7"/>
        <v>191.32922528160074</v>
      </c>
      <c r="J42" s="214" t="str">
        <f t="shared" si="7"/>
        <v>N/A</v>
      </c>
    </row>
    <row r="43" spans="1:15">
      <c r="E43" s="215" t="s">
        <v>375</v>
      </c>
      <c r="F43" s="216">
        <f>IF(F$23="N/A","N/A",F$40*SIN((F$33+F$37)*(PI()/180)))</f>
        <v>363.40578259412888</v>
      </c>
      <c r="G43" s="216" t="str">
        <f t="shared" ref="G43:J43" si="8">IF(G$23="N/A","N/A",G$40*SIN((G$33+G$37)*(PI()/180)))</f>
        <v>N/A</v>
      </c>
      <c r="H43" s="216" t="str">
        <f t="shared" si="8"/>
        <v>N/A</v>
      </c>
      <c r="I43" s="216">
        <f t="shared" si="8"/>
        <v>237.66009788274314</v>
      </c>
      <c r="J43" s="216" t="str">
        <f t="shared" si="8"/>
        <v>N/A</v>
      </c>
    </row>
    <row r="44" spans="1:15">
      <c r="E44" s="219" t="s">
        <v>393</v>
      </c>
      <c r="F44" s="221">
        <f>IF(F$23="N/A","N/A",F$41*SIN((F$33)*(PI()/180)))</f>
        <v>163.71734931634691</v>
      </c>
      <c r="G44" s="221" t="str">
        <f t="shared" ref="G44:J44" si="9">IF(G$23="N/A","N/A",G$41*SIN((G$33)*(PI()/180)))</f>
        <v>N/A</v>
      </c>
      <c r="H44" s="221" t="str">
        <f t="shared" si="9"/>
        <v>N/A</v>
      </c>
      <c r="I44" s="221">
        <f t="shared" si="9"/>
        <v>164.92073463045011</v>
      </c>
      <c r="J44" s="221" t="str">
        <f t="shared" si="9"/>
        <v>N/A</v>
      </c>
    </row>
    <row r="45" spans="1:15">
      <c r="E45" s="212" t="s">
        <v>376</v>
      </c>
      <c r="F45" s="214">
        <f>IF(F$23="N/A","N/A",$B$9-SQRT(F$39^2-F$42^2))</f>
        <v>144.33198506795816</v>
      </c>
      <c r="G45" s="214" t="str">
        <f t="shared" ref="G45:J45" si="10">IF(G$23="N/A","N/A",$B$9-SQRT(G$39^2-G$42^2))</f>
        <v>N/A</v>
      </c>
      <c r="H45" s="214" t="str">
        <f t="shared" si="10"/>
        <v>N/A</v>
      </c>
      <c r="I45" s="214">
        <f t="shared" si="10"/>
        <v>146.37710065612737</v>
      </c>
      <c r="J45" s="214" t="str">
        <f t="shared" si="10"/>
        <v>N/A</v>
      </c>
    </row>
    <row r="46" spans="1:15">
      <c r="E46" s="215" t="s">
        <v>377</v>
      </c>
      <c r="F46" s="216">
        <f>IF(F$23="N/A","N/A",$B$9-SQRT(F$40^2-F$43^2))</f>
        <v>58.879672997723674</v>
      </c>
      <c r="G46" s="216" t="str">
        <f t="shared" ref="G46:J46" si="11">IF(G$23="N/A","N/A",$B$9-SQRT(G$40^2-G$43^2))</f>
        <v>N/A</v>
      </c>
      <c r="H46" s="216" t="str">
        <f t="shared" si="11"/>
        <v>N/A</v>
      </c>
      <c r="I46" s="216">
        <f t="shared" si="11"/>
        <v>67.269387550025158</v>
      </c>
      <c r="J46" s="216" t="str">
        <f t="shared" si="11"/>
        <v>N/A</v>
      </c>
    </row>
    <row r="47" spans="1:15">
      <c r="E47" s="219" t="s">
        <v>394</v>
      </c>
      <c r="F47" s="220">
        <f>IF(F$23="N/A","N/A",$B$9-SQRT(F$41^2-F$44^2))</f>
        <v>232.385159986075</v>
      </c>
      <c r="G47" s="220" t="str">
        <f t="shared" ref="G47:J47" si="12">IF(G$23="N/A","N/A",$B$9-SQRT(G$41^2-G$44^2))</f>
        <v>N/A</v>
      </c>
      <c r="H47" s="220" t="str">
        <f t="shared" si="12"/>
        <v>N/A</v>
      </c>
      <c r="I47" s="220">
        <f t="shared" si="12"/>
        <v>223.36172003901493</v>
      </c>
      <c r="J47" s="220" t="str">
        <f t="shared" si="12"/>
        <v>N/A</v>
      </c>
    </row>
    <row r="48" spans="1:15" ht="32">
      <c r="E48" s="225" t="s">
        <v>398</v>
      </c>
      <c r="F48" s="218">
        <f>IF(F$23="N/A","N/A",
          IF(F$45&lt;F$32,(1/3*PI()*F$45^2*(3*$B$9-F$45)/1000000),IF(F$45&lt;$B$16,(1/3*PI()*F$32^2*(3*$B$9-F$32)/1000000)+(((PI()*(SQRT($B$10^2-(F$45-$B$16)^2)+$B$6-$B$10)^2*(F$45-F$32)-$B$11^2*PI()*(F$45-F$32))/1.4+$B$11^2*PI()*(F$45-F$32))/1000000),$B$15+((F$45-$B$16)*PI()*$B$6^2/1000000))))</f>
        <v>92.400793519693877</v>
      </c>
      <c r="G48" s="218" t="str">
        <f t="shared" ref="G48:J48" si="13">IF(G$23="N/A","N/A",
          IF(G$45&lt;G$32,(1/3*PI()*G$45^2*(3*$B$9-G$45)/1000000),IF(G$45&lt;$B$16,(1/3*PI()*G$32^2*(3*$B$9-G$32)/1000000)+(((PI()*(SQRT($B$10^2-(G$45-$B$16)^2)+$B$6-$B$10)^2*(G$45-G$32)-$B$11^2*PI()*(G$45-G$32))/1.4+$B$11^2*PI()*(G$45-G$32))/1000000),$B$15+((G$45-$B$16)*PI()*$B$6^2/1000000))))</f>
        <v>N/A</v>
      </c>
      <c r="H48" s="218" t="str">
        <f t="shared" si="13"/>
        <v>N/A</v>
      </c>
      <c r="I48" s="218">
        <f t="shared" si="13"/>
        <v>94.992008603146814</v>
      </c>
      <c r="J48" s="218" t="str">
        <f t="shared" si="13"/>
        <v>N/A</v>
      </c>
    </row>
    <row r="49" spans="2:10" ht="32">
      <c r="E49" s="226" t="s">
        <v>401</v>
      </c>
      <c r="F49" s="223">
        <f>IF(F$23="N/A","N/A",
          IF(F$46&lt;F$32,(1/3*PI()*F$46^2*(3*$B$9-F$46)/1000000),IF(F$46&lt;$B$16,(1/3*PI()*F$32^2*(3*$B$9-F$32)/1000000)+(((PI()*(SQRT($B$10^2-(F$46-$B$16)^2)+$B$6-$B$10)^2*(F$46-F$32)-$B$11^2*PI()*(F$46-F$32))/1.4+$B$11^2*PI()*(F$46-F$32))/1000000),$B$15+((F$46-$B$16)*PI()*$B$6^2/1000000))))</f>
        <v>15.68757288887546</v>
      </c>
      <c r="G49" s="223" t="str">
        <f t="shared" ref="G49:J49" si="14">IF(G$23="N/A","N/A",
          IF(G$46&lt;G$32,(1/3*PI()*G$46^2*(3*$B$9-G$46)/1000000),IF(G$46&lt;$B$16,(1/3*PI()*G$32^2*(3*$B$9-G$32)/1000000)+(((PI()*(SQRT($B$10^2-(G$46-$B$16)^2)+$B$6-$B$10)^2*(G$46-G$32)-$B$11^2*PI()*(G$46-G$32))/1.4+$B$11^2*PI()*(G$46-G$32))/1000000),$B$15+((G$46-$B$16)*PI()*$B$6^2/1000000))))</f>
        <v>N/A</v>
      </c>
      <c r="H49" s="223" t="str">
        <f t="shared" si="14"/>
        <v>N/A</v>
      </c>
      <c r="I49" s="223">
        <f t="shared" si="14"/>
        <v>20.436941268906551</v>
      </c>
      <c r="J49" s="223" t="str">
        <f t="shared" si="14"/>
        <v>N/A</v>
      </c>
    </row>
    <row r="50" spans="2:10" ht="32">
      <c r="B50" s="12"/>
      <c r="E50" s="227" t="s">
        <v>399</v>
      </c>
      <c r="F50" s="224">
        <f>IF(F$23="N/A","N/A",
          IF(F$47&lt;F$32,(1/3*PI()*F$47^2*(3*$B$9-F$47)/1000000),IF(F$47&lt;$B$16,(1/3*PI()*F$32^2*(3*$B$9-F$32)/1000000)+(((PI()*(SQRT($B$10^2-(F$47-$B$16)^2)+$B$6-$B$10)^2*(F$47-F$32)-$B$11^2*PI()*(F$47-F$32))/1.4+$B$11^2*PI()*(F$47-F$32))/1000000),$B$15+((F$47-$B$16)*PI()*$B$6^2/1000000))))</f>
        <v>225.43394470162698</v>
      </c>
      <c r="G50" s="224" t="str">
        <f t="shared" ref="G50:J50" si="15">IF(G$23="N/A","N/A",
          IF(G$47&lt;G$32,(1/3*PI()*G$47^2*(3*$B$9-G$47)/1000000),IF(G$47&lt;$B$16,(1/3*PI()*G$32^2*(3*$B$9-G$32)/1000000)+(((PI()*(SQRT($B$10^2-(G$47-$B$16)^2)+$B$6-$B$10)^2*(G$47-G$32)-$B$11^2*PI()*(G$47-G$32))/1.4+$B$11^2*PI()*(G$47-G$32))/1000000),$B$15+((G$47-$B$16)*PI()*$B$6^2/1000000))))</f>
        <v>N/A</v>
      </c>
      <c r="H50" s="224" t="str">
        <f t="shared" si="15"/>
        <v>N/A</v>
      </c>
      <c r="I50" s="224">
        <f t="shared" si="15"/>
        <v>210.8503083216832</v>
      </c>
      <c r="J50" s="224" t="str">
        <f t="shared" si="15"/>
        <v>N/A</v>
      </c>
    </row>
    <row r="53" spans="2:10">
      <c r="F53" s="12"/>
    </row>
    <row r="54" spans="2:10">
      <c r="F54" s="12"/>
    </row>
    <row r="55" spans="2:10">
      <c r="F55" s="44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2E4D64E-1A4E-4918-B637-6188ABDA9D18}">
          <x14:formula1>
            <xm:f>'Vessel Dish Type List (IGNORE!)'!$B$2:$B$7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F55"/>
  <sheetViews>
    <sheetView topLeftCell="A15" zoomScale="175" zoomScaleNormal="100" workbookViewId="0">
      <selection activeCell="B23" sqref="B23"/>
    </sheetView>
  </sheetViews>
  <sheetFormatPr baseColWidth="10" defaultColWidth="8.83203125" defaultRowHeight="15"/>
  <cols>
    <col min="1" max="1" width="13.5" customWidth="1"/>
    <col min="2" max="2" width="27.83203125" style="53" customWidth="1"/>
    <col min="3" max="5" width="25.6640625" style="53" customWidth="1"/>
    <col min="6" max="7" width="25.6640625" customWidth="1"/>
    <col min="10" max="10" width="11.6640625" bestFit="1" customWidth="1"/>
  </cols>
  <sheetData>
    <row r="1" spans="2:32" ht="17" thickBot="1">
      <c r="B1" s="119"/>
      <c r="C1" s="239" t="s">
        <v>125</v>
      </c>
      <c r="D1" s="239" t="s">
        <v>126</v>
      </c>
      <c r="E1" s="239" t="s">
        <v>127</v>
      </c>
      <c r="F1" s="239" t="s">
        <v>128</v>
      </c>
      <c r="G1" s="243" t="s">
        <v>129</v>
      </c>
      <c r="H1" s="53"/>
      <c r="I1" s="53"/>
      <c r="J1" s="53"/>
    </row>
    <row r="2" spans="2:32">
      <c r="B2" s="259" t="s">
        <v>194</v>
      </c>
      <c r="C2" s="260"/>
      <c r="D2" s="260"/>
      <c r="E2" s="260"/>
      <c r="F2" s="260"/>
      <c r="G2" s="261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</row>
    <row r="3" spans="2:32" ht="32">
      <c r="B3" s="114" t="s">
        <v>193</v>
      </c>
      <c r="C3" s="106" t="str">
        <f>IF(Input!$D$3=0,"",VLOOKUP(Input!$D$3,'Main Mixing Purpose List'!$A$2:$F$19,2,FALSE))</f>
        <v>Pharma: Product hold - Keep suspension, Non-shear sensitive</v>
      </c>
      <c r="D3" s="106" t="str">
        <f>IF(Input!$D$3=0,"",VLOOKUP(Input!$D$3,'Main Mixing Purpose List'!$A$2:$F$19,2,FALSE))</f>
        <v>Pharma: Product hold - Keep suspension, Non-shear sensitive</v>
      </c>
      <c r="E3" s="106" t="str">
        <f>IF(Input!$D$3=0,"",VLOOKUP(Input!$D$3,'Main Mixing Purpose List'!$A$2:$F$19,2,FALSE))</f>
        <v>Pharma: Product hold - Keep suspension, Non-shear sensitive</v>
      </c>
      <c r="F3" s="106" t="str">
        <f>IF(Input!$D$3=0,"",VLOOKUP(Input!$D$3,'Main Mixing Purpose List'!$A$2:$F$19,2,FALSE))</f>
        <v>Pharma: Product hold - Keep suspension, Non-shear sensitive</v>
      </c>
      <c r="G3" s="114" t="str">
        <f>IF(Input!$D$3=0,"",VLOOKUP(Input!$D$3,'Main Mixing Purpose List'!$A$2:$F$19,2,FALSE))</f>
        <v>Pharma: Product hold - Keep suspension, Non-shear sensitive</v>
      </c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</row>
    <row r="4" spans="2:32" ht="16">
      <c r="B4" s="114" t="s">
        <v>192</v>
      </c>
      <c r="C4" s="106" t="str">
        <f>IF(Input!$D$4=0,"",Input!$D$4)</f>
        <v/>
      </c>
      <c r="D4" s="106" t="str">
        <f>IF(Input!$D$4=0,"",Input!$D$4)</f>
        <v/>
      </c>
      <c r="E4" s="106" t="str">
        <f>IF(Input!$D$4=0,"",Input!$D$4)</f>
        <v/>
      </c>
      <c r="F4" s="106" t="str">
        <f>IF(Input!$D$4=0,"",Input!$D$4)</f>
        <v/>
      </c>
      <c r="G4" s="114" t="str">
        <f>IF(Input!$D$4=0,"",Input!$D$4)</f>
        <v/>
      </c>
    </row>
    <row r="5" spans="2:32" ht="16">
      <c r="B5" s="114" t="s">
        <v>191</v>
      </c>
      <c r="C5" s="106" t="str">
        <f>IF(Input!$D$5=0,"",Input!$D$5)</f>
        <v/>
      </c>
      <c r="D5" s="106" t="str">
        <f>IF(Input!$D$5=0,"",Input!$D$5)</f>
        <v/>
      </c>
      <c r="E5" s="106" t="str">
        <f>IF(Input!$D$5=0,"",Input!$D$5)</f>
        <v/>
      </c>
      <c r="F5" s="106" t="str">
        <f>IF(Input!$D$5=0,"",Input!$D$5)</f>
        <v/>
      </c>
      <c r="G5" s="114" t="str">
        <f>IF(Input!$D$5=0,"",Input!$D$5)</f>
        <v/>
      </c>
    </row>
    <row r="6" spans="2:32" ht="16">
      <c r="B6" s="114" t="s">
        <v>190</v>
      </c>
      <c r="C6" s="106" t="str">
        <f>IF(Input!$D$6=0,"",Input!$D$6)</f>
        <v/>
      </c>
      <c r="D6" s="106" t="str">
        <f>IF(Input!$D$6=0,"",Input!$D$6)</f>
        <v/>
      </c>
      <c r="E6" s="106" t="str">
        <f>IF(Input!$D$6=0,"",Input!$D$6)</f>
        <v/>
      </c>
      <c r="F6" s="106" t="str">
        <f>IF(Input!$D$6=0,"",Input!$D$6)</f>
        <v/>
      </c>
      <c r="G6" s="114" t="str">
        <f>IF(Input!$D$6=0,"",Input!$D$6)</f>
        <v/>
      </c>
    </row>
    <row r="7" spans="2:32" ht="21.75" customHeight="1">
      <c r="B7" s="262" t="s">
        <v>124</v>
      </c>
      <c r="C7" s="263"/>
      <c r="D7" s="263"/>
      <c r="E7" s="263"/>
      <c r="F7" s="263"/>
      <c r="G7" s="264"/>
    </row>
    <row r="8" spans="2:32" ht="16">
      <c r="B8" s="114" t="s">
        <v>189</v>
      </c>
      <c r="C8" s="106" t="str">
        <f>Input!$D$7</f>
        <v>YES</v>
      </c>
      <c r="D8" s="106" t="str">
        <f>Input!$D$7</f>
        <v>YES</v>
      </c>
      <c r="E8" s="106" t="str">
        <f>Input!$D$7</f>
        <v>YES</v>
      </c>
      <c r="F8" s="106" t="str">
        <f>Input!$D$7</f>
        <v>YES</v>
      </c>
      <c r="G8" s="114" t="str">
        <f>Input!$D$7</f>
        <v>YES</v>
      </c>
    </row>
    <row r="9" spans="2:32" ht="16">
      <c r="B9" s="114" t="s">
        <v>188</v>
      </c>
      <c r="C9" s="106" t="str">
        <f>Input!$D$8</f>
        <v>YES</v>
      </c>
      <c r="D9" s="106" t="str">
        <f>Input!$D$8</f>
        <v>YES</v>
      </c>
      <c r="E9" s="106" t="str">
        <f>Input!$D$8</f>
        <v>YES</v>
      </c>
      <c r="F9" s="106" t="str">
        <f>Input!$D$8</f>
        <v>YES</v>
      </c>
      <c r="G9" s="114" t="str">
        <f>Input!$D$8</f>
        <v>YES</v>
      </c>
    </row>
    <row r="10" spans="2:32" ht="16">
      <c r="B10" s="114" t="s">
        <v>1</v>
      </c>
      <c r="C10" s="106" t="str">
        <f>IF(Input!$D$24="Metric",
CONCATENATE(Input!$D$9," mm"),
CONCATENATE(SUBSTITUTE(ROUND(Input!$D$9/25.4,1),",",".",1)," in"))</f>
        <v>1450 mm</v>
      </c>
      <c r="D10" s="106" t="str">
        <f>IF(Input!$D$24="Metric",
CONCATENATE(Input!$D$9," mm"),
CONCATENATE(SUBSTITUTE(ROUND(Input!$D$9/25.4,1),",",".",1)," in"))</f>
        <v>1450 mm</v>
      </c>
      <c r="E10" s="106" t="str">
        <f>IF(Input!$D$24="Metric",
CONCATENATE(Input!$D$9," mm"),
CONCATENATE(SUBSTITUTE(ROUND(Input!$D$9/25.4,1),",",".",1)," in"))</f>
        <v>1450 mm</v>
      </c>
      <c r="F10" s="106" t="str">
        <f>IF(Input!$D$24="Metric",
CONCATENATE(Input!$D$9," mm"),
CONCATENATE(SUBSTITUTE(ROUND(Input!$D$9/25.4,1),",",".",1)," in"))</f>
        <v>1450 mm</v>
      </c>
      <c r="G10" s="114" t="str">
        <f>IF(Input!$D$24="Metric",
CONCATENATE(Input!$D$9," mm"),
CONCATENATE(SUBSTITUTE(ROUND(Input!$D$9/25.4,1),",",".",1)," in"))</f>
        <v>1450 mm</v>
      </c>
    </row>
    <row r="11" spans="2:32" ht="16">
      <c r="B11" s="114" t="s">
        <v>187</v>
      </c>
      <c r="C11" s="106" t="str">
        <f>IF(Input!$D$24="Metric",
'Vessel dimension - (IGNORE)'!$B$10,
'Vessel dimension - (IGNORE)'!$B$11)</f>
        <v>193mm - 322mm</v>
      </c>
      <c r="D11" s="106" t="str">
        <f>IF(Input!$D$24="Metric",
'Vessel dimension - (IGNORE)'!$B$10,
'Vessel dimension - (IGNORE)'!$B$11)</f>
        <v>193mm - 322mm</v>
      </c>
      <c r="E11" s="106" t="str">
        <f>IF(Input!$D$24="Metric",
'Vessel dimension - (IGNORE)'!$B$10,
'Vessel dimension - (IGNORE)'!$B$11)</f>
        <v>193mm - 322mm</v>
      </c>
      <c r="F11" s="106" t="str">
        <f>IF(Input!$D$24="Metric",
'Vessel dimension - (IGNORE)'!$B$10,
'Vessel dimension - (IGNORE)'!$B$11)</f>
        <v>193mm - 322mm</v>
      </c>
      <c r="G11" s="114" t="str">
        <f>IF(Input!$D$24="Metric",
'Vessel dimension - (IGNORE)'!$B$10,
'Vessel dimension - (IGNORE)'!$B$11)</f>
        <v>193mm - 322mm</v>
      </c>
    </row>
    <row r="12" spans="2:32" ht="16">
      <c r="B12" s="114" t="s">
        <v>15</v>
      </c>
      <c r="C12" s="106" t="str">
        <f>IF(Input!$D$24="Metric",
CONCATENATE(Input!$D$10," mm"),
CONCATENATE(SUBSTITUTE(ROUND(Input!$D$10/25.4,3),",",".",1)," in"))</f>
        <v>5 mm</v>
      </c>
      <c r="D12" s="106" t="str">
        <f>IF(Input!$D$24="Metric",
CONCATENATE(Input!$D$10," mm"),
CONCATENATE(SUBSTITUTE(ROUND(Input!$D$10/25.4,3),",",".",1)," in"))</f>
        <v>5 mm</v>
      </c>
      <c r="E12" s="106" t="str">
        <f>IF(Input!$D$24="Metric",
CONCATENATE(Input!$D$10," mm"),
CONCATENATE(SUBSTITUTE(ROUND(Input!$D$10/25.4,3),",",".",1)," in"))</f>
        <v>5 mm</v>
      </c>
      <c r="F12" s="106" t="str">
        <f>IF(Input!$D$24="Metric",
CONCATENATE(Input!$D$10," mm"),
CONCATENATE(SUBSTITUTE(ROUND(Input!$D$10/25.4,3),",",".",1)," in"))</f>
        <v>5 mm</v>
      </c>
      <c r="G12" s="114" t="str">
        <f>IF(Input!$D$24="Metric",
CONCATENATE(Input!$D$10," mm"),
CONCATENATE(SUBSTITUTE(ROUND(Input!$D$10/25.4,3),",",".",1)," in"))</f>
        <v>5 mm</v>
      </c>
    </row>
    <row r="13" spans="2:32" ht="23">
      <c r="B13" s="114" t="s">
        <v>160</v>
      </c>
      <c r="C13" s="106" t="str">
        <f>IF(Input!$D$24="Metric",
CONCATENATE('Vessel dimension - (IGNORE)'!$B$32," kg"),
CONCATENATE(ROUNDUP('Vessel dimension - (IGNORE)'!$B$32*2.20462,-1)," lb"))</f>
        <v>240 kg</v>
      </c>
      <c r="D13" s="106" t="str">
        <f>IF(Input!$D$24="Metric",
CONCATENATE('Vessel dimension - (IGNORE)'!$B$32," kg"),
CONCATENATE(ROUNDUP('Vessel dimension - (IGNORE)'!$B$32*2.20462,-1)," lb"))</f>
        <v>240 kg</v>
      </c>
      <c r="E13" s="106" t="str">
        <f>IF(Input!$D$24="Metric",
CONCATENATE('Vessel dimension - (IGNORE)'!$B$32," kg"),
CONCATENATE(ROUNDUP('Vessel dimension - (IGNORE)'!$B$32*2.20462,-1)," lb"))</f>
        <v>240 kg</v>
      </c>
      <c r="F13" s="106" t="str">
        <f>IF(Input!$D$24="Metric",
CONCATENATE('Vessel dimension - (IGNORE)'!$B$32," kg"),
CONCATENATE(ROUNDUP('Vessel dimension - (IGNORE)'!$B$32*2.20462,-1)," lb"))</f>
        <v>240 kg</v>
      </c>
      <c r="G13" s="114" t="str">
        <f>IF(Input!$D$24="Metric",
CONCATENATE('Vessel dimension - (IGNORE)'!$B$32," kg"),
CONCATENATE(ROUNDUP('Vessel dimension - (IGNORE)'!$B$32*2.20462,-1)," lb"))</f>
        <v>240 kg</v>
      </c>
      <c r="J13" s="126"/>
      <c r="K13" s="127"/>
    </row>
    <row r="14" spans="2:32" ht="23">
      <c r="B14" s="114" t="s">
        <v>358</v>
      </c>
      <c r="C14" s="106" t="str">
        <f>IF(Input!$D$24="Metric",
CONCATENATE(Input!$D$11," L"),
CONCATENATE(SUBSTITUTE(ROUNDUP(Input!$D$11*0.264172,1),",",".",1)," gal"))</f>
        <v>500 L</v>
      </c>
      <c r="D14" s="106" t="str">
        <f>IF(Input!$D$24="Metric",
CONCATENATE(Input!$D$11," L"),
CONCATENATE(SUBSTITUTE(ROUNDUP(Input!$D$11*0.264172,1),",",".",1)," gal"))</f>
        <v>500 L</v>
      </c>
      <c r="E14" s="106" t="str">
        <f>IF(Input!$D$24="Metric",
CONCATENATE(Input!$D$11," L"),
CONCATENATE(SUBSTITUTE(ROUNDUP(Input!$D$11*0.264172,1),",",".",1)," gal"))</f>
        <v>500 L</v>
      </c>
      <c r="F14" s="106" t="str">
        <f>IF(Input!$D$24="Metric",
CONCATENATE(Input!$D$11," L"),
CONCATENATE(SUBSTITUTE(ROUNDUP(Input!$D$11*0.264172,1),",",".",1)," gal"))</f>
        <v>500 L</v>
      </c>
      <c r="G14" s="114" t="str">
        <f>IF(Input!$D$24="Metric",
CONCATENATE(Input!$D$11," L"),
CONCATENATE(SUBSTITUTE(ROUNDUP(Input!$D$11*0.264172,1),",",".",1)," gal"))</f>
        <v>500 L</v>
      </c>
      <c r="J14" s="126"/>
      <c r="K14" s="127"/>
    </row>
    <row r="15" spans="2:32" ht="23">
      <c r="B15" s="114" t="s">
        <v>2</v>
      </c>
      <c r="C15" s="106" t="str">
        <f>IF(Input!$D$24="Metric",
CONCATENATE(Input!$D$12," L"),
CONCATENATE(SUBSTITUTE(ROUNDUP(Input!$D$12*0.264172,1),",",".",1)," gal"))</f>
        <v>2990 L</v>
      </c>
      <c r="D15" s="106" t="str">
        <f>IF(Input!$D$24="Metric",
CONCATENATE(Input!$D$12," L"),
CONCATENATE(SUBSTITUTE(ROUNDUP(Input!$D$12*0.264172,1),",",".",1)," gal"))</f>
        <v>2990 L</v>
      </c>
      <c r="E15" s="106" t="str">
        <f>IF(Input!$D$24="Metric",
CONCATENATE(Input!$D$12," L"),
CONCATENATE(SUBSTITUTE(ROUNDUP(Input!$D$12*0.264172,1),",",".",1)," gal"))</f>
        <v>2990 L</v>
      </c>
      <c r="F15" s="106" t="str">
        <f>IF(Input!$D$24="Metric",
CONCATENATE(Input!$D$12," L"),
CONCATENATE(SUBSTITUTE(ROUNDUP(Input!$D$12*0.264172,1),",",".",1)," gal"))</f>
        <v>2990 L</v>
      </c>
      <c r="G15" s="114" t="str">
        <f>IF(Input!$D$24="Metric",
CONCATENATE(Input!$D$12," L"),
CONCATENATE(SUBSTITUTE(ROUNDUP(Input!$D$12*0.264172,1),",",".",1)," gal"))</f>
        <v>2990 L</v>
      </c>
      <c r="J15" s="126"/>
      <c r="K15" s="127"/>
    </row>
    <row r="16" spans="2:32" ht="32">
      <c r="B16" s="114" t="s">
        <v>359</v>
      </c>
      <c r="C16" s="106" t="str">
        <f>IF(Input!$D$24="Metric",
CONCATENATE(ROUNDUP('Vessel dimensions - DIN 28011'!$F$48,1)," L"),
CONCATENATE(SUBSTITUTE(ROUNDUP('Vessel dimensions - DIN 28011'!$F$48*0.264172,1),",",".",1)," gal"))</f>
        <v>92,5 L</v>
      </c>
      <c r="D16" s="106" t="e">
        <f>IF(Input!$D$24="Metric",
CONCATENATE(ROUNDUP('Vessel dimensions - DIN 28011'!$G$48,1)," L"),
CONCATENATE(SUBSTITUTE(ROUNDUP('Vessel dimensions - DIN 28011'!$G$48*0.264172,1),",",".",1)," gal"))</f>
        <v>#VALUE!</v>
      </c>
      <c r="E16" s="106" t="e">
        <f>IF(Input!$D$24="Metric",
CONCATENATE(ROUNDUP('Vessel dimensions - DIN 28011'!$H$48,1)," L"),
CONCATENATE(SUBSTITUTE(ROUNDUP('Vessel dimensions - DIN 28011'!$H$48*0.264172,1),",",".",1)," gal"))</f>
        <v>#VALUE!</v>
      </c>
      <c r="F16" s="106" t="str">
        <f>IF(Input!$D$24="Metric",
CONCATENATE(ROUNDUP('Vessel dimensions - DIN 28011'!$I$48,1)," L"),
CONCATENATE(SUBSTITUTE(ROUNDUP('Vessel dimensions - DIN 28011'!$I$48*0.264172,1),",",".",1)," gal"))</f>
        <v>95 L</v>
      </c>
      <c r="G16" s="114" t="e">
        <f>IF(Input!$D$24="Metric",
CONCATENATE(ROUNDUP('Vessel dimensions - DIN 28011'!$J$48,1)," L"),
CONCATENATE(SUBSTITUTE(ROUNDUP('Vessel dimensions - DIN 28011'!$J$48*0.264172,1),",",".",1)," gal"))</f>
        <v>#VALUE!</v>
      </c>
    </row>
    <row r="17" spans="1:7" ht="32">
      <c r="B17" s="114" t="s">
        <v>400</v>
      </c>
      <c r="C17" s="106" t="str">
        <f>IF(Input!$D$24="Metric",
CONCATENATE(ROUNDUP('Vessel dimensions - DIN 28011'!$F$49,1)," L"),
CONCATENATE(SUBSTITUTE(ROUNDUP('Vessel dimensions - DIN 28011'!$F$49*0.264172,1),",",".",1)," gal"))</f>
        <v>15,7 L</v>
      </c>
      <c r="D17" s="106" t="e">
        <f>IF(Input!$D$24="Metric",
CONCATENATE(ROUNDUP('Vessel dimensions - DIN 28011'!$G$49,1)," L"),
CONCATENATE(SUBSTITUTE(ROUNDUP('Vessel dimensions - DIN 28011'!$G$49*0.264172,1),",",".",1)," gal"))</f>
        <v>#VALUE!</v>
      </c>
      <c r="E17" s="106" t="e">
        <f>IF(Input!$D$24="Metric",
CONCATENATE(ROUNDUP('Vessel dimensions - DIN 28011'!$H$49,1)," L"),
CONCATENATE(SUBSTITUTE(ROUNDUP('Vessel dimensions - DIN 28011'!$H$49*0.264172,1),",",".",1)," gal"))</f>
        <v>#VALUE!</v>
      </c>
      <c r="F17" s="106" t="str">
        <f>IF(Input!$D$24="Metric",
CONCATENATE(ROUNDUP('Vessel dimensions - DIN 28011'!$I$49,1)," L"),
CONCATENATE(SUBSTITUTE(ROUNDUP('Vessel dimensions - DIN 28011'!$I$49*0.264172,1),",",".",1)," gal"))</f>
        <v>20,5 L</v>
      </c>
      <c r="G17" s="114" t="e">
        <f>IF(Input!$D$24="Metric",
CONCATENATE(ROUNDUP('Vessel dimensions - DIN 28011'!$J$49,1)," L"),
CONCATENATE(SUBSTITUTE(ROUNDUP('Vessel dimensions - DIN 28011'!$J$49*0.264172,1),",",".",1)," gal"))</f>
        <v>#VALUE!</v>
      </c>
    </row>
    <row r="18" spans="1:7" ht="30" customHeight="1">
      <c r="B18" s="114" t="s">
        <v>186</v>
      </c>
      <c r="C18" s="106">
        <f>IF(Input!$D$24="metric",
ROUND('Vessel dimension - (IGNORE)'!$B$16,2),
SUBSTITUTE(ROUND('Vessel dimension - (IGNORE)'!$B$16,2),",",".",1))</f>
        <v>1.31</v>
      </c>
      <c r="D18" s="106">
        <f>IF(Input!$D$24="metric",
ROUND('Vessel dimension - (IGNORE)'!$B$16,2),
SUBSTITUTE(ROUND('Vessel dimension - (IGNORE)'!$B$16,2),",",".",1))</f>
        <v>1.31</v>
      </c>
      <c r="E18" s="106">
        <f>IF(Input!$D$24="metric",
ROUND('Vessel dimension - (IGNORE)'!$B$16,2),
SUBSTITUTE(ROUND('Vessel dimension - (IGNORE)'!$B$16,2),",",".",1))</f>
        <v>1.31</v>
      </c>
      <c r="F18" s="106">
        <f>IF(Input!$D$24="metric",
ROUND('Vessel dimension - (IGNORE)'!$B$16,2),
SUBSTITUTE(ROUND('Vessel dimension - (IGNORE)'!$B$16,2),",",".",1))</f>
        <v>1.31</v>
      </c>
      <c r="G18" s="114">
        <f>IF(Input!$D$24="metric",
ROUND('Vessel dimension - (IGNORE)'!$B$16,2),
SUBSTITUTE(ROUND('Vessel dimension - (IGNORE)'!$B$16,2),",",".",1))</f>
        <v>1.31</v>
      </c>
    </row>
    <row r="19" spans="1:7" ht="45" customHeight="1">
      <c r="A19" s="27"/>
      <c r="B19" s="265" t="s">
        <v>402</v>
      </c>
      <c r="C19" s="266"/>
      <c r="D19" s="266"/>
      <c r="E19" s="266"/>
      <c r="F19" s="266"/>
      <c r="G19" s="267"/>
    </row>
    <row r="20" spans="1:7" ht="23.25" customHeight="1">
      <c r="B20" s="262" t="s">
        <v>185</v>
      </c>
      <c r="C20" s="263"/>
      <c r="D20" s="263"/>
      <c r="E20" s="263"/>
      <c r="F20" s="263"/>
      <c r="G20" s="264"/>
    </row>
    <row r="21" spans="1:7" ht="16">
      <c r="B21" s="114" t="s">
        <v>184</v>
      </c>
      <c r="C21" s="106" t="str">
        <f>IF(Input!$D$3=0,Input!$D$13,VLOOKUP(Input!$D$3,'Main Mixing Purpose List'!$A$2:$F$19,5,FALSE))</f>
        <v>General</v>
      </c>
      <c r="D21" s="228" t="str">
        <f>IF(Input!$D$3=0,Input!$D$13,VLOOKUP(Input!$D$3,'Main Mixing Purpose List'!$A$2:$F$19,5,FALSE))</f>
        <v>General</v>
      </c>
      <c r="E21" s="228" t="str">
        <f>IF(Input!$D$3=0,Input!$D$13,VLOOKUP(Input!$D$3,'Main Mixing Purpose List'!$A$2:$F$19,5,FALSE))</f>
        <v>General</v>
      </c>
      <c r="F21" s="228" t="str">
        <f>IF(Input!$D$3=0,Input!$D$13,VLOOKUP(Input!$D$3,'Main Mixing Purpose List'!$A$2:$F$19,5,FALSE))</f>
        <v>General</v>
      </c>
      <c r="G21" s="114" t="str">
        <f>IF(Input!$D$3=0,Input!$D$13,VLOOKUP(Input!$D$3,'Main Mixing Purpose List'!$A$2:$F$19,5,FALSE))</f>
        <v>General</v>
      </c>
    </row>
    <row r="22" spans="1:7" ht="16">
      <c r="B22" s="114" t="s">
        <v>4</v>
      </c>
      <c r="C22" s="106" t="str">
        <f>IF(Input!$D$24="Metric",
CONCATENATE(Input!$D$14," kg/m3"),
CONCATENATE(SUBSTITUTE(ROUNDUP(Input!$D$14*2.20462/35.3147,1),",",".",1)," lb/ft3"))</f>
        <v>1000 kg/m3</v>
      </c>
      <c r="D22" s="106" t="str">
        <f>IF(Input!$D$24="Metric",
CONCATENATE(Input!$D$14," kg/m3"),
CONCATENATE(SUBSTITUTE(ROUNDUP(Input!$D$14*2.20462/35.3147,1),",",".",1)," lb/ft3"))</f>
        <v>1000 kg/m3</v>
      </c>
      <c r="E22" s="106" t="str">
        <f>IF(Input!$D$24="Metric",
CONCATENATE(Input!$D$14," kg/m3"),
CONCATENATE(SUBSTITUTE(ROUNDUP(Input!$D$14*2.20462/35.3147,1),",",".",1)," lb/ft3"))</f>
        <v>1000 kg/m3</v>
      </c>
      <c r="F22" s="106" t="str">
        <f>IF(Input!$D$24="Metric",
CONCATENATE(Input!$D$14," kg/m3"),
CONCATENATE(SUBSTITUTE(ROUNDUP(Input!$D$14*2.20462/35.3147,1),",",".",1)," lb/ft3"))</f>
        <v>1000 kg/m3</v>
      </c>
      <c r="G22" s="114" t="str">
        <f>IF(Input!$D$24="Metric",
CONCATENATE(Input!$D$14," kg/m3"),
CONCATENATE(SUBSTITUTE(ROUNDUP(Input!$D$14*2.20462/35.3147,1),",",".",1)," lb/ft3"))</f>
        <v>1000 kg/m3</v>
      </c>
    </row>
    <row r="23" spans="1:7" ht="16">
      <c r="B23" s="114" t="s">
        <v>3</v>
      </c>
      <c r="C23" s="106" t="str">
        <f>CONCATENATE(Input!$D$15," cP")</f>
        <v>700 cP</v>
      </c>
      <c r="D23" s="228" t="str">
        <f>CONCATENATE(Input!$D$15," cP")</f>
        <v>700 cP</v>
      </c>
      <c r="E23" s="228" t="str">
        <f>CONCATENATE(Input!$D$15," cP")</f>
        <v>700 cP</v>
      </c>
      <c r="F23" s="228" t="str">
        <f>CONCATENATE(Input!$D$15," cP")</f>
        <v>700 cP</v>
      </c>
      <c r="G23" s="114" t="str">
        <f>CONCATENATE(Input!$D$15," cP")</f>
        <v>700 cP</v>
      </c>
    </row>
    <row r="24" spans="1:7" ht="16">
      <c r="B24" s="115" t="s">
        <v>183</v>
      </c>
      <c r="C24" s="228" t="str">
        <f>UPPER(IF(ZG!$B$45=0,
ZG!$B$44,
ZG!$B$45))</f>
        <v>ZG10</v>
      </c>
      <c r="D24" s="228" t="str">
        <f>UPPER(IF(ZGP!$B$45=0,
ZGP!$B$44,
ZGP!$B$45))</f>
        <v>N/A</v>
      </c>
      <c r="E24" s="228" t="str">
        <f>UPPER(IF(HP!$B$45=0,
HP!$B$44,
HP!$B$45))</f>
        <v>N/A</v>
      </c>
      <c r="F24" s="228" t="str">
        <f>UPPER(IF(HS!$B$45=0,
HS!$B$44,
HS!$B$45))</f>
        <v>HS5</v>
      </c>
      <c r="G24" s="114" t="str">
        <f>UPPER(IF(ZF!$B$45=0,
ZF!$B$44,
ZF!$B$45))</f>
        <v>N/A</v>
      </c>
    </row>
    <row r="25" spans="1:7" ht="16">
      <c r="B25" s="114" t="s">
        <v>182</v>
      </c>
      <c r="C25" s="106" t="str">
        <f>IF($C$31="N/A",
           "N/A",
             CONCATENATE(ZG!$X$49," rpm (max speed)"))</f>
        <v>245 rpm (max speed)</v>
      </c>
      <c r="D25" s="106" t="str">
        <f>IF($D$31="N/A",
           "N/A",
            CONCATENATE(ZGP!$X$49," rpm (max speed)"))</f>
        <v>N/A</v>
      </c>
      <c r="E25" s="106" t="str">
        <f>IF($E$31="N/A",
           "N/A",
            CONCATENATE(HP!$X$49," (max speed)"))</f>
        <v>N/A</v>
      </c>
      <c r="F25" s="106" t="str">
        <f>IF($F$31="N/A",
           "N/A",
             CONCATENATE(HS!$X$49," (max speed)"))</f>
        <v>3900 (max speed)</v>
      </c>
      <c r="G25" s="114" t="str">
        <f>IF($G$31="N/A",
           "N/A",
            CONCATENATE(ZF!$X$49," (max speed)"))</f>
        <v>N/A</v>
      </c>
    </row>
    <row r="26" spans="1:7" ht="16">
      <c r="B26" s="114" t="s">
        <v>181</v>
      </c>
      <c r="C26" s="106" t="str">
        <f>IF($C$31="N/A",
           "N/A",
             IF(Input!$D$24="Metric",
                       CONCATENATE(ROUND(ZG!$X$50,3)," W/L"),
                       CONCATENATE(SUBSTITUTE(ROUND(ZG!$Z$50,3),",",".",1)," W/gal")))</f>
        <v>0,799 W/L</v>
      </c>
      <c r="D26" s="106" t="str">
        <f>IF($D$31="N/A",
           "N/A",
            IF(Input!$D$24="Metric",
                     CONCATENATE(ROUND(ZGP!$X$50,3)," W/L"),
                     CONCATENATE(SUBSTITUTE(ROUND(ZGP!$Z$50,3),",",".",1)," W/gal")))</f>
        <v>N/A</v>
      </c>
      <c r="E26" s="106" t="str">
        <f>IF($E$31="N/A",
           "N/A",
            IF(Input!$D$24="Metric",
                     CONCATENATE(ROUND(HP!$X$50,3)," W/L"),
                     CONCATENATE(SUBSTITUTE(ROUND(HP!$Z$50,3),",",".",1)," W/gal")))</f>
        <v>N/A</v>
      </c>
      <c r="F26" s="106" t="str">
        <f>IF($F$31="N/A",
           "N/A",
            IF(Input!$D$24="Metric",
                     CONCATENATE(ROUND(HS!$X$50,3)," W/L"),
                     CONCATENATE(SUBSTITUTE(ROUND(HS!$Z$50,3),",",".",1)," W/gal")))</f>
        <v>0,586 W/L</v>
      </c>
      <c r="G26" s="114" t="str">
        <f>IF($G$31="N/A",
           "N/A",
            IF(Input!$D$24="Metric",
                     CONCATENATE(ROUND(ZF!$X$50,3)," W/L"),
                     CONCATENATE(SUBSTITUTE(ROUND(ZF!$Z$50,3),",",".",1)," W/gal")))</f>
        <v>N/A</v>
      </c>
    </row>
    <row r="27" spans="1:7" ht="16">
      <c r="B27" s="114" t="s">
        <v>10</v>
      </c>
      <c r="C27" s="106" t="str">
        <f>IF($C$31="N/A",
           "N/A",
            IF(Input!$D$24="metric",
                     CONCATENATE(ROUND(ZG!$X$51,3)," m/s"),
                     CONCATENATE(SUBSTITUTE(ROUND(ZG!$X$51*196.85039,0),",",".",1)," ft/min")))</f>
        <v>4,488 m/s</v>
      </c>
      <c r="D27" s="106" t="str">
        <f>IF($D$31="N/A",
           "N/A",
             IF(Input!$D$24="metric",
                       CONCATENATE(ROUND(ZGP!$X$51,3)," m/s"),
                       CONCATENATE(SUBSTITUTE(ROUND(ZGP!$X$51*196.85039,0),",",".",1)," ft/min")))</f>
        <v>N/A</v>
      </c>
      <c r="E27" s="106" t="str">
        <f>IF($E$31="N/A",
           "N/A",
            IF(Input!$D$24="metric",
                     CONCATENATE(ROUND(HP!$X$51,3)," m/s"),
                     CONCATENATE(SUBSTITUTE(ROUND(HP!$X$51*196.85039,0),",",".",1)," ft/min")))</f>
        <v>N/A</v>
      </c>
      <c r="F27" s="106" t="str">
        <f>IF($F$31="N/A",
           "N/A",
             IF(Input!$D$24="metric",
                     CONCATENATE(ROUND(HS!$X$51,3)," m/s"),
                     CONCATENATE(SUBSTITUTE(ROUND(HS!$X$51*196.85039,0),",",".",1)," ft/min")))</f>
        <v>21,431 m/s</v>
      </c>
      <c r="G27" s="114" t="str">
        <f>IF($G$31="N/A",
           "N/A",
            IF(Input!$D$24="metric",
                     CONCATENATE(ROUND(ZF!$X$51,3)," m/s"),
                     CONCATENATE(SUBSTITUTE(ROUND(ZF!$X$51*196.85039,0),",",".",1)," ft/min")))</f>
        <v>N/A</v>
      </c>
    </row>
    <row r="28" spans="1:7" ht="16">
      <c r="B28" s="114" t="s">
        <v>268</v>
      </c>
      <c r="C28" s="106" t="str">
        <f>IF(OR($C$31="N/A",ZG!$X$54="N/A"),
           "N/A",
            ZG!$X$54)</f>
        <v>1min - 1min 40s</v>
      </c>
      <c r="D28" s="106" t="str">
        <f>IF(OR($D$31="N/A",ZGP!$X$54="N/A"),
           "N/A",
            CONCATENATE(IF(Input!$D$24="metric",
                                                      ZGP!$X$54,
                                                      SUBSTITUTE(ZGP!$X$54,",","."))," min"))</f>
        <v>N/A</v>
      </c>
      <c r="E28" s="106" t="str">
        <f>IF(OR($E$31="N/A",HP!$X$54="N/A"),
           "N/A",
             CONCATENATE(IF(Input!$D$24="metric",
                                                     HP!$X$54,
                                                     SUBSTITUTE(HP!$X$54,",","."))," min"))</f>
        <v>N/A</v>
      </c>
      <c r="F28" s="106" t="str">
        <f>IF(OR($F$31="N/A",HS!$X$54="N/A"),
           "N/A",
            CONCATENATE(IF(Input!$D$24="metric",
                                                     HS!$X$54,
                                                     SUBSTITUTE(HS!$X$54,",","."))," min"))</f>
        <v>N/A</v>
      </c>
      <c r="G28" s="114" t="str">
        <f>IF(OR($G$31="N/A",ZF!$X$54="N/A"),
           "N/A",
             CONCATENATE(IF(Input!$D$24="metric",
                                                      ZF!$X$54,
                                                      SUBSTITUTE(ZF!$X$54,",","."))," min"))</f>
        <v>N/A</v>
      </c>
    </row>
    <row r="29" spans="1:7" ht="36" customHeight="1">
      <c r="B29" s="271" t="s">
        <v>406</v>
      </c>
      <c r="C29" s="272"/>
      <c r="D29" s="272"/>
      <c r="E29" s="272"/>
      <c r="F29" s="272"/>
      <c r="G29" s="273"/>
    </row>
    <row r="30" spans="1:7">
      <c r="B30" s="262" t="s">
        <v>269</v>
      </c>
      <c r="C30" s="263"/>
      <c r="D30" s="263"/>
      <c r="E30" s="263"/>
      <c r="F30" s="263"/>
      <c r="G30" s="264"/>
    </row>
    <row r="31" spans="1:7" ht="16">
      <c r="B31" s="114" t="s">
        <v>179</v>
      </c>
      <c r="C31" s="106" t="str">
        <f>IF(Input!$D$27=0,ZG!$B$44,Input!$D$27)</f>
        <v>zg10</v>
      </c>
      <c r="D31" s="106" t="str">
        <f>IF(Input!$D$28=0,ZGP!$B$44,Input!$D$28)</f>
        <v>N/A</v>
      </c>
      <c r="E31" s="106" t="str">
        <f>IF(Input!$D$29=0,HP!$B$44,Input!$D$29)</f>
        <v>N/A</v>
      </c>
      <c r="F31" s="106" t="str">
        <f>IF(Input!$D$30=0,HS!$B$44,Input!$D$30)</f>
        <v>HS5</v>
      </c>
      <c r="G31" s="114" t="str">
        <f>IF(Input!$D$31=0,ZF!$B$44,Input!$D$31)</f>
        <v>N/A</v>
      </c>
    </row>
    <row r="32" spans="1:7" ht="16">
      <c r="B32" s="114" t="s">
        <v>178</v>
      </c>
      <c r="C32" s="106" t="str">
        <f>IF($C$31="N/A",
           "N/A",
           IF(Input!$D$24="Metric",
                   CONCATENATE(VLOOKUP(C$31,ZG!$B$48:$M$69,3,FALSE)," mm"),
                   CONCATENATE(SUBSTITUTE(ROUND(VLOOKUP(C$31,ZG!$B$48:$M$69,3,FALSE)/25.4,2),",",".",1)," in")))</f>
        <v>350 mm</v>
      </c>
      <c r="D32" s="106" t="str">
        <f>IF($D$31="N/A",
           "N/A",
            IF(Input!$D$24="Metric",
                     CONCATENATE(VLOOKUP($D$31,ZGP!$B$48:$N$55,3,FALSE)," mm"),
                     CONCATENATE(SUBSTITUTE(ROUND(VLOOKUP($D$31,ZGP!$B$48:$N$55,3,FALSE)/25.4,2),",",".",1)," in")))</f>
        <v>N/A</v>
      </c>
      <c r="E32" s="106" t="str">
        <f>IF($E$31="N/A",
           "N/A",
            IF(Input!$D$24="Metric",
                    CONCATENATE(VLOOKUP($E$31,HP!$B$48:$N$53,3,FALSE)," mm"),
                    CONCATENATE(SUBSTITUTE(ROUND(VLOOKUP($E$31,HP!$B$48:$N$53,3,FALSE)/25.4,2),",",".",1)," in")))</f>
        <v>N/A</v>
      </c>
      <c r="F32" s="106" t="str">
        <f>IF(F$31="N/A",
           "N/A",
             IF(Input!$D$24="Metric",
                      CONCATENATE(VLOOKUP($F$31,HS!$B$48:$N$53,3,FALSE)," mm"),
                      CONCATENATE(SUBSTITUTE(ROUND(VLOOKUP($F$31,HS!$B$48:$N$53,3,FALSE)/25.4,2),",",".",1)," in")))</f>
        <v>105 mm</v>
      </c>
      <c r="G32" s="114" t="str">
        <f>IF($G$31="N/A",
           "N/A",
             IF(Input!$D$24="Metric",
                     CONCATENATE(VLOOKUP($G$31,ZF!$B$48:$N$51,3,FALSE)," mm"),
                     CONCATENATE(SUBSTITUTE(ROUND(VLOOKUP($G$31,ZF!$B$48:$N$51,3,FALSE)/25.4,2),",",".",1)," in")))</f>
        <v>N/A</v>
      </c>
    </row>
    <row r="33" spans="2:7" ht="16">
      <c r="B33" s="114" t="s">
        <v>177</v>
      </c>
      <c r="C33" s="106" t="str">
        <f>IF($C$31="N/A",
           "N/A",
             CONCATENATE(VLOOKUP(C$31,ZG!$B$48:$M$69,2,FALSE)," rpm"))</f>
        <v>245 rpm</v>
      </c>
      <c r="D33" s="106" t="str">
        <f>IF($D$31="N/A",
"N/A",
CONCATENATE(VLOOKUP(D$31,ZGP!$B$48:$N$55,2,FALSE)," rpm"))</f>
        <v>N/A</v>
      </c>
      <c r="E33" s="106" t="str">
        <f>IF($E$31="N/A",
"N/A",
CONCATENATE(VLOOKUP($E$31,HP!$B$48:$N$53,2,FALSE)," rpm"))</f>
        <v>N/A</v>
      </c>
      <c r="F33" s="106" t="str">
        <f>IF($F$31="N/A",
           "N/A",
             CONCATENATE(VLOOKUP($F$31,HS!$B$48:$N$53,2,FALSE)," rpm"))</f>
        <v>3900 rpm</v>
      </c>
      <c r="G33" s="114" t="str">
        <f>IF($G$31="N/A",
"N/A",
CONCATENATE(VLOOKUP($G$31,ZF!$B$48:$N$51,2,FALSE)," rpm"))</f>
        <v>N/A</v>
      </c>
    </row>
    <row r="34" spans="2:7" ht="16">
      <c r="B34" s="114" t="s">
        <v>266</v>
      </c>
      <c r="C34" s="106" t="str">
        <f>IF($C$31="N/A",
"N/A",
CONCATENATE(ROUNDUP(VLOOKUP(C$31,ZG!$B$48:$M$69,2,FALSE)*0.1,0)," rpm"))</f>
        <v>25 rpm</v>
      </c>
      <c r="D34" s="106" t="str">
        <f>IF($D$31="N/A",
           "N/A",
            CONCATENATE(ROUNDUP(VLOOKUP($D$31,ZGP!$B$48:$N$55,2,FALSE)*0.1,0)," rpm"))</f>
        <v>N/A</v>
      </c>
      <c r="E34" s="106" t="str">
        <f>IF($E$31="N/A",
           "N/A",
             CONCATENATE(ROUNDUP(VLOOKUP($E$31,HP!$B$48:$N$53,2,FALSE)*0.1,0)," rpm"))</f>
        <v>N/A</v>
      </c>
      <c r="F34" s="106" t="str">
        <f>IF($F$31="N/A",
           "N/A",
              CONCATENATE(ROUNDUP(VLOOKUP($F$31,HS!$B$48:$N$53,2,FALSE)*0.1,0)," rpm"))</f>
        <v>390 rpm</v>
      </c>
      <c r="G34" s="114" t="str">
        <f>IF($G$31="N/A",
           "N/A",
             CONCATENATE(ROUNDUP(VLOOKUP($G$31,ZF!$B$48:$N$51,2,FALSE)*0.1,0)," rpm"))</f>
        <v>N/A</v>
      </c>
    </row>
    <row r="35" spans="2:7" ht="15" customHeight="1">
      <c r="B35" s="114" t="s">
        <v>170</v>
      </c>
      <c r="C35" s="106" t="str">
        <f>VLOOKUP(Input!$D$17,'SS Material List'!$A$2:$B$12,2,FALSE)</f>
        <v>Alloy C276</v>
      </c>
      <c r="D35" s="106" t="str">
        <f>"Polypropylene (PP) - FDA USP Class VI"</f>
        <v>Polypropylene (PP) - FDA USP Class VI</v>
      </c>
      <c r="E35" s="106" t="str">
        <f>VLOOKUP(Input!$D$17,'SS Material List'!$A$2:$B$12,2,FALSE)</f>
        <v>Alloy C276</v>
      </c>
      <c r="F35" s="106" t="str">
        <f>VLOOKUP(Input!$D$17,'SS Material List'!$A$2:$B$12,2,FALSE)</f>
        <v>Alloy C276</v>
      </c>
      <c r="G35" s="114" t="str">
        <f>VLOOKUP(Input!$D$17,'SS Material List'!$A$2:$B$12,2,FALSE)</f>
        <v>Alloy C276</v>
      </c>
    </row>
    <row r="36" spans="2:7" ht="45" customHeight="1">
      <c r="B36" s="114" t="s">
        <v>176</v>
      </c>
      <c r="C36" s="106" t="str">
        <f>IF(Input!$D$24="Metric","Ra &lt;= 0,38μm, EP, on SS Components inside vessel","Ra &lt;= 15μin, EP, on SS Components inside vessel")</f>
        <v>Ra &lt;= 0,38μm, EP, on SS Components inside vessel</v>
      </c>
      <c r="D36" s="106" t="s">
        <v>267</v>
      </c>
      <c r="E36" s="106" t="str">
        <f>IF(Input!$D$24="Metric","Ra &lt;= 0,38μm, EP, on SS Components inside vessel","Ra &lt;= 15μin, EP, on SS Components inside vessel")</f>
        <v>Ra &lt;= 0,38μm, EP, on SS Components inside vessel</v>
      </c>
      <c r="F36" s="106" t="str">
        <f>IF(Input!$D$24="Metric","Ra &lt;= 0,38μm, EP, on SS Components inside vessel","Ra &lt;= 15μin, EP, on SS Components inside vessel")</f>
        <v>Ra &lt;= 0,38μm, EP, on SS Components inside vessel</v>
      </c>
      <c r="G36" s="114" t="str">
        <f>IF(Input!$D$24="Metric","Ra &lt;= 0,38μm, EP, on SS Components inside vessel","Ra &lt;= 15μin, EP, on SS Components inside vessel")</f>
        <v>Ra &lt;= 0,38μm, EP, on SS Components inside vessel</v>
      </c>
    </row>
    <row r="37" spans="2:7" ht="16">
      <c r="B37" s="114" t="s">
        <v>175</v>
      </c>
      <c r="C37" s="106" t="str">
        <f>IF($C$31="N/A",
           "N/A",
             IF(Input!$D$24="Metric",
                       CONCATENATE(VLOOKUP(C$31,ZG!$B$48:$M$69,12,FALSE)," mm"),
                       CONCATENATE(SUBSTITUTE(ROUND(VLOOKUP(C$31,ZG!$B$48:$M$69,12,FALSE)/25.4,2),",",".",1)," in")))</f>
        <v>229,5 mm</v>
      </c>
      <c r="D37" s="106" t="str">
        <f>IF($D$31="N/A",
           "N/A",
            IF(Input!$D$24="Metric",
                     CONCATENATE(VLOOKUP($D$31,ZGP!$B$48:$N$55,12,FALSE)," mm"),
                     CONCATENATE(SUBSTITUTE(ROUND(VLOOKUP($D$31,ZGP!$B$48:$N$55,12,FALSE)/25.4,2),",",".",1)," in")))</f>
        <v>N/A</v>
      </c>
      <c r="E37" s="106" t="str">
        <f>IF($E$31="N/A",
           "N/A",
             IF(Input!$D$24="Metric",
                     CONCATENATE(VLOOKUP($E$31,HP!$B$48:$N$53,12,FALSE)," mm"),
                     CONCATENATE(SUBSTITUTE(ROUND(VLOOKUP($E$31,HP!$B$48:$N$53,12,FALSE)/25.4,2),",",".",1)," in")))</f>
        <v>N/A</v>
      </c>
      <c r="F37" s="106" t="str">
        <f>IF($F$31="N/A",
           "N/A",
             IF(Input!$D$24="Metric",
                      CONCATENATE(VLOOKUP($F$31,HS!$B$48:$N$53,12,FALSE)," mm"),
                      CONCATENATE(SUBSTITUTE(ROUND(VLOOKUP($F$31,HS!$B$48:$N$53,12,FALSE)/25.4,2),",",".",1)," in")))</f>
        <v>114 mm</v>
      </c>
      <c r="G37" s="114" t="str">
        <f>IF($G$31="N/A",
           "N/A",
             IF(Input!$D$24="Metric",
                      CONCATENATE(VLOOKUP($G$31,ZF!$B$48:$N$51,12,FALSE)," mm"),
                      CONCATENATE(SUBSTITUTE(ROUND(VLOOKUP($G$31,ZF!$B$48:$N$51,12,FALSE)/25.4,2),",",".",1)," in")))</f>
        <v>N/A</v>
      </c>
    </row>
    <row r="38" spans="2:7" ht="16">
      <c r="B38" s="114" t="s">
        <v>174</v>
      </c>
      <c r="C38" s="106" t="str">
        <f>IF(Input!$D$24="Metric",
"5°C - 150°C",
"41°F - 302°F")</f>
        <v>5°C - 150°C</v>
      </c>
      <c r="D38" s="106" t="str">
        <f>IF(Input!$D$24="Metric",
"5°C - 60°C",
"41°F - 140°F")</f>
        <v>5°C - 60°C</v>
      </c>
      <c r="E38" s="106" t="str">
        <f>IF(Input!$D$24="Metric",
"5°C - 150°C",
"41°F - 302°F")</f>
        <v>5°C - 150°C</v>
      </c>
      <c r="F38" s="106" t="str">
        <f>IF(Input!$D$24="Metric",
"5°C - 150°C",
"41°F - 302°F")</f>
        <v>5°C - 150°C</v>
      </c>
      <c r="G38" s="114" t="str">
        <f>IF(Input!$D$24="Metric",
"5°C - 135°C",
"41°F - 275°F")</f>
        <v>5°C - 135°C</v>
      </c>
    </row>
    <row r="39" spans="2:7" ht="15" customHeight="1">
      <c r="B39" s="114" t="s">
        <v>173</v>
      </c>
      <c r="C39" s="238" t="str">
        <f>IF(Input!$D$24="Metric",
"-1 – 7 barg",
"-14.5 – 101.5 psig")</f>
        <v>-1 – 7 barg</v>
      </c>
      <c r="D39" s="106" t="s">
        <v>172</v>
      </c>
      <c r="E39" s="238" t="str">
        <f>IF(Input!$D$24="Metric",
"-1 – 7 barg",
"-14.5 – 101.5 psig")</f>
        <v>-1 – 7 barg</v>
      </c>
      <c r="F39" s="238" t="str">
        <f>IF(Input!$D$24="Metric",
"-1 – 7 barg",
"-14.5 – 101.5 psig")</f>
        <v>-1 – 7 barg</v>
      </c>
      <c r="G39" s="244" t="str">
        <f>IF(Input!$D$24="Metric",
"-1 – 7 barg",
"-14.5 – 101.5 psig")</f>
        <v>-1 – 7 barg</v>
      </c>
    </row>
    <row r="40" spans="2:7">
      <c r="B40" s="189" t="s">
        <v>171</v>
      </c>
      <c r="C40" s="190"/>
      <c r="D40" s="190"/>
      <c r="E40" s="190"/>
      <c r="F40" s="190"/>
      <c r="G40" s="191" t="s">
        <v>267</v>
      </c>
    </row>
    <row r="41" spans="2:7" ht="30.75" customHeight="1">
      <c r="B41" s="113" t="s">
        <v>170</v>
      </c>
      <c r="C41" s="106" t="s">
        <v>169</v>
      </c>
      <c r="D41" s="106" t="s">
        <v>169</v>
      </c>
      <c r="E41" s="106" t="s">
        <v>169</v>
      </c>
      <c r="F41" s="106" t="s">
        <v>169</v>
      </c>
      <c r="G41" s="114" t="s">
        <v>267</v>
      </c>
    </row>
    <row r="42" spans="2:7" ht="16">
      <c r="B42" s="113" t="s">
        <v>142</v>
      </c>
      <c r="C42" s="106" t="str">
        <f>IF(Input!D19=0,"EPDM",Input!$D$19)</f>
        <v>EPDM (FDA USP class VI compliant)</v>
      </c>
      <c r="D42" s="106" t="str">
        <f>IF(Input!D19=0,"EPDM",Input!$D$19)</f>
        <v>EPDM (FDA USP class VI compliant)</v>
      </c>
      <c r="E42" s="106" t="str">
        <f>IF(Input!D19=0,"EPDM",Input!$D$19)</f>
        <v>EPDM (FDA USP class VI compliant)</v>
      </c>
      <c r="F42" s="106" t="str">
        <f>IF(Input!D19=0,"EPDM",Input!$D$19)</f>
        <v>EPDM (FDA USP class VI compliant)</v>
      </c>
      <c r="G42" s="114" t="s">
        <v>267</v>
      </c>
    </row>
    <row r="43" spans="2:7">
      <c r="B43" s="262" t="s">
        <v>137</v>
      </c>
      <c r="C43" s="263"/>
      <c r="D43" s="263"/>
      <c r="E43" s="263"/>
      <c r="F43" s="263"/>
      <c r="G43" s="264"/>
    </row>
    <row r="44" spans="2:7" ht="16">
      <c r="B44" s="113" t="s">
        <v>168</v>
      </c>
      <c r="C44" s="106" t="str">
        <f>IF(Input!$D$20=0,"IP55",Input!$D$20)</f>
        <v>IP55</v>
      </c>
      <c r="D44" s="228" t="str">
        <f>IF(Input!$D$20=0,"IP55",Input!$D$20)</f>
        <v>IP55</v>
      </c>
      <c r="E44" s="106" t="str">
        <f>IF(Input!$D$20=0,"IP55",Input!$D$20)</f>
        <v>IP55</v>
      </c>
      <c r="F44" s="106" t="str">
        <f>IF(Input!$D$20=0,"IP55",Input!$D$20)</f>
        <v>IP55</v>
      </c>
      <c r="G44" s="114" t="s">
        <v>276</v>
      </c>
    </row>
    <row r="45" spans="2:7" ht="16">
      <c r="B45" s="139" t="s">
        <v>243</v>
      </c>
      <c r="C45" s="106" t="str">
        <f>IF(Input!$D$21=0,"NO",Input!$D$21)</f>
        <v>NO</v>
      </c>
      <c r="D45" s="240" t="str">
        <f>IF(Input!$D$21=0,"NO",Input!$D$21)</f>
        <v>NO</v>
      </c>
      <c r="E45" s="241" t="str">
        <f>IF(Input!$D$21=0,"NO",Input!$D$21)</f>
        <v>NO</v>
      </c>
      <c r="F45" s="241" t="str">
        <f>IF(Input!$D$21=0,"NO",Input!$D$21)</f>
        <v>NO</v>
      </c>
      <c r="G45" s="245" t="s">
        <v>267</v>
      </c>
    </row>
    <row r="46" spans="2:7" ht="16">
      <c r="B46" s="113" t="s">
        <v>167</v>
      </c>
      <c r="C46" s="106" t="str">
        <f>IF(Input!$D$22=0,"NO",Input!$D$22)</f>
        <v>YES</v>
      </c>
      <c r="D46" s="242" t="str">
        <f>IF(Input!$D$22=0,"NO",Input!$D$22)</f>
        <v>YES</v>
      </c>
      <c r="E46" s="106" t="str">
        <f>IF(Input!$D$22=0,"NO",Input!$D$22)</f>
        <v>YES</v>
      </c>
      <c r="F46" s="114" t="str">
        <f>IF(Input!$D$22=0,"NO",Input!$D$22)</f>
        <v>YES</v>
      </c>
      <c r="G46" s="237" t="s">
        <v>267</v>
      </c>
    </row>
    <row r="47" spans="2:7" ht="16">
      <c r="B47" s="113" t="s">
        <v>244</v>
      </c>
      <c r="C47" s="106" t="str">
        <f>IF(Input!$D$23=0,"NO",Input!$D$23)</f>
        <v>NO</v>
      </c>
      <c r="D47" s="106" t="str">
        <f>IF(Input!$D$23=0,"NO",Input!$D$23)</f>
        <v>NO</v>
      </c>
      <c r="E47" s="114" t="str">
        <f>IF(Input!$D$23=0,"NO",Input!$D$23)</f>
        <v>NO</v>
      </c>
      <c r="F47" s="114" t="str">
        <f>IF(Input!$D$23=0,"NO",Input!$D$23)</f>
        <v>NO</v>
      </c>
      <c r="G47" s="237" t="s">
        <v>267</v>
      </c>
    </row>
    <row r="48" spans="2:7" ht="16" thickBot="1">
      <c r="B48" s="268" t="s">
        <v>407</v>
      </c>
      <c r="C48" s="269"/>
      <c r="D48" s="269"/>
      <c r="E48" s="269"/>
      <c r="F48" s="269"/>
      <c r="G48" s="270"/>
    </row>
    <row r="49" spans="1:3">
      <c r="C49" s="129"/>
    </row>
    <row r="50" spans="1:3">
      <c r="C50" s="129"/>
    </row>
    <row r="53" spans="1:3">
      <c r="A53" s="118"/>
    </row>
    <row r="54" spans="1:3">
      <c r="A54" s="117"/>
      <c r="C54" s="129"/>
    </row>
    <row r="55" spans="1:3">
      <c r="A55" s="116"/>
    </row>
  </sheetData>
  <mergeCells count="30">
    <mergeCell ref="B48:G48"/>
    <mergeCell ref="K2:L2"/>
    <mergeCell ref="M2:N2"/>
    <mergeCell ref="O2:P2"/>
    <mergeCell ref="Q2:R2"/>
    <mergeCell ref="B30:G30"/>
    <mergeCell ref="B43:G43"/>
    <mergeCell ref="B29:G29"/>
    <mergeCell ref="AA2:AB2"/>
    <mergeCell ref="AC2:AD2"/>
    <mergeCell ref="AE2:AF2"/>
    <mergeCell ref="Q3:R3"/>
    <mergeCell ref="O3:P3"/>
    <mergeCell ref="Y2:Z2"/>
    <mergeCell ref="AE3:AF3"/>
    <mergeCell ref="AC3:AD3"/>
    <mergeCell ref="AA3:AB3"/>
    <mergeCell ref="Y3:Z3"/>
    <mergeCell ref="W3:X3"/>
    <mergeCell ref="U2:V2"/>
    <mergeCell ref="W2:X2"/>
    <mergeCell ref="B2:G2"/>
    <mergeCell ref="B7:G7"/>
    <mergeCell ref="B20:G20"/>
    <mergeCell ref="B19:G19"/>
    <mergeCell ref="S2:T2"/>
    <mergeCell ref="M3:N3"/>
    <mergeCell ref="K3:L3"/>
    <mergeCell ref="U3:V3"/>
    <mergeCell ref="S3:T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C3:C6 C8:C18 C21:C28 C31:C39 C41:C42 C44:C47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D3:D6 D8:D18 D21:D28 D31:D39 D41:D42 D44:D47</xm:sqref>
        </x14:conditionalFormatting>
        <x14:conditionalFormatting xmlns:xm="http://schemas.microsoft.com/office/excel/2006/main"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E3:E6 E8:E18 E21:E28 E31:E39 E41:E42 E44:E47</xm:sqref>
        </x14:conditionalFormatting>
        <x14:conditionalFormatting xmlns:xm="http://schemas.microsoft.com/office/excel/2006/main"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F3:F6 F8:F18 F21:F28 F31:F39 F41:F42 F44:F47</xm:sqref>
        </x14:conditionalFormatting>
        <x14:conditionalFormatting xmlns:xm="http://schemas.microsoft.com/office/excel/2006/main"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G3:G6 G8:G18 G21:G28 G31:G39 G41:G42 G44:G47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E98"/>
  <sheetViews>
    <sheetView tabSelected="1" topLeftCell="M33" zoomScaleNormal="100" workbookViewId="0">
      <selection activeCell="T55" sqref="T55"/>
    </sheetView>
  </sheetViews>
  <sheetFormatPr baseColWidth="10" defaultColWidth="8.83203125" defaultRowHeight="15"/>
  <cols>
    <col min="1" max="1" width="20.33203125" bestFit="1" customWidth="1"/>
    <col min="4" max="4" width="17.5" customWidth="1"/>
    <col min="13" max="13" width="12.33203125" customWidth="1"/>
    <col min="14" max="14" width="11.5" bestFit="1" customWidth="1"/>
    <col min="15" max="15" width="9.1640625" customWidth="1"/>
    <col min="17" max="17" width="9.1640625" customWidth="1"/>
    <col min="18" max="18" width="13.33203125" customWidth="1"/>
    <col min="19" max="19" width="9.1640625" customWidth="1"/>
    <col min="20" max="20" width="11.5" customWidth="1"/>
    <col min="21" max="21" width="9.1640625" customWidth="1"/>
    <col min="22" max="22" width="14.33203125" customWidth="1"/>
    <col min="23" max="23" width="21.5" customWidth="1"/>
    <col min="24" max="24" width="13.6640625" customWidth="1"/>
    <col min="26" max="26" width="14.83203125" customWidth="1"/>
    <col min="29" max="29" width="20.33203125" bestFit="1" customWidth="1"/>
  </cols>
  <sheetData>
    <row r="1" spans="1:28" ht="20" thickBot="1">
      <c r="A1" s="279"/>
      <c r="B1" s="279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254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277">
        <f>IF(Input!$D$13="Gentle",1.2,IF(Input!$D$13="Vigorous", 0.8,1))</f>
        <v>1</v>
      </c>
      <c r="G2" s="278"/>
      <c r="H2" s="277">
        <f>IF(Input!$D$13="Gentle",1.2,IF(Input!$D$13="Vigorous", 0.8,1))</f>
        <v>1</v>
      </c>
      <c r="I2" s="278"/>
      <c r="J2" s="277">
        <f>IF(Input!$D$13="Gentle",1.2,IF(Input!$D$13="Vigorous", 0.8,1))</f>
        <v>1</v>
      </c>
      <c r="K2" s="278"/>
      <c r="L2" s="277">
        <f>IF(Input!$D$13="Gentle",1.2,IF(Input!$D$13="Vigorous", 0.8,1))</f>
        <v>1</v>
      </c>
      <c r="M2" s="278"/>
      <c r="N2" s="277">
        <f>IF(Input!$D$13="Gentle",1.2,IF(Input!$D$13="Vigorous", 0.8,1))</f>
        <v>1</v>
      </c>
      <c r="O2" s="278"/>
      <c r="P2" s="277">
        <f>IF(Input!$D$13="Gentle",1.2,IF(Input!$D$13="Vigorous", 0.8,1))</f>
        <v>1</v>
      </c>
      <c r="Q2" s="278"/>
      <c r="R2" s="277">
        <f>IF(Input!$D$13="Gentle",1.2,IF(Input!$D$13="Vigorous", 0.8,1))</f>
        <v>1</v>
      </c>
      <c r="S2" s="278"/>
      <c r="T2" s="277">
        <f>IF(Input!$D$13="Gentle",1.2,IF(Input!$D$13="Vigorous", 0.8,1))</f>
        <v>1</v>
      </c>
      <c r="U2" s="278"/>
      <c r="V2" s="277">
        <f>IF(Input!$D$13="Gentle",1.2,IF(Input!$D$13="Vigorous", 0.8,1))</f>
        <v>1</v>
      </c>
      <c r="W2" s="278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6" thickBot="1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>
      <c r="A6" s="17"/>
      <c r="B6" s="20">
        <f>($B$2)*10</f>
        <v>10</v>
      </c>
      <c r="C6" s="21">
        <v>1</v>
      </c>
      <c r="D6" s="20">
        <f>(D$2)*50</f>
        <v>50</v>
      </c>
      <c r="E6" s="21">
        <v>1</v>
      </c>
      <c r="F6" s="20">
        <f>(F$2)*250</f>
        <v>250</v>
      </c>
      <c r="G6" s="21">
        <v>1</v>
      </c>
      <c r="H6" s="20">
        <f>(H$2)*850</f>
        <v>850</v>
      </c>
      <c r="I6" s="21">
        <v>1</v>
      </c>
      <c r="J6" s="20">
        <f>(J$2)*1200</f>
        <v>1200</v>
      </c>
      <c r="K6" s="21">
        <v>1</v>
      </c>
      <c r="L6" s="20">
        <f>(L$2)*2000</f>
        <v>2000</v>
      </c>
      <c r="M6" s="21">
        <v>1</v>
      </c>
      <c r="N6" s="20">
        <f>(N$2)*5000</f>
        <v>5000</v>
      </c>
      <c r="O6" s="21">
        <v>1</v>
      </c>
      <c r="P6" s="20">
        <f>(P$2)*10000</f>
        <v>10000</v>
      </c>
      <c r="Q6" s="21">
        <v>1</v>
      </c>
      <c r="R6" s="20">
        <f>(R$2)*20000</f>
        <v>20000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>
      <c r="A7" s="17"/>
      <c r="B7" s="22">
        <f>($B$2)*9.1</f>
        <v>9.1</v>
      </c>
      <c r="C7" s="23">
        <v>5</v>
      </c>
      <c r="D7" s="22">
        <f>(D$2)*45.5</f>
        <v>45.5</v>
      </c>
      <c r="E7" s="23">
        <v>5</v>
      </c>
      <c r="F7" s="22">
        <f>(F$2)*227.5</f>
        <v>227.5</v>
      </c>
      <c r="G7" s="23">
        <v>5</v>
      </c>
      <c r="H7" s="22">
        <f>(H$2)*773.5</f>
        <v>773.5</v>
      </c>
      <c r="I7" s="23">
        <v>5</v>
      </c>
      <c r="J7" s="22">
        <f>(J$2)*1092</f>
        <v>1092</v>
      </c>
      <c r="K7" s="23">
        <v>5</v>
      </c>
      <c r="L7" s="22">
        <f>(L$2)*1820</f>
        <v>1820</v>
      </c>
      <c r="M7" s="23">
        <v>5</v>
      </c>
      <c r="N7" s="22">
        <f>(N$2)*4550</f>
        <v>4550</v>
      </c>
      <c r="O7" s="23">
        <v>5</v>
      </c>
      <c r="P7" s="22">
        <f>(P$2)*9100</f>
        <v>9100</v>
      </c>
      <c r="Q7" s="23">
        <v>5</v>
      </c>
      <c r="R7" s="22">
        <f>(R$2)*18200</f>
        <v>18200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>
      <c r="A8" s="17"/>
      <c r="B8" s="22">
        <f>($B$2)*8.3</f>
        <v>8.3000000000000007</v>
      </c>
      <c r="C8" s="23">
        <v>10</v>
      </c>
      <c r="D8" s="22">
        <f>(D$2)*41.5</f>
        <v>41.5</v>
      </c>
      <c r="E8" s="23">
        <v>10</v>
      </c>
      <c r="F8" s="22">
        <f>(F$2)*207.5</f>
        <v>207.5</v>
      </c>
      <c r="G8" s="23">
        <v>10</v>
      </c>
      <c r="H8" s="22">
        <f>(H$2)*705.5</f>
        <v>705.5</v>
      </c>
      <c r="I8" s="23">
        <v>10</v>
      </c>
      <c r="J8" s="22">
        <f>(J$2)*996</f>
        <v>996</v>
      </c>
      <c r="K8" s="23">
        <v>10</v>
      </c>
      <c r="L8" s="22">
        <f>(L$2)*1660</f>
        <v>1660</v>
      </c>
      <c r="M8" s="23">
        <v>10</v>
      </c>
      <c r="N8" s="22">
        <f>(N$2)*4150</f>
        <v>4150</v>
      </c>
      <c r="O8" s="23">
        <v>10</v>
      </c>
      <c r="P8" s="22">
        <f>(P$2)*8300</f>
        <v>8300</v>
      </c>
      <c r="Q8" s="23">
        <v>10</v>
      </c>
      <c r="R8" s="22">
        <f>(R$2)*16600</f>
        <v>16600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>
      <c r="A9" s="17"/>
      <c r="B9" s="22">
        <f>($B$2)*7.7</f>
        <v>7.7</v>
      </c>
      <c r="C9" s="23">
        <v>15</v>
      </c>
      <c r="D9" s="22">
        <f>(D$2)*38.5</f>
        <v>38.5</v>
      </c>
      <c r="E9" s="23">
        <v>15</v>
      </c>
      <c r="F9" s="22">
        <f>(F$2)*192.5</f>
        <v>192.5</v>
      </c>
      <c r="G9" s="23">
        <v>15</v>
      </c>
      <c r="H9" s="22">
        <f>(H$2)*654.5</f>
        <v>654.5</v>
      </c>
      <c r="I9" s="23">
        <v>15</v>
      </c>
      <c r="J9" s="22">
        <f>(J$2)*924</f>
        <v>924</v>
      </c>
      <c r="K9" s="23">
        <v>15</v>
      </c>
      <c r="L9" s="22">
        <f>(L$2)*1540</f>
        <v>1540</v>
      </c>
      <c r="M9" s="23">
        <v>15</v>
      </c>
      <c r="N9" s="22">
        <f>(N$2)*3850</f>
        <v>3850</v>
      </c>
      <c r="O9" s="23">
        <v>15</v>
      </c>
      <c r="P9" s="22">
        <f>(P$2)*7700</f>
        <v>7700</v>
      </c>
      <c r="Q9" s="23">
        <v>15</v>
      </c>
      <c r="R9" s="22">
        <f>(R$2)*15400</f>
        <v>15400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>
      <c r="A10" s="17"/>
      <c r="B10" s="22">
        <f>($B$2)*7.2</f>
        <v>7.2</v>
      </c>
      <c r="C10" s="23">
        <v>20</v>
      </c>
      <c r="D10" s="22">
        <f>(D$2)*36</f>
        <v>36</v>
      </c>
      <c r="E10" s="23">
        <v>20</v>
      </c>
      <c r="F10" s="22">
        <f>(F$2)*180</f>
        <v>180</v>
      </c>
      <c r="G10" s="23">
        <v>20</v>
      </c>
      <c r="H10" s="22">
        <f>(H$2)*612</f>
        <v>612</v>
      </c>
      <c r="I10" s="23">
        <v>20</v>
      </c>
      <c r="J10" s="22">
        <f>(J$2)*864</f>
        <v>864</v>
      </c>
      <c r="K10" s="23">
        <v>20</v>
      </c>
      <c r="L10" s="22">
        <f>(L$2)*1440</f>
        <v>1440</v>
      </c>
      <c r="M10" s="23">
        <v>20</v>
      </c>
      <c r="N10" s="22">
        <f>(N$2)*3600</f>
        <v>3600</v>
      </c>
      <c r="O10" s="23">
        <v>20</v>
      </c>
      <c r="P10" s="22">
        <f>(P$2)*7200</f>
        <v>7200</v>
      </c>
      <c r="Q10" s="23">
        <v>20</v>
      </c>
      <c r="R10" s="22">
        <f>(R$2)*14400</f>
        <v>14400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>
      <c r="A11" s="17"/>
      <c r="B11" s="22">
        <f>($B$2)*6.8</f>
        <v>6.8</v>
      </c>
      <c r="C11" s="23">
        <v>25</v>
      </c>
      <c r="D11" s="22">
        <f>(D$2)*34</f>
        <v>34</v>
      </c>
      <c r="E11" s="23">
        <v>25</v>
      </c>
      <c r="F11" s="22">
        <f>(F$2)*170</f>
        <v>170</v>
      </c>
      <c r="G11" s="23">
        <v>25</v>
      </c>
      <c r="H11" s="22">
        <f>(H$2)*578</f>
        <v>578</v>
      </c>
      <c r="I11" s="23">
        <v>25</v>
      </c>
      <c r="J11" s="22">
        <f>(J$2)*816</f>
        <v>816</v>
      </c>
      <c r="K11" s="23">
        <v>25</v>
      </c>
      <c r="L11" s="22">
        <f>(L$2)*1360</f>
        <v>1360</v>
      </c>
      <c r="M11" s="23">
        <v>25</v>
      </c>
      <c r="N11" s="22">
        <f>(N$2)*3400</f>
        <v>3400</v>
      </c>
      <c r="O11" s="23">
        <v>25</v>
      </c>
      <c r="P11" s="22">
        <f>(P$2)*6800</f>
        <v>6800</v>
      </c>
      <c r="Q11" s="23">
        <v>25</v>
      </c>
      <c r="R11" s="22">
        <f>(R$2)*13600</f>
        <v>13600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>
      <c r="A12" s="17"/>
      <c r="B12" s="22">
        <f>($B$2)*6.55</f>
        <v>6.55</v>
      </c>
      <c r="C12" s="23">
        <v>30</v>
      </c>
      <c r="D12" s="22">
        <f>(D$2)*32.75</f>
        <v>32.75</v>
      </c>
      <c r="E12" s="23">
        <v>30</v>
      </c>
      <c r="F12" s="22">
        <f>(F$2)*163.75</f>
        <v>163.75</v>
      </c>
      <c r="G12" s="23">
        <v>30</v>
      </c>
      <c r="H12" s="22">
        <f>(H$2)*556.75</f>
        <v>556.75</v>
      </c>
      <c r="I12" s="23">
        <v>30</v>
      </c>
      <c r="J12" s="22">
        <f>(J$2)*786</f>
        <v>786</v>
      </c>
      <c r="K12" s="23">
        <v>30</v>
      </c>
      <c r="L12" s="22">
        <f>(L$2)*1310</f>
        <v>1310</v>
      </c>
      <c r="M12" s="23">
        <v>30</v>
      </c>
      <c r="N12" s="22">
        <f>(N$2)*3275</f>
        <v>3275</v>
      </c>
      <c r="O12" s="23">
        <v>30</v>
      </c>
      <c r="P12" s="22">
        <f>(P$2)*6550</f>
        <v>6550</v>
      </c>
      <c r="Q12" s="23">
        <v>30</v>
      </c>
      <c r="R12" s="22">
        <f>(R$2)*13100</f>
        <v>13100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>
      <c r="A13" s="17"/>
      <c r="B13" s="22">
        <f>($B$2)*6.3</f>
        <v>6.3</v>
      </c>
      <c r="C13" s="23">
        <v>35</v>
      </c>
      <c r="D13" s="22">
        <f>(D$2)*31.5</f>
        <v>31.5</v>
      </c>
      <c r="E13" s="23">
        <v>35</v>
      </c>
      <c r="F13" s="22">
        <f>(F$2)*157.5</f>
        <v>157.5</v>
      </c>
      <c r="G13" s="23">
        <v>35</v>
      </c>
      <c r="H13" s="22">
        <f>(H$2)*535.5</f>
        <v>535.5</v>
      </c>
      <c r="I13" s="23">
        <v>35</v>
      </c>
      <c r="J13" s="22">
        <f>(J$2)*756</f>
        <v>756</v>
      </c>
      <c r="K13" s="23">
        <v>35</v>
      </c>
      <c r="L13" s="22">
        <f>(L$2)*1260</f>
        <v>1260</v>
      </c>
      <c r="M13" s="23">
        <v>35</v>
      </c>
      <c r="N13" s="22">
        <f>(N$2)*3150</f>
        <v>3150</v>
      </c>
      <c r="O13" s="23">
        <v>35</v>
      </c>
      <c r="P13" s="22">
        <f>(P$2)*6300</f>
        <v>6300</v>
      </c>
      <c r="Q13" s="23">
        <v>35</v>
      </c>
      <c r="R13" s="22">
        <f>(R$2)*12600</f>
        <v>12600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>
      <c r="A14" s="17"/>
      <c r="B14" s="22">
        <f>($B$2)*6.15</f>
        <v>6.15</v>
      </c>
      <c r="C14" s="23">
        <v>40</v>
      </c>
      <c r="D14" s="22">
        <f>(D$2)*30.75</f>
        <v>30.75</v>
      </c>
      <c r="E14" s="23">
        <v>40</v>
      </c>
      <c r="F14" s="22">
        <f>(F$2)*153.75</f>
        <v>153.75</v>
      </c>
      <c r="G14" s="23">
        <v>40</v>
      </c>
      <c r="H14" s="22">
        <f>(H$2)*522.75</f>
        <v>522.75</v>
      </c>
      <c r="I14" s="23">
        <v>40</v>
      </c>
      <c r="J14" s="22">
        <f>(J$2)*738</f>
        <v>738</v>
      </c>
      <c r="K14" s="23">
        <v>40</v>
      </c>
      <c r="L14" s="22">
        <f>(L$2)*1230</f>
        <v>1230</v>
      </c>
      <c r="M14" s="23">
        <v>40</v>
      </c>
      <c r="N14" s="22">
        <f>(N$2)*3075</f>
        <v>3075</v>
      </c>
      <c r="O14" s="23">
        <v>40</v>
      </c>
      <c r="P14" s="22">
        <f>(P$2)*6150</f>
        <v>6150</v>
      </c>
      <c r="Q14" s="23">
        <v>40</v>
      </c>
      <c r="R14" s="22">
        <f>(R$2)*12300</f>
        <v>12300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>
      <c r="A15" s="17"/>
      <c r="B15" s="22">
        <f>($B$2)*6</f>
        <v>6</v>
      </c>
      <c r="C15" s="23">
        <v>45</v>
      </c>
      <c r="D15" s="22">
        <f>(D$2)*30</f>
        <v>30</v>
      </c>
      <c r="E15" s="23">
        <v>45</v>
      </c>
      <c r="F15" s="22">
        <f>(F$2)*150</f>
        <v>150</v>
      </c>
      <c r="G15" s="23">
        <v>45</v>
      </c>
      <c r="H15" s="22">
        <f>(H$2)*510</f>
        <v>510</v>
      </c>
      <c r="I15" s="23">
        <v>45</v>
      </c>
      <c r="J15" s="22">
        <f>(J$2)*720</f>
        <v>720</v>
      </c>
      <c r="K15" s="23">
        <v>45</v>
      </c>
      <c r="L15" s="22">
        <f>(L$2)*1200</f>
        <v>1200</v>
      </c>
      <c r="M15" s="23">
        <v>45</v>
      </c>
      <c r="N15" s="22">
        <f>(N$2)*3000</f>
        <v>3000</v>
      </c>
      <c r="O15" s="23">
        <v>45</v>
      </c>
      <c r="P15" s="22">
        <f>(P$2)*6000</f>
        <v>6000</v>
      </c>
      <c r="Q15" s="23">
        <v>45</v>
      </c>
      <c r="R15" s="22">
        <f>(R$2)*12000</f>
        <v>12000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>
      <c r="A16" s="17"/>
      <c r="B16" s="22">
        <f>($B$2)*5.86</f>
        <v>5.86</v>
      </c>
      <c r="C16" s="23">
        <v>50</v>
      </c>
      <c r="D16" s="22">
        <f>(D$2)*29.3</f>
        <v>29.3</v>
      </c>
      <c r="E16" s="23">
        <v>50</v>
      </c>
      <c r="F16" s="22">
        <f>(F$2)*146.5</f>
        <v>146.5</v>
      </c>
      <c r="G16" s="23">
        <v>50</v>
      </c>
      <c r="H16" s="22">
        <f>(H$2)*498.1</f>
        <v>498.1</v>
      </c>
      <c r="I16" s="23">
        <v>50</v>
      </c>
      <c r="J16" s="22">
        <f>(J$2)*703.2</f>
        <v>703.2</v>
      </c>
      <c r="K16" s="23">
        <v>50</v>
      </c>
      <c r="L16" s="22">
        <f>(L$2)*1172</f>
        <v>1172</v>
      </c>
      <c r="M16" s="23">
        <v>50</v>
      </c>
      <c r="N16" s="22">
        <f>(N$2)*2930</f>
        <v>2930</v>
      </c>
      <c r="O16" s="23">
        <v>50</v>
      </c>
      <c r="P16" s="22">
        <f>(P$2)*5860</f>
        <v>5860</v>
      </c>
      <c r="Q16" s="23">
        <v>50</v>
      </c>
      <c r="R16" s="22">
        <f>(R$2)*11720</f>
        <v>11720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>
      <c r="A17" s="17"/>
      <c r="B17" s="22">
        <f>($B$2)*5.7</f>
        <v>5.7</v>
      </c>
      <c r="C17" s="23">
        <v>55</v>
      </c>
      <c r="D17" s="22">
        <f>(D$2)*28.5</f>
        <v>28.5</v>
      </c>
      <c r="E17" s="23">
        <v>55</v>
      </c>
      <c r="F17" s="22">
        <f>(F$2)*142.5</f>
        <v>142.5</v>
      </c>
      <c r="G17" s="23">
        <v>55</v>
      </c>
      <c r="H17" s="22">
        <f>(H$2)*484.5</f>
        <v>484.5</v>
      </c>
      <c r="I17" s="23">
        <v>55</v>
      </c>
      <c r="J17" s="22">
        <f>(J$2)*684</f>
        <v>684</v>
      </c>
      <c r="K17" s="23">
        <v>55</v>
      </c>
      <c r="L17" s="22">
        <f>(L$2)*1140</f>
        <v>1140</v>
      </c>
      <c r="M17" s="23">
        <v>55</v>
      </c>
      <c r="N17" s="22">
        <f>(N$2)*2850</f>
        <v>2850</v>
      </c>
      <c r="O17" s="23">
        <v>55</v>
      </c>
      <c r="P17" s="22">
        <f>(P$2)*5700</f>
        <v>5700</v>
      </c>
      <c r="Q17" s="23">
        <v>55</v>
      </c>
      <c r="R17" s="22">
        <f>(R$2)*11400</f>
        <v>11400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>
      <c r="A18" s="17"/>
      <c r="B18" s="22">
        <f>($B$2)*5.6</f>
        <v>5.6</v>
      </c>
      <c r="C18" s="23">
        <v>60</v>
      </c>
      <c r="D18" s="22">
        <f>(D$2)*28</f>
        <v>28</v>
      </c>
      <c r="E18" s="23">
        <v>60</v>
      </c>
      <c r="F18" s="22">
        <f>(F$2)*140</f>
        <v>140</v>
      </c>
      <c r="G18" s="23">
        <v>60</v>
      </c>
      <c r="H18" s="22">
        <f>(H$2)*476</f>
        <v>476</v>
      </c>
      <c r="I18" s="23">
        <v>60</v>
      </c>
      <c r="J18" s="22">
        <f>(J$2)*672</f>
        <v>672</v>
      </c>
      <c r="K18" s="23">
        <v>60</v>
      </c>
      <c r="L18" s="22">
        <f>(L$2)*1120</f>
        <v>1120</v>
      </c>
      <c r="M18" s="23">
        <v>60</v>
      </c>
      <c r="N18" s="22">
        <f>(N$2)*2800</f>
        <v>2800</v>
      </c>
      <c r="O18" s="23">
        <v>60</v>
      </c>
      <c r="P18" s="22">
        <f>(P$2)*5600</f>
        <v>5600</v>
      </c>
      <c r="Q18" s="23">
        <v>60</v>
      </c>
      <c r="R18" s="22">
        <f>(R$2)*11200</f>
        <v>11200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>
      <c r="A19" s="17"/>
      <c r="B19" s="22">
        <f>($B$2)*5.5</f>
        <v>5.5</v>
      </c>
      <c r="C19" s="23">
        <v>65</v>
      </c>
      <c r="D19" s="22">
        <f>(D$2)*27.5</f>
        <v>27.5</v>
      </c>
      <c r="E19" s="23">
        <v>65</v>
      </c>
      <c r="F19" s="22">
        <f>(F$2)*137.5</f>
        <v>137.5</v>
      </c>
      <c r="G19" s="23">
        <v>65</v>
      </c>
      <c r="H19" s="22">
        <f>(H$2)*467.5</f>
        <v>467.5</v>
      </c>
      <c r="I19" s="23">
        <v>65</v>
      </c>
      <c r="J19" s="22">
        <f>(J$2)*660</f>
        <v>660</v>
      </c>
      <c r="K19" s="23">
        <v>65</v>
      </c>
      <c r="L19" s="22">
        <f>(L$2)*1100</f>
        <v>1100</v>
      </c>
      <c r="M19" s="23">
        <v>65</v>
      </c>
      <c r="N19" s="22">
        <f>(N$2)*2750</f>
        <v>2750</v>
      </c>
      <c r="O19" s="23">
        <v>65</v>
      </c>
      <c r="P19" s="22">
        <f>(P$2)*5500</f>
        <v>5500</v>
      </c>
      <c r="Q19" s="23">
        <v>65</v>
      </c>
      <c r="R19" s="22">
        <f>(R$2)*11000</f>
        <v>11000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>
      <c r="A20" s="17"/>
      <c r="B20" s="22">
        <f>($B$2)*5.4</f>
        <v>5.4</v>
      </c>
      <c r="C20" s="23">
        <v>70</v>
      </c>
      <c r="D20" s="22">
        <f>(D$2)*27</f>
        <v>27</v>
      </c>
      <c r="E20" s="23">
        <v>70</v>
      </c>
      <c r="F20" s="22">
        <f>(F$2)*135</f>
        <v>135</v>
      </c>
      <c r="G20" s="23">
        <v>70</v>
      </c>
      <c r="H20" s="22">
        <f>(H$2)*459</f>
        <v>459</v>
      </c>
      <c r="I20" s="23">
        <v>70</v>
      </c>
      <c r="J20" s="22">
        <f>(J$2)*648</f>
        <v>648</v>
      </c>
      <c r="K20" s="23">
        <v>70</v>
      </c>
      <c r="L20" s="22">
        <f>(L$2)*1080</f>
        <v>1080</v>
      </c>
      <c r="M20" s="23">
        <v>70</v>
      </c>
      <c r="N20" s="22">
        <f>(N$2)*2700</f>
        <v>2700</v>
      </c>
      <c r="O20" s="23">
        <v>70</v>
      </c>
      <c r="P20" s="22">
        <f>(P$2)*5400</f>
        <v>5400</v>
      </c>
      <c r="Q20" s="23">
        <v>70</v>
      </c>
      <c r="R20" s="22">
        <f>(R$2)*10800</f>
        <v>10800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>
      <c r="A21" s="17"/>
      <c r="B21" s="22">
        <f>($B$2)*5.3</f>
        <v>5.3</v>
      </c>
      <c r="C21" s="23">
        <v>75</v>
      </c>
      <c r="D21" s="22">
        <f>(D$2)*26.5</f>
        <v>26.5</v>
      </c>
      <c r="E21" s="23">
        <v>75</v>
      </c>
      <c r="F21" s="22">
        <f>(F$2)*132.5</f>
        <v>132.5</v>
      </c>
      <c r="G21" s="23">
        <v>75</v>
      </c>
      <c r="H21" s="22">
        <f>(H$2)*450.5</f>
        <v>450.5</v>
      </c>
      <c r="I21" s="23">
        <v>75</v>
      </c>
      <c r="J21" s="22">
        <f>(J$2)*636</f>
        <v>636</v>
      </c>
      <c r="K21" s="23">
        <v>75</v>
      </c>
      <c r="L21" s="22">
        <f>(L$2)*1060</f>
        <v>1060</v>
      </c>
      <c r="M21" s="23">
        <v>75</v>
      </c>
      <c r="N21" s="22">
        <f>(N$2)*2650</f>
        <v>2650</v>
      </c>
      <c r="O21" s="23">
        <v>75</v>
      </c>
      <c r="P21" s="22">
        <f>(P$2)*5300</f>
        <v>5300</v>
      </c>
      <c r="Q21" s="23">
        <v>75</v>
      </c>
      <c r="R21" s="22">
        <f>(R$2)*10600</f>
        <v>10600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>
      <c r="A22" s="17"/>
      <c r="B22" s="22">
        <f>($B$2)*5.2</f>
        <v>5.2</v>
      </c>
      <c r="C22" s="23">
        <v>80</v>
      </c>
      <c r="D22" s="22">
        <f>(D$2)*26</f>
        <v>26</v>
      </c>
      <c r="E22" s="23">
        <v>80</v>
      </c>
      <c r="F22" s="22">
        <f>(F$2)*130</f>
        <v>130</v>
      </c>
      <c r="G22" s="23">
        <v>80</v>
      </c>
      <c r="H22" s="22">
        <f>(H$2)*442</f>
        <v>442</v>
      </c>
      <c r="I22" s="23">
        <v>80</v>
      </c>
      <c r="J22" s="22">
        <f>(J$2)*624</f>
        <v>624</v>
      </c>
      <c r="K22" s="23">
        <v>80</v>
      </c>
      <c r="L22" s="22">
        <f>(L$2)*1040</f>
        <v>1040</v>
      </c>
      <c r="M22" s="23">
        <v>80</v>
      </c>
      <c r="N22" s="22">
        <f>(N$2)*2600</f>
        <v>2600</v>
      </c>
      <c r="O22" s="23">
        <v>80</v>
      </c>
      <c r="P22" s="22">
        <f>(P$2)*5200</f>
        <v>5200</v>
      </c>
      <c r="Q22" s="23">
        <v>80</v>
      </c>
      <c r="R22" s="22">
        <f>(R$2)*10400</f>
        <v>10400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>
      <c r="A23" s="17"/>
      <c r="B23" s="22">
        <f>($B$2)*5.1</f>
        <v>5.0999999999999996</v>
      </c>
      <c r="C23" s="23">
        <v>85</v>
      </c>
      <c r="D23" s="22">
        <f>(D$2)*25.5</f>
        <v>25.5</v>
      </c>
      <c r="E23" s="23">
        <v>85</v>
      </c>
      <c r="F23" s="22">
        <f>(F$2)*127.5</f>
        <v>127.5</v>
      </c>
      <c r="G23" s="23">
        <v>85</v>
      </c>
      <c r="H23" s="22">
        <f>(H$2)*433.5</f>
        <v>433.5</v>
      </c>
      <c r="I23" s="23">
        <v>85</v>
      </c>
      <c r="J23" s="22">
        <f>(J$2)*612</f>
        <v>612</v>
      </c>
      <c r="K23" s="23">
        <v>85</v>
      </c>
      <c r="L23" s="22">
        <f>(L$2)*1020</f>
        <v>1020</v>
      </c>
      <c r="M23" s="23">
        <v>85</v>
      </c>
      <c r="N23" s="22">
        <f>(N$2)*2550</f>
        <v>2550</v>
      </c>
      <c r="O23" s="23">
        <v>85</v>
      </c>
      <c r="P23" s="22">
        <f>(P$2)*5100</f>
        <v>5100</v>
      </c>
      <c r="Q23" s="23">
        <v>85</v>
      </c>
      <c r="R23" s="22">
        <f>(R$2)*10200</f>
        <v>10200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>
      <c r="A24" s="17"/>
      <c r="B24" s="22">
        <f>($B$2)*5</f>
        <v>5</v>
      </c>
      <c r="C24" s="23">
        <v>90</v>
      </c>
      <c r="D24" s="22">
        <f>(D$2)*25</f>
        <v>25</v>
      </c>
      <c r="E24" s="23">
        <v>90</v>
      </c>
      <c r="F24" s="22">
        <f>(F$2)*125</f>
        <v>125</v>
      </c>
      <c r="G24" s="23">
        <v>90</v>
      </c>
      <c r="H24" s="22">
        <f>(H$2)*425</f>
        <v>425</v>
      </c>
      <c r="I24" s="23">
        <v>90</v>
      </c>
      <c r="J24" s="22">
        <f>(J$2)*600</f>
        <v>600</v>
      </c>
      <c r="K24" s="23">
        <v>90</v>
      </c>
      <c r="L24" s="22">
        <f>(L$2)*1000</f>
        <v>1000</v>
      </c>
      <c r="M24" s="23">
        <v>90</v>
      </c>
      <c r="N24" s="22">
        <f>(N$2)*2500</f>
        <v>2500</v>
      </c>
      <c r="O24" s="23">
        <v>90</v>
      </c>
      <c r="P24" s="22">
        <f>(P$2)*5000</f>
        <v>5000</v>
      </c>
      <c r="Q24" s="23">
        <v>90</v>
      </c>
      <c r="R24" s="22">
        <f>(R$2)*10000</f>
        <v>10000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>
      <c r="A25" s="17"/>
      <c r="B25" s="22">
        <f>($B$2)*4.9</f>
        <v>4.9000000000000004</v>
      </c>
      <c r="C25" s="23">
        <v>95</v>
      </c>
      <c r="D25" s="22">
        <f>(D$2)*24.5</f>
        <v>24.5</v>
      </c>
      <c r="E25" s="23">
        <v>95</v>
      </c>
      <c r="F25" s="22">
        <f>(F$2)*122.5</f>
        <v>122.5</v>
      </c>
      <c r="G25" s="23">
        <v>95</v>
      </c>
      <c r="H25" s="22">
        <f>(H$2)*416.5</f>
        <v>416.5</v>
      </c>
      <c r="I25" s="23">
        <v>95</v>
      </c>
      <c r="J25" s="22">
        <f>(J$2)*588</f>
        <v>588</v>
      </c>
      <c r="K25" s="23">
        <v>95</v>
      </c>
      <c r="L25" s="22">
        <f>(L$2)*980</f>
        <v>980</v>
      </c>
      <c r="M25" s="23">
        <v>95</v>
      </c>
      <c r="N25" s="22">
        <f>(N$2)*2450</f>
        <v>2450</v>
      </c>
      <c r="O25" s="23">
        <v>95</v>
      </c>
      <c r="P25" s="22">
        <f>(P$2)*4900</f>
        <v>4900</v>
      </c>
      <c r="Q25" s="23">
        <v>95</v>
      </c>
      <c r="R25" s="22">
        <f>(R$2)*9800</f>
        <v>9800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>
      <c r="A26" s="17"/>
      <c r="B26" s="22">
        <f>($B$2)*4.85</f>
        <v>4.8499999999999996</v>
      </c>
      <c r="C26" s="23">
        <v>100</v>
      </c>
      <c r="D26" s="22">
        <f>(D$2)*24.25</f>
        <v>24.25</v>
      </c>
      <c r="E26" s="23">
        <v>100</v>
      </c>
      <c r="F26" s="22">
        <f>(F$2)*121.25</f>
        <v>121.25</v>
      </c>
      <c r="G26" s="23">
        <v>100</v>
      </c>
      <c r="H26" s="22">
        <f>(H$2)*412.25</f>
        <v>412.25</v>
      </c>
      <c r="I26" s="23">
        <v>100</v>
      </c>
      <c r="J26" s="22">
        <f>(J$2)*582</f>
        <v>582</v>
      </c>
      <c r="K26" s="23">
        <v>100</v>
      </c>
      <c r="L26" s="22">
        <f>(L$2)*970</f>
        <v>970</v>
      </c>
      <c r="M26" s="23">
        <v>100</v>
      </c>
      <c r="N26" s="22">
        <f>(N$2)*2425</f>
        <v>2425</v>
      </c>
      <c r="O26" s="23">
        <v>100</v>
      </c>
      <c r="P26" s="22">
        <f>(P$2)*4850</f>
        <v>4850</v>
      </c>
      <c r="Q26" s="23">
        <v>100</v>
      </c>
      <c r="R26" s="22">
        <f>(R$2)*9700</f>
        <v>9700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>
      <c r="A27" s="17"/>
      <c r="B27" s="22">
        <f>($B$2)*4.3</f>
        <v>4.3</v>
      </c>
      <c r="C27" s="23">
        <v>150</v>
      </c>
      <c r="D27" s="22">
        <f>(D$2)*21.5</f>
        <v>21.5</v>
      </c>
      <c r="E27" s="23">
        <v>150</v>
      </c>
      <c r="F27" s="22">
        <f>(F$2)*107.5</f>
        <v>107.5</v>
      </c>
      <c r="G27" s="23">
        <v>150</v>
      </c>
      <c r="H27" s="22">
        <f>(H$2)*365.5</f>
        <v>365.5</v>
      </c>
      <c r="I27" s="23">
        <v>150</v>
      </c>
      <c r="J27" s="22">
        <f>(J$2)*516</f>
        <v>516</v>
      </c>
      <c r="K27" s="23">
        <v>150</v>
      </c>
      <c r="L27" s="22">
        <f>(L$2)*860</f>
        <v>860</v>
      </c>
      <c r="M27" s="23">
        <v>150</v>
      </c>
      <c r="N27" s="22">
        <f>(N$2)*2150</f>
        <v>2150</v>
      </c>
      <c r="O27" s="23">
        <v>150</v>
      </c>
      <c r="P27" s="22">
        <f>(P$2)*4300</f>
        <v>4300</v>
      </c>
      <c r="Q27" s="23">
        <v>150</v>
      </c>
      <c r="R27" s="22">
        <f>(R$2)*8600</f>
        <v>8600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>
      <c r="A28" s="17"/>
      <c r="B28" s="22">
        <f>($B$2)*3.9</f>
        <v>3.9</v>
      </c>
      <c r="C28" s="23">
        <v>200</v>
      </c>
      <c r="D28" s="22">
        <f>(D$2)*19.5</f>
        <v>19.5</v>
      </c>
      <c r="E28" s="23">
        <v>200</v>
      </c>
      <c r="F28" s="22">
        <f>(F$2)*97.5</f>
        <v>97.5</v>
      </c>
      <c r="G28" s="23">
        <v>200</v>
      </c>
      <c r="H28" s="22">
        <f>(H$2)*331.5</f>
        <v>331.5</v>
      </c>
      <c r="I28" s="23">
        <v>200</v>
      </c>
      <c r="J28" s="22">
        <f>(J$2)*468</f>
        <v>468</v>
      </c>
      <c r="K28" s="23">
        <v>200</v>
      </c>
      <c r="L28" s="22">
        <f>(L$2)*780</f>
        <v>780</v>
      </c>
      <c r="M28" s="23">
        <v>200</v>
      </c>
      <c r="N28" s="22">
        <f>(N$2)*1950</f>
        <v>1950</v>
      </c>
      <c r="O28" s="23">
        <v>200</v>
      </c>
      <c r="P28" s="22">
        <f>(P$2)*3900</f>
        <v>3900</v>
      </c>
      <c r="Q28" s="23">
        <v>200</v>
      </c>
      <c r="R28" s="22">
        <f>(R$2)*7800</f>
        <v>7800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>
      <c r="A29" s="17"/>
      <c r="B29" s="22">
        <f>($B$2)*3.55</f>
        <v>3.55</v>
      </c>
      <c r="C29" s="23">
        <v>250</v>
      </c>
      <c r="D29" s="22">
        <f>(D$2)*17.75</f>
        <v>17.75</v>
      </c>
      <c r="E29" s="23">
        <v>250</v>
      </c>
      <c r="F29" s="22">
        <f>(F$2)*88.75</f>
        <v>88.75</v>
      </c>
      <c r="G29" s="23">
        <v>250</v>
      </c>
      <c r="H29" s="22">
        <f>(H$2)*301.75</f>
        <v>301.75</v>
      </c>
      <c r="I29" s="23">
        <v>250</v>
      </c>
      <c r="J29" s="22">
        <f>(J$2)*426</f>
        <v>426</v>
      </c>
      <c r="K29" s="23">
        <v>250</v>
      </c>
      <c r="L29" s="22">
        <f>(L$2)*710</f>
        <v>710</v>
      </c>
      <c r="M29" s="23">
        <v>250</v>
      </c>
      <c r="N29" s="22">
        <f>(N$2)*1775</f>
        <v>1775</v>
      </c>
      <c r="O29" s="23">
        <v>250</v>
      </c>
      <c r="P29" s="22">
        <f>(P$2)*3550</f>
        <v>3550</v>
      </c>
      <c r="Q29" s="23">
        <v>250</v>
      </c>
      <c r="R29" s="22">
        <f>(R$2)*7100</f>
        <v>7100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>
      <c r="A30" s="17"/>
      <c r="B30" s="22">
        <f>($B$2)*3.2</f>
        <v>3.2</v>
      </c>
      <c r="C30" s="23">
        <v>300</v>
      </c>
      <c r="D30" s="22">
        <f>(D$2)*16</f>
        <v>16</v>
      </c>
      <c r="E30" s="23">
        <v>300</v>
      </c>
      <c r="F30" s="22">
        <f>(F$2)*80</f>
        <v>80</v>
      </c>
      <c r="G30" s="23">
        <v>300</v>
      </c>
      <c r="H30" s="22">
        <f>(H$2)*272</f>
        <v>272</v>
      </c>
      <c r="I30" s="23">
        <v>300</v>
      </c>
      <c r="J30" s="22">
        <f>(J$2)*384</f>
        <v>384</v>
      </c>
      <c r="K30" s="23">
        <v>300</v>
      </c>
      <c r="L30" s="22">
        <f>(L$2)*640</f>
        <v>640</v>
      </c>
      <c r="M30" s="23">
        <v>300</v>
      </c>
      <c r="N30" s="22">
        <f>(N$2)*1600</f>
        <v>1600</v>
      </c>
      <c r="O30" s="23">
        <v>300</v>
      </c>
      <c r="P30" s="22">
        <f>(P$2)*3200</f>
        <v>3200</v>
      </c>
      <c r="Q30" s="23">
        <v>300</v>
      </c>
      <c r="R30" s="22">
        <f>(R$2)*6400</f>
        <v>6400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>
      <c r="A31" s="17"/>
      <c r="B31" s="22">
        <f>($B$2)*2.9</f>
        <v>2.9</v>
      </c>
      <c r="C31" s="23">
        <v>350</v>
      </c>
      <c r="D31" s="22">
        <f>(D$2)*14.5</f>
        <v>14.5</v>
      </c>
      <c r="E31" s="23">
        <v>350</v>
      </c>
      <c r="F31" s="22">
        <f>(F$2)*72.5</f>
        <v>72.5</v>
      </c>
      <c r="G31" s="23">
        <v>350</v>
      </c>
      <c r="H31" s="22">
        <f>(H$2)*246.5</f>
        <v>246.5</v>
      </c>
      <c r="I31" s="23">
        <v>350</v>
      </c>
      <c r="J31" s="22">
        <f>(J$2)*348</f>
        <v>348</v>
      </c>
      <c r="K31" s="23">
        <v>350</v>
      </c>
      <c r="L31" s="22">
        <f>(L$2)*580</f>
        <v>580</v>
      </c>
      <c r="M31" s="23">
        <v>350</v>
      </c>
      <c r="N31" s="22">
        <f>(N$2)*1450</f>
        <v>1450</v>
      </c>
      <c r="O31" s="23">
        <v>350</v>
      </c>
      <c r="P31" s="22">
        <f>(P$2)*2900</f>
        <v>2900</v>
      </c>
      <c r="Q31" s="23">
        <v>350</v>
      </c>
      <c r="R31" s="22">
        <f>(R$2)*5800</f>
        <v>5800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>
      <c r="A32" s="17"/>
      <c r="B32" s="22">
        <f>($B$2)*2.6</f>
        <v>2.6</v>
      </c>
      <c r="C32" s="23">
        <v>400</v>
      </c>
      <c r="D32" s="22">
        <f>(D$2)*13</f>
        <v>13</v>
      </c>
      <c r="E32" s="23">
        <v>400</v>
      </c>
      <c r="F32" s="22">
        <f>(F$2)*65</f>
        <v>65</v>
      </c>
      <c r="G32" s="23">
        <v>400</v>
      </c>
      <c r="H32" s="22">
        <f>(H$2)*221</f>
        <v>221</v>
      </c>
      <c r="I32" s="23">
        <v>400</v>
      </c>
      <c r="J32" s="22">
        <f>(J$2)*312</f>
        <v>312</v>
      </c>
      <c r="K32" s="23">
        <v>400</v>
      </c>
      <c r="L32" s="22">
        <f>(L$2)*520</f>
        <v>520</v>
      </c>
      <c r="M32" s="23">
        <v>400</v>
      </c>
      <c r="N32" s="22">
        <f>(N$2)*1300</f>
        <v>1300</v>
      </c>
      <c r="O32" s="23">
        <v>400</v>
      </c>
      <c r="P32" s="22">
        <f>(P$2)*2600</f>
        <v>2600</v>
      </c>
      <c r="Q32" s="23">
        <v>400</v>
      </c>
      <c r="R32" s="22">
        <f>(R$2)*5200</f>
        <v>5200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>
      <c r="A33" s="17"/>
      <c r="B33" s="22">
        <f>($B$2)*2.35</f>
        <v>2.35</v>
      </c>
      <c r="C33" s="23">
        <v>450</v>
      </c>
      <c r="D33" s="22">
        <f>(D$2)*11.75</f>
        <v>11.75</v>
      </c>
      <c r="E33" s="23">
        <v>450</v>
      </c>
      <c r="F33" s="22">
        <f>(F$2)*58.75</f>
        <v>58.75</v>
      </c>
      <c r="G33" s="23">
        <v>450</v>
      </c>
      <c r="H33" s="22">
        <f>(H$2)*199.75</f>
        <v>199.75</v>
      </c>
      <c r="I33" s="23">
        <v>450</v>
      </c>
      <c r="J33" s="22">
        <f>(J$2)*282</f>
        <v>282</v>
      </c>
      <c r="K33" s="23">
        <v>450</v>
      </c>
      <c r="L33" s="22">
        <f>(L$2)*470</f>
        <v>470</v>
      </c>
      <c r="M33" s="23">
        <v>450</v>
      </c>
      <c r="N33" s="22">
        <f>(N$2)*1175</f>
        <v>1175</v>
      </c>
      <c r="O33" s="23">
        <v>450</v>
      </c>
      <c r="P33" s="22">
        <f>(P$2)*2350</f>
        <v>2350</v>
      </c>
      <c r="Q33" s="23">
        <v>450</v>
      </c>
      <c r="R33" s="22">
        <f>(R$2)*4700</f>
        <v>4700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>
      <c r="A34" s="17"/>
      <c r="B34" s="22">
        <f>($B$2)*2.1</f>
        <v>2.1</v>
      </c>
      <c r="C34" s="23">
        <v>500</v>
      </c>
      <c r="D34" s="22">
        <f>(D$2)*10.5</f>
        <v>10.5</v>
      </c>
      <c r="E34" s="23">
        <v>500</v>
      </c>
      <c r="F34" s="22">
        <f>(F$2)*52.5</f>
        <v>52.5</v>
      </c>
      <c r="G34" s="23">
        <v>500</v>
      </c>
      <c r="H34" s="22">
        <f>(H$2)*178.5</f>
        <v>178.5</v>
      </c>
      <c r="I34" s="23">
        <v>500</v>
      </c>
      <c r="J34" s="22">
        <f>(J$2)*252</f>
        <v>252</v>
      </c>
      <c r="K34" s="23">
        <v>500</v>
      </c>
      <c r="L34" s="22">
        <f>(L$2)*420</f>
        <v>420</v>
      </c>
      <c r="M34" s="23">
        <v>500</v>
      </c>
      <c r="N34" s="22">
        <f>(N$2)*1050</f>
        <v>1050</v>
      </c>
      <c r="O34" s="23">
        <v>500</v>
      </c>
      <c r="P34" s="22">
        <f>(P$2)*2100</f>
        <v>2100</v>
      </c>
      <c r="Q34" s="23">
        <v>500</v>
      </c>
      <c r="R34" s="22">
        <f>(R$2)*4200</f>
        <v>4200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>
      <c r="A35" s="17"/>
      <c r="B35" s="22">
        <f>($B$2)*1.9</f>
        <v>1.9</v>
      </c>
      <c r="C35" s="23">
        <v>550</v>
      </c>
      <c r="D35" s="22">
        <f>(D$2)*9.5</f>
        <v>9.5</v>
      </c>
      <c r="E35" s="23">
        <v>550</v>
      </c>
      <c r="F35" s="22">
        <f>(F$2)*47.5</f>
        <v>47.5</v>
      </c>
      <c r="G35" s="23">
        <v>550</v>
      </c>
      <c r="H35" s="22">
        <f>(H$2)*161.5</f>
        <v>161.5</v>
      </c>
      <c r="I35" s="23">
        <v>550</v>
      </c>
      <c r="J35" s="22">
        <f>(J$2)*228</f>
        <v>228</v>
      </c>
      <c r="K35" s="23">
        <v>550</v>
      </c>
      <c r="L35" s="22">
        <f>(L$2)*380</f>
        <v>380</v>
      </c>
      <c r="M35" s="23">
        <v>550</v>
      </c>
      <c r="N35" s="22">
        <f>(N$2)*950</f>
        <v>950</v>
      </c>
      <c r="O35" s="23">
        <v>550</v>
      </c>
      <c r="P35" s="22">
        <f>(P$2)*1900</f>
        <v>1900</v>
      </c>
      <c r="Q35" s="23">
        <v>550</v>
      </c>
      <c r="R35" s="22">
        <f>(R$2)*3800</f>
        <v>3800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>
      <c r="A36" s="17"/>
      <c r="B36" s="22">
        <f>($B$2)*1.7</f>
        <v>1.7</v>
      </c>
      <c r="C36" s="23">
        <v>600</v>
      </c>
      <c r="D36" s="22">
        <f>(D$2)*8.5</f>
        <v>8.5</v>
      </c>
      <c r="E36" s="23">
        <v>600</v>
      </c>
      <c r="F36" s="22">
        <f>(F$2)*42.5</f>
        <v>42.5</v>
      </c>
      <c r="G36" s="23">
        <v>600</v>
      </c>
      <c r="H36" s="22">
        <f>(H$2)*144.5</f>
        <v>144.5</v>
      </c>
      <c r="I36" s="23">
        <v>600</v>
      </c>
      <c r="J36" s="22">
        <f>(J$2)*204</f>
        <v>204</v>
      </c>
      <c r="K36" s="23">
        <v>600</v>
      </c>
      <c r="L36" s="22">
        <f>(L$2)*340</f>
        <v>340</v>
      </c>
      <c r="M36" s="23">
        <v>600</v>
      </c>
      <c r="N36" s="22">
        <f>(N$2)*850</f>
        <v>850</v>
      </c>
      <c r="O36" s="23">
        <v>600</v>
      </c>
      <c r="P36" s="22">
        <f>(P$2)*1700</f>
        <v>1700</v>
      </c>
      <c r="Q36" s="23">
        <v>600</v>
      </c>
      <c r="R36" s="22">
        <f>(R$2)*3400</f>
        <v>3400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>
      <c r="A37" s="17"/>
      <c r="B37" s="22">
        <f>($B$2)*1.5</f>
        <v>1.5</v>
      </c>
      <c r="C37" s="23">
        <v>650</v>
      </c>
      <c r="D37" s="22">
        <f>(D$2)*7.5</f>
        <v>7.5</v>
      </c>
      <c r="E37" s="23">
        <v>650</v>
      </c>
      <c r="F37" s="22">
        <f>(F$2)*37.5</f>
        <v>37.5</v>
      </c>
      <c r="G37" s="23">
        <v>650</v>
      </c>
      <c r="H37" s="22">
        <f>(H$2)*127.5</f>
        <v>127.5</v>
      </c>
      <c r="I37" s="23">
        <v>650</v>
      </c>
      <c r="J37" s="22">
        <f>(J$2)*180</f>
        <v>180</v>
      </c>
      <c r="K37" s="23">
        <v>650</v>
      </c>
      <c r="L37" s="22">
        <f>(L$2)*300</f>
        <v>300</v>
      </c>
      <c r="M37" s="23">
        <v>650</v>
      </c>
      <c r="N37" s="22">
        <f>(N$2)*750</f>
        <v>750</v>
      </c>
      <c r="O37" s="23">
        <v>650</v>
      </c>
      <c r="P37" s="22">
        <f>(P$2)*1500</f>
        <v>1500</v>
      </c>
      <c r="Q37" s="23">
        <v>650</v>
      </c>
      <c r="R37" s="22">
        <f>(R$2)*3000</f>
        <v>3000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>
      <c r="A38" s="17"/>
      <c r="B38" s="22">
        <f>($B$2)*1.32</f>
        <v>1.32</v>
      </c>
      <c r="C38" s="23">
        <v>700</v>
      </c>
      <c r="D38" s="22">
        <f>(D$2)*6.6</f>
        <v>6.6</v>
      </c>
      <c r="E38" s="23">
        <v>700</v>
      </c>
      <c r="F38" s="22">
        <f>(F$2)*33</f>
        <v>33</v>
      </c>
      <c r="G38" s="23">
        <v>700</v>
      </c>
      <c r="H38" s="22">
        <f>(H$2)*112.2</f>
        <v>112.2</v>
      </c>
      <c r="I38" s="23">
        <v>700</v>
      </c>
      <c r="J38" s="22">
        <f>(J$2)*158.4</f>
        <v>158.4</v>
      </c>
      <c r="K38" s="23">
        <v>700</v>
      </c>
      <c r="L38" s="22">
        <f>(L$2)*264</f>
        <v>264</v>
      </c>
      <c r="M38" s="23">
        <v>700</v>
      </c>
      <c r="N38" s="22">
        <f>(N$2)*660</f>
        <v>660</v>
      </c>
      <c r="O38" s="23">
        <v>700</v>
      </c>
      <c r="P38" s="22">
        <f>(P$2)*1320</f>
        <v>1320</v>
      </c>
      <c r="Q38" s="23">
        <v>700</v>
      </c>
      <c r="R38" s="22">
        <f>(R$2)*2640</f>
        <v>2640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>
      <c r="A39" s="17"/>
      <c r="B39" s="22">
        <f>($B$2)*1.15</f>
        <v>1.1499999999999999</v>
      </c>
      <c r="C39" s="23">
        <v>750</v>
      </c>
      <c r="D39" s="22">
        <f>(D$2)*5.75</f>
        <v>5.75</v>
      </c>
      <c r="E39" s="23">
        <v>750</v>
      </c>
      <c r="F39" s="22">
        <f>(F$2)*28.75</f>
        <v>28.75</v>
      </c>
      <c r="G39" s="23">
        <v>750</v>
      </c>
      <c r="H39" s="22">
        <f>(H$2)*97.75</f>
        <v>97.75</v>
      </c>
      <c r="I39" s="23">
        <v>750</v>
      </c>
      <c r="J39" s="22">
        <f>(J$2)*138</f>
        <v>138</v>
      </c>
      <c r="K39" s="23">
        <v>750</v>
      </c>
      <c r="L39" s="22">
        <f>(L$2)*230</f>
        <v>230</v>
      </c>
      <c r="M39" s="23">
        <v>750</v>
      </c>
      <c r="N39" s="22">
        <f>(N$2)*575</f>
        <v>575</v>
      </c>
      <c r="O39" s="23">
        <v>750</v>
      </c>
      <c r="P39" s="22">
        <f>(P$2)*1150</f>
        <v>1150</v>
      </c>
      <c r="Q39" s="23">
        <v>750</v>
      </c>
      <c r="R39" s="22">
        <f>(R$2)*2300</f>
        <v>2300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6" thickBot="1">
      <c r="A40" s="17"/>
      <c r="B40" s="24">
        <f>($B$2)*1</f>
        <v>1</v>
      </c>
      <c r="C40" s="25">
        <v>800</v>
      </c>
      <c r="D40" s="24">
        <f>(D$2)*5</f>
        <v>5</v>
      </c>
      <c r="E40" s="25">
        <v>800</v>
      </c>
      <c r="F40" s="24">
        <f>(F$2)*25</f>
        <v>25</v>
      </c>
      <c r="G40" s="25">
        <v>800</v>
      </c>
      <c r="H40" s="24">
        <f>(H$2)*85</f>
        <v>85</v>
      </c>
      <c r="I40" s="25">
        <v>800</v>
      </c>
      <c r="J40" s="24">
        <f>(J$2)*120</f>
        <v>120</v>
      </c>
      <c r="K40" s="25">
        <v>800</v>
      </c>
      <c r="L40" s="24">
        <f>(L$2)*200</f>
        <v>200</v>
      </c>
      <c r="M40" s="25">
        <v>800</v>
      </c>
      <c r="N40" s="24">
        <f>(N$2)*500</f>
        <v>500</v>
      </c>
      <c r="O40" s="25">
        <v>800</v>
      </c>
      <c r="P40" s="24">
        <f>(P$2)*1000</f>
        <v>1000</v>
      </c>
      <c r="Q40" s="25">
        <v>800</v>
      </c>
      <c r="R40" s="24">
        <f>(R$2)*2000</f>
        <v>2000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1.32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6.6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33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112.2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158.4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264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660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1320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2640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0</v>
      </c>
      <c r="W41" s="17"/>
      <c r="X41" s="17"/>
      <c r="Y41" s="17"/>
      <c r="Z41" s="17"/>
      <c r="AA41" s="17"/>
      <c r="AB41" s="17"/>
    </row>
    <row r="42" spans="1:31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6" thickBot="1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N/A</v>
      </c>
      <c r="C44" s="17"/>
      <c r="D44" t="s">
        <v>145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N/A</v>
      </c>
      <c r="F44" s="47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>
      <c r="A45" s="17" t="s">
        <v>132</v>
      </c>
      <c r="B45" s="17" t="str">
        <f>Input!$D$27</f>
        <v>zg10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3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234</v>
      </c>
      <c r="O47" s="17" t="s">
        <v>297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17">
        <v>18</v>
      </c>
      <c r="P48" s="17"/>
      <c r="Q48" s="17"/>
      <c r="R48" s="17"/>
      <c r="S48" s="17"/>
      <c r="T48" s="17"/>
      <c r="U48" s="17"/>
      <c r="V48" s="274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  <c r="AC48" s="17"/>
      <c r="AD48" s="17"/>
      <c r="AE48" s="17"/>
    </row>
    <row r="49" spans="1:30" ht="25" customHeight="1">
      <c r="A49" s="140" t="s">
        <v>46</v>
      </c>
      <c r="B49" s="141" t="s">
        <v>18</v>
      </c>
      <c r="C49" s="141">
        <v>490</v>
      </c>
      <c r="D49" s="142">
        <v>70</v>
      </c>
      <c r="E49" s="141">
        <v>6.6849999999999996</v>
      </c>
      <c r="F49" s="141">
        <v>1000</v>
      </c>
      <c r="G49" s="141">
        <f>IF($B$44=$B49,Input!$D$12,IF($B$45=B49,Input!$D$12,10))</f>
        <v>10</v>
      </c>
      <c r="H49" s="143">
        <f t="shared" ref="H49:H64" si="2">$E49*$F49*($C49/60)^3*($D49/1000)^5</f>
        <v>6.1196431837754623</v>
      </c>
      <c r="I49" s="144">
        <v>1</v>
      </c>
      <c r="J49" s="145">
        <f t="shared" si="0"/>
        <v>0.11925810767728957</v>
      </c>
      <c r="K49" s="145">
        <f t="shared" si="1"/>
        <v>0.61196431837754628</v>
      </c>
      <c r="L49" s="145">
        <f t="shared" ref="L49:L65" si="3">3.14*$D49/1000*C49/60</f>
        <v>1.7950333333333335</v>
      </c>
      <c r="M49" s="146">
        <v>55</v>
      </c>
      <c r="N49" s="141">
        <v>1.1599999999999999</v>
      </c>
      <c r="O49" s="17">
        <v>18</v>
      </c>
      <c r="P49" s="17"/>
      <c r="Q49" s="17"/>
      <c r="R49" s="17"/>
      <c r="S49" s="17"/>
      <c r="T49" s="17"/>
      <c r="U49" s="17"/>
      <c r="V49" s="274"/>
      <c r="W49" s="131" t="s">
        <v>47</v>
      </c>
      <c r="X49" s="149" cm="1">
        <f t="array" ref="X49">IF($B$45=0,
IF($B$44="N/A","N/A",IF(Input!$D$14&lt;=1000,VLOOKUP($B$44,ZG!$B$48:$N$69,2,FALSE),ROUNDDOWN((SQRT((213500000000000000*(INDEX($B$48:$N$69,(MATCH($B$44,$B$48:$B$69,0)+1),9)))/(9.549*(INDEX($B$48:$N$69,(MATCH($B$44,$B$48:$B$69,0)),4))*((INDEX($B$48:$N$69,(MATCH($B$44,$B$48:$B$69,0)),5))/1000)*((INDEX($B$48:$N$69,(MATCH($B$44,$B$48:$B$69,0)),3))^5)))),0))),
IF(Input!$D$14&lt;=1000,VLOOKUP($B$45,ZG!$B$48:$N$69,2,FALSE),ROUNDDOWN((SQRT((213500000000000000*(INDEX($B$48:$N$69,(MATCH($B$45,$B$48:$B$69,0)+1),9)))/(9.549*(INDEX($B$48:$N$69,(MATCH($B$45,$B$48:$B$69,0)),4))*((INDEX($B$48:$N$69,(MATCH($B$45,$B$48:$B$69,0)),5))/1000)*((INDEX($B$48:$N$69,(MATCH($B$45,$B$48:$B$69,0)),3))^5)))),0)))</f>
        <v>245</v>
      </c>
      <c r="Y49" s="230" t="s">
        <v>248</v>
      </c>
      <c r="Z49" s="232">
        <f>$X$49</f>
        <v>245</v>
      </c>
      <c r="AA49" s="152" t="s">
        <v>248</v>
      </c>
      <c r="AB49" s="17"/>
      <c r="AC49" s="17"/>
      <c r="AD49" s="83"/>
    </row>
    <row r="50" spans="1:30" ht="25" customHeight="1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>
        <v>18</v>
      </c>
      <c r="P50" s="17"/>
      <c r="Q50" s="17"/>
      <c r="R50" s="17"/>
      <c r="S50" s="17"/>
      <c r="T50" s="17"/>
      <c r="U50" s="17"/>
      <c r="V50" s="274"/>
      <c r="W50" s="132" t="s">
        <v>8</v>
      </c>
      <c r="X50" s="163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0.79949351794725365</v>
      </c>
      <c r="Y50" s="17" t="s">
        <v>9</v>
      </c>
      <c r="Z50" s="233">
        <f>IF($X$50="N/A",
           "N/A",
             $X$50/0.264172)</f>
        <v>3.0264127838955437</v>
      </c>
      <c r="AA50" s="136" t="s">
        <v>249</v>
      </c>
      <c r="AB50" s="17"/>
      <c r="AD50" s="83" t="s">
        <v>277</v>
      </c>
    </row>
    <row r="51" spans="1:30" ht="25" customHeight="1">
      <c r="A51" s="140" t="s">
        <v>46</v>
      </c>
      <c r="B51" s="141" t="s">
        <v>19</v>
      </c>
      <c r="C51" s="141">
        <v>490</v>
      </c>
      <c r="D51" s="142">
        <v>96</v>
      </c>
      <c r="E51" s="141">
        <v>6.6849999999999996</v>
      </c>
      <c r="F51" s="141">
        <v>1000</v>
      </c>
      <c r="G51" s="141">
        <f>IF($B$44=$B51,Input!$D$12,IF($B$45=B51,Input!$D$12,50))</f>
        <v>50</v>
      </c>
      <c r="H51" s="143">
        <f t="shared" si="2"/>
        <v>29.688760463523831</v>
      </c>
      <c r="I51" s="144">
        <v>1</v>
      </c>
      <c r="J51" s="145">
        <f t="shared" si="0"/>
        <v>0.57856729319630429</v>
      </c>
      <c r="K51" s="143">
        <f t="shared" si="1"/>
        <v>0.59377520927047667</v>
      </c>
      <c r="L51" s="145">
        <f t="shared" si="3"/>
        <v>2.4617599999999999</v>
      </c>
      <c r="M51" s="146">
        <v>55</v>
      </c>
      <c r="N51" s="141">
        <v>1.1599999999999999</v>
      </c>
      <c r="O51" s="17">
        <v>18</v>
      </c>
      <c r="P51" s="17"/>
      <c r="Q51" s="17"/>
      <c r="R51" s="17"/>
      <c r="S51" s="17"/>
      <c r="T51" s="17"/>
      <c r="U51" s="17"/>
      <c r="V51" s="274"/>
      <c r="W51" s="132" t="s">
        <v>10</v>
      </c>
      <c r="X51" s="154">
        <f>IF($B$45=0,
IF($X$49=$B$44,"N/A",3.14*VLOOKUP($B$44,$B$48:$N$69,3,FALSE)/1000*$X$49/60),
3.14*VLOOKUP($B$45,$B$48:$N$69,3,FALSE)/1000*$X$49/60)</f>
        <v>4.4875833333333333</v>
      </c>
      <c r="Y51" s="231" t="s">
        <v>11</v>
      </c>
      <c r="Z51" s="234">
        <f>IF($X$51="N/A",
           "N/A",
            $X$51*196.85)</f>
        <v>883.38077916666657</v>
      </c>
      <c r="AA51" s="136" t="s">
        <v>250</v>
      </c>
      <c r="AB51" s="17"/>
      <c r="AD51" s="83"/>
    </row>
    <row r="52" spans="1:30" ht="32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>
        <v>32</v>
      </c>
      <c r="P52" s="17"/>
      <c r="Q52" s="17"/>
      <c r="R52" s="17"/>
      <c r="S52" s="17"/>
      <c r="T52" s="17">
        <f>IF(LEN(X54)=3,"",
Input!$D$12/$X$60*3)</f>
        <v>1.0228993858863564</v>
      </c>
      <c r="U52" s="17"/>
      <c r="V52" s="274"/>
      <c r="W52" s="192" t="s">
        <v>403</v>
      </c>
      <c r="X52" s="229">
        <f>IF($X$54="N/A","N/A",
IF(LEN($X$54)=3,"",
MROUND(Input!$D$12/$X$60*3,0.05)))</f>
        <v>1</v>
      </c>
      <c r="Y52" s="17" t="s">
        <v>275</v>
      </c>
      <c r="Z52" s="236">
        <f>$X$52</f>
        <v>1</v>
      </c>
      <c r="AA52" s="27"/>
      <c r="AB52" s="17"/>
      <c r="AD52" s="83"/>
    </row>
    <row r="53" spans="1:30" ht="32">
      <c r="A53" s="140" t="s">
        <v>46</v>
      </c>
      <c r="B53" s="141" t="s">
        <v>20</v>
      </c>
      <c r="C53" s="141">
        <v>490</v>
      </c>
      <c r="D53" s="142">
        <v>117</v>
      </c>
      <c r="E53" s="141">
        <v>6.6849999999999996</v>
      </c>
      <c r="F53" s="141">
        <v>1000</v>
      </c>
      <c r="G53" s="141">
        <f>IF($B$44=$B53,Input!$D$12,IF($B$45=B53,Input!$D$12,250))</f>
        <v>250</v>
      </c>
      <c r="H53" s="143">
        <f t="shared" si="2"/>
        <v>79.829830888638114</v>
      </c>
      <c r="I53" s="144">
        <v>2</v>
      </c>
      <c r="J53" s="145">
        <f t="shared" si="0"/>
        <v>1.5557041941951129</v>
      </c>
      <c r="K53" s="143">
        <f t="shared" si="1"/>
        <v>0.31931932355455245</v>
      </c>
      <c r="L53" s="145">
        <f t="shared" si="3"/>
        <v>3.00027</v>
      </c>
      <c r="M53" s="146">
        <v>94</v>
      </c>
      <c r="N53" s="141">
        <v>1.1499999999999999</v>
      </c>
      <c r="O53" s="17">
        <v>32</v>
      </c>
      <c r="P53" s="17"/>
      <c r="Q53" s="17"/>
      <c r="R53" s="52"/>
      <c r="S53" s="17"/>
      <c r="T53" s="17"/>
      <c r="U53" s="17"/>
      <c r="V53" s="274"/>
      <c r="W53" s="192" t="s">
        <v>404</v>
      </c>
      <c r="X53" s="229">
        <f>IF($X$54="N/A","N/A",
MROUND(Input!$D$12/$X$60*5,0.05))</f>
        <v>1.7000000000000002</v>
      </c>
      <c r="Y53" s="17" t="s">
        <v>275</v>
      </c>
      <c r="Z53" s="236">
        <f>$X$53</f>
        <v>1.7000000000000002</v>
      </c>
      <c r="AA53" s="27"/>
      <c r="AB53" s="17"/>
      <c r="AD53" s="83"/>
    </row>
    <row r="54" spans="1:30" ht="33" thickBot="1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17">
        <v>32</v>
      </c>
      <c r="P54" s="17"/>
      <c r="Q54" s="17"/>
      <c r="R54" s="17"/>
      <c r="S54" s="17"/>
      <c r="T54" s="17"/>
      <c r="U54" s="17"/>
      <c r="V54" s="274"/>
      <c r="W54" s="153" t="s">
        <v>263</v>
      </c>
      <c r="X54" s="235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1min - 1min 40s</v>
      </c>
      <c r="Y54" s="59"/>
      <c r="Z54" s="156" t="str">
        <f>X54</f>
        <v>1min - 1min 40s</v>
      </c>
      <c r="AA54" s="29"/>
      <c r="AB54" s="17"/>
      <c r="AD54" s="83"/>
    </row>
    <row r="55" spans="1:30" ht="33.75" customHeight="1">
      <c r="A55" s="140" t="s">
        <v>46</v>
      </c>
      <c r="B55" s="141" t="s">
        <v>21</v>
      </c>
      <c r="C55" s="141">
        <v>490</v>
      </c>
      <c r="D55" s="142">
        <v>148</v>
      </c>
      <c r="E55" s="141">
        <v>6.6849999999999996</v>
      </c>
      <c r="F55" s="141">
        <v>1000</v>
      </c>
      <c r="G55" s="141">
        <f>IF($B$44=$B55,Input!$D$12,IF($B$45=B55,Input!$D$12,850))</f>
        <v>850</v>
      </c>
      <c r="H55" s="143">
        <f t="shared" si="2"/>
        <v>258.5499615410568</v>
      </c>
      <c r="I55" s="144">
        <v>6</v>
      </c>
      <c r="J55" s="147">
        <f t="shared" si="0"/>
        <v>5.038558332154186</v>
      </c>
      <c r="K55" s="143">
        <f t="shared" si="1"/>
        <v>0.30417642534241979</v>
      </c>
      <c r="L55" s="145">
        <f t="shared" si="3"/>
        <v>3.7952133333333338</v>
      </c>
      <c r="M55" s="146">
        <v>94</v>
      </c>
      <c r="N55" s="141">
        <v>1.1000000000000001</v>
      </c>
      <c r="O55" s="17">
        <v>32</v>
      </c>
      <c r="P55" s="17"/>
      <c r="Q55" s="17"/>
      <c r="R55" s="17"/>
      <c r="S55" s="17"/>
      <c r="T55" s="17"/>
      <c r="U55" s="17"/>
      <c r="V55" s="274" t="s">
        <v>255</v>
      </c>
      <c r="W55" s="131" t="s">
        <v>258</v>
      </c>
      <c r="X55" s="186">
        <f>IF(Input!$E$27=0,$X$49,Input!$E$27)</f>
        <v>245</v>
      </c>
      <c r="Y55" s="85" t="s">
        <v>248</v>
      </c>
      <c r="Z55" s="187">
        <f>$X$55</f>
        <v>245</v>
      </c>
      <c r="AA55" s="136" t="s">
        <v>248</v>
      </c>
      <c r="AB55" s="17"/>
      <c r="AD55" s="83"/>
    </row>
    <row r="56" spans="1:30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>
        <v>32</v>
      </c>
      <c r="P56" s="17"/>
      <c r="Q56" s="17"/>
      <c r="R56" s="17"/>
      <c r="S56" s="17"/>
      <c r="T56" s="162"/>
      <c r="U56" s="17"/>
      <c r="V56" s="274"/>
      <c r="W56" s="132" t="s">
        <v>8</v>
      </c>
      <c r="X56" s="180">
        <f>IF($B$45=0,
IF($B$44=$X$49,"N/A",(VLOOKUP($B$44,ZG!$B$48:$N$69,4,FALSE)*Input!$D$14*($X$55/60)^3*(((VLOOKUP($B$44,ZG!$B$48:$N$69,3,FALSE))/1000)^5)/Input!$D$12)),
(VLOOKUP($B$45,ZG!$B$48:$N$69,4,FALSE)*Input!$D$14*($X$55/60)^3*(((VLOOKUP($B$45,ZG!$B$48:$N$69,3,FALSE))/1000)^5)/Input!$D$12))</f>
        <v>0.79949351794725365</v>
      </c>
      <c r="Y56" s="85" t="s">
        <v>9</v>
      </c>
      <c r="Z56" s="183">
        <f>IF($X$56="N/A",
           "N/A",
            $X$56/0.264172)</f>
        <v>3.0264127838955437</v>
      </c>
      <c r="AA56" s="136" t="s">
        <v>249</v>
      </c>
      <c r="AB56" s="17"/>
      <c r="AD56" s="83"/>
    </row>
    <row r="57" spans="1:30">
      <c r="A57" s="140" t="s">
        <v>46</v>
      </c>
      <c r="B57" s="141" t="s">
        <v>22</v>
      </c>
      <c r="C57" s="141">
        <v>490</v>
      </c>
      <c r="D57" s="142">
        <v>160</v>
      </c>
      <c r="E57" s="141">
        <v>6.6849999999999996</v>
      </c>
      <c r="F57" s="141">
        <v>1000</v>
      </c>
      <c r="G57" s="141">
        <f>IF($B$44=$B57,Input!$D$12,IF($B$45=B57,Input!$D$12,1000))</f>
        <v>1000</v>
      </c>
      <c r="H57" s="143">
        <f t="shared" si="2"/>
        <v>381.79990308029613</v>
      </c>
      <c r="I57" s="144">
        <v>8</v>
      </c>
      <c r="J57" s="147">
        <f t="shared" si="0"/>
        <v>7.4404230092117292</v>
      </c>
      <c r="K57" s="143">
        <f t="shared" si="1"/>
        <v>0.38179990308029615</v>
      </c>
      <c r="L57" s="145">
        <f t="shared" si="3"/>
        <v>4.1029333333333344</v>
      </c>
      <c r="M57" s="146">
        <v>104</v>
      </c>
      <c r="N57" s="141">
        <v>1</v>
      </c>
      <c r="O57" s="17">
        <v>32</v>
      </c>
      <c r="P57" s="17"/>
      <c r="Q57" s="17"/>
      <c r="R57" s="17"/>
      <c r="S57" s="17"/>
      <c r="T57" s="17"/>
      <c r="U57" s="17"/>
      <c r="V57" s="274"/>
      <c r="W57" s="132" t="s">
        <v>259</v>
      </c>
      <c r="X57" s="181">
        <f>IF($B$45=0,
IF($X$49=$B$44,"N/A",3.14*VLOOKUP($B$44,$B$48:$N$69,3,FALSE)/1000*$X$55/60),
3.14*VLOOKUP($B$45,$B$48:$N$69,3,FALSE)/1000*$X$55/60)</f>
        <v>4.4875833333333333</v>
      </c>
      <c r="Y57" s="136" t="s">
        <v>11</v>
      </c>
      <c r="Z57" s="184">
        <f>IF($X$57="N/A",
           "N/A",
            $X$57*196.85)</f>
        <v>883.38077916666657</v>
      </c>
      <c r="AA57" s="136" t="s">
        <v>250</v>
      </c>
      <c r="AB57" s="17"/>
      <c r="AD57" s="83"/>
    </row>
    <row r="58" spans="1:30" ht="33" thickBot="1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17">
        <v>32</v>
      </c>
      <c r="P58" s="17"/>
      <c r="Q58" s="17"/>
      <c r="R58" s="17"/>
      <c r="S58" s="17"/>
      <c r="T58" s="17"/>
      <c r="U58" s="17"/>
      <c r="V58" s="274"/>
      <c r="W58" s="153" t="s">
        <v>264</v>
      </c>
      <c r="X58" s="182" t="str">
        <f>IF(OR($X$60=0,$X$60="N/A"),
         "N/A",
           IF(Input!$D$12/$X$61*5&lt;0.5,
                    0.5,
                    CONCATENATE(MROUND(Input!$D$12/$X$61*3,0.5)," - ",MROUND(Input!$D$12/$X$61*5,0.5))))</f>
        <v>1 - 1,5</v>
      </c>
      <c r="Y58" s="137" t="s">
        <v>275</v>
      </c>
      <c r="Z58" s="185" t="str">
        <f>$X$58</f>
        <v>1 - 1,5</v>
      </c>
      <c r="AA58" s="94" t="s">
        <v>275</v>
      </c>
      <c r="AB58" s="17"/>
      <c r="AD58" s="83"/>
    </row>
    <row r="59" spans="1:30">
      <c r="A59" s="140" t="s">
        <v>46</v>
      </c>
      <c r="B59" s="141" t="s">
        <v>23</v>
      </c>
      <c r="C59" s="141">
        <v>490</v>
      </c>
      <c r="D59" s="142">
        <v>177</v>
      </c>
      <c r="E59" s="141">
        <v>6.6849999999999996</v>
      </c>
      <c r="F59" s="141">
        <v>1000</v>
      </c>
      <c r="G59" s="141">
        <f>IF($B$44=$B59,Input!$D$12,IF($B$45=B59,Input!$D$12,2000))</f>
        <v>2000</v>
      </c>
      <c r="H59" s="143">
        <f t="shared" si="2"/>
        <v>632.56073780547626</v>
      </c>
      <c r="I59" s="144">
        <v>13</v>
      </c>
      <c r="J59" s="147">
        <f t="shared" si="0"/>
        <v>12.327188745519372</v>
      </c>
      <c r="K59" s="143">
        <f t="shared" si="1"/>
        <v>0.31628036890273814</v>
      </c>
      <c r="L59" s="145">
        <f t="shared" si="3"/>
        <v>4.5388699999999993</v>
      </c>
      <c r="M59" s="146">
        <v>129.5</v>
      </c>
      <c r="N59" s="141">
        <v>1</v>
      </c>
      <c r="O59" s="17">
        <v>32</v>
      </c>
      <c r="P59" s="17"/>
      <c r="Q59" s="17"/>
      <c r="R59" s="17"/>
      <c r="S59" s="17"/>
      <c r="T59" s="52"/>
      <c r="U59" s="17"/>
      <c r="V59" s="17"/>
      <c r="W59" s="158" t="s">
        <v>233</v>
      </c>
      <c r="X59" s="158">
        <v>0.5</v>
      </c>
      <c r="Y59" s="158"/>
      <c r="Z59" s="158"/>
      <c r="AA59" s="158"/>
      <c r="AB59" s="17"/>
      <c r="AD59" s="83"/>
    </row>
    <row r="60" spans="1:30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17">
        <v>40</v>
      </c>
      <c r="P60" s="17"/>
      <c r="Q60" s="17"/>
      <c r="R60" s="17"/>
      <c r="S60" s="17"/>
      <c r="T60" s="17"/>
      <c r="U60" s="17"/>
      <c r="V60" s="17"/>
      <c r="W60" s="158" t="s">
        <v>261</v>
      </c>
      <c r="X60" s="158">
        <f>IF(AND($B$45=0,$B$44="N/A"),
          "N/A",
             IF($B$45=0,
IF($X$59*(10.74*(VLOOKUP($B$44,$B$48:$M$69,3,FALSE)/25.4)^2*$X$49*(Input!$D$14/1000)/Input!$D$15)&gt;=20000,1,IF($X$59*(10.74*(VLOOKUP($B$44,$B$48:$M$69,3,FALSE)/25.4)^2*$X$49*(Input!$D$14/1000)/Input!$D$15)&gt;=300,EXP(-5.328+1.683*LN($X$59*(10.74*(VLOOKUP($B$44,$B$48:$M$69,3,FALSE)/25.4)^2*$X$49*(Input!$D$14/1000)/Input!$D$15))-0.179*LN($X$59*(10.74*(VLOOKUP($B$44,$B$48:$M$69,3,FALSE)/25.4)^2*$X$49*(Input!$D$14/1000)/Input!$D$15))^2+0.0064*LN($X$59*(10.74*(VLOOKUP($B$44,$B$48:$M$69,3,FALSE)/25.4)^2*$X$49*(Input!$D$14/1000)/Input!$D$15))^3),IF($X$59*(10.74*(VLOOKUP($B$44,$B$48:$M$69,3,FALSE)/25.4)^2*$X$49*(Input!$D$14/1000)/Input!$D$15)&gt;25,EXP(-0.563-0.231*LN($X$59*(10.74*(VLOOKUP($B$44,$B$48:$M$69,3,FALSE)/25.4)^2*$X$49*(Input!$D$14/1000)/Input!$D$15))+0.0466*LN($X$59*(10.74*(VLOOKUP($B$44,$B$48:$M$69,3,FALSE)/25.4)^2*$X$49*(Input!$D$14/1000)/Input!$D$15))^2),0.439)))*VLOOKUP($B$44,$B$48:$N$69,13,FALSE)*$X$49*(VLOOKUP($B$44,$B$48:$M$69,3,FALSE)^3/1000000),
IF($X$59*(10.74*(VLOOKUP($B$45,$B$48:$M$69,3,FALSE)/25.4)^2*$X$49*(Input!$D$14/1000)/Input!$D$15)&gt;=20000,1,IF($X$59*(10.74*(VLOOKUP($B$45,$B$48:$M$69,3,FALSE)/25.4)^2*$X$49*(Input!$D$14/1000)/Input!$D$15)&gt;=300,EXP(-5.328+1.683*LN($X$59*(10.74*(VLOOKUP($B$45,$B$48:$M$69,3,FALSE)/25.4)^2*$X$49*(Input!$D$14/1000)/Input!$D$15))-0.179*LN($X$59*(10.74*(VLOOKUP($B$45,$B$48:$M$69,3,FALSE)/25.4)^2*$X$49*(Input!$D$14/1000)/Input!$D$15))^2+0.0064*LN($X$59*(10.74*(VLOOKUP($B$45,$B$48:$M$69,3,FALSE)/25.4)^2*$X$49*(Input!$D$14/1000)/Input!$D$15))^3),IF($X$59*(10.74*(VLOOKUP($B$45,$B$48:$M$69,3,FALSE)/25.4)^2*$X$49*(Input!$D$14/1000)/Input!$D$15)&gt;25,EXP(-0.563-0.231*LN($X$59*(10.74*(VLOOKUP($B$45,$B$48:$M$69,3,FALSE)/25.4)^2*$X$49*(Input!$D$14/1000)/Input!$D$15))+0.0466*LN($X$59*(10.74*(VLOOKUP($B$45,$B$48:$M$69,3,FALSE)/25.4)^2*$X$49*(Input!$D$14/1000)/Input!$D$15))^2),0.439)))*VLOOKUP($B$45,$B$48:$N$69,13,FALSE)*$X$49*(VLOOKUP($B$45,$B$48:$M$69,3,FALSE)^3/1000000)))</f>
        <v>8769.1909133637546</v>
      </c>
      <c r="Y60" s="158"/>
      <c r="Z60" s="158"/>
      <c r="AA60" s="158"/>
      <c r="AB60" s="17"/>
      <c r="AD60" s="83"/>
    </row>
    <row r="61" spans="1:30">
      <c r="A61" s="140" t="s">
        <v>46</v>
      </c>
      <c r="B61" s="141" t="s">
        <v>24</v>
      </c>
      <c r="C61" s="141">
        <v>343</v>
      </c>
      <c r="D61" s="142">
        <v>236</v>
      </c>
      <c r="E61" s="141">
        <v>6.6849999999999996</v>
      </c>
      <c r="F61" s="141">
        <v>1000</v>
      </c>
      <c r="G61" s="141">
        <f>IF($B$44=$B61,Input!$D$12,IF($B$45=B61,Input!$D$12,5000))</f>
        <v>5000</v>
      </c>
      <c r="H61" s="143">
        <f t="shared" si="2"/>
        <v>914.30276979791427</v>
      </c>
      <c r="I61" s="144">
        <v>26</v>
      </c>
      <c r="J61" s="148">
        <v>25.5</v>
      </c>
      <c r="K61" s="143">
        <f t="shared" si="1"/>
        <v>0.18286055395958287</v>
      </c>
      <c r="L61" s="145">
        <f t="shared" si="3"/>
        <v>4.2362786666666672</v>
      </c>
      <c r="M61" s="146">
        <v>159.5</v>
      </c>
      <c r="N61" s="141">
        <v>1</v>
      </c>
      <c r="O61" s="17">
        <v>40</v>
      </c>
      <c r="P61" s="17"/>
      <c r="Q61" s="17"/>
      <c r="R61" s="52"/>
      <c r="S61" s="17"/>
      <c r="T61" s="17"/>
      <c r="U61" s="17"/>
      <c r="V61" s="17"/>
      <c r="W61" s="158" t="s">
        <v>262</v>
      </c>
      <c r="X61" s="158">
        <f>IF(AND($B$45=0,$B$44="N/A"),
          "N/A",
             IF($B$45=0,
IF($X$59*(10.74*(VLOOKUP($B$44,$B$48:$M$69,3,FALSE)/25.4)^2*$X$55*(Input!$D$14/1000)/Input!$D$15)&gt;=20000,1,IF($X$59*(10.74*(VLOOKUP($B$44,$B$48:$M$69,3,FALSE)/25.4)^2*$X$55*(Input!$D$14/1000)/Input!$D$15)&gt;=300,EXP(-5.328+1.683*LN($X$59*(10.74*(VLOOKUP($B$44,$B$48:$M$69,3,FALSE)/25.4)^2*$X$55*(Input!$D$14/1000)/Input!$D$15))-0.179*LN($X$59*(10.74*(VLOOKUP($B$44,$B$48:$M$69,3,FALSE)/25.4)^2*$X$55*(Input!$D$14/1000)/Input!$D$15))^2+0.0064*LN($X$59*(10.74*(VLOOKUP($B$44,$B$48:$M$69,3,FALSE)/25.4)^2*$X$55*(Input!$D$14/1000)/Input!$D$15))^3),IF($X$59*(10.74*(VLOOKUP($B$44,$B$48:$M$69,3,FALSE)/25.4)^2*$X$55*(Input!$D$14/1000)/Input!$D$15)&gt;25,EXP(-0.563-0.231*LN($X$59*(10.74*(VLOOKUP($B$44,$B$48:$M$69,3,FALSE)/25.4)^2*$X$55*(Input!$D$14/1000)/Input!$D$15))+0.0466*LN($X$59*(10.74*(VLOOKUP($B$44,$B$48:$M$69,3,FALSE)/25.4)^2*$X$55*(Input!$D$14/1000)/Input!$D$15))^2),0.439)))*VLOOKUP($B$44,$B$48:$N$69,13,FALSE)*$X$55*(VLOOKUP($B$44,$B$48:$M$69,3,FALSE)^3/1000000),
IF($X$59*(10.74*(VLOOKUP($B$45,$B$48:$M$69,3,FALSE)/25.4)^2*$X$55*(Input!$D$14/1000)/Input!$D$15)&gt;=20000,1,IF($X$59*(10.74*(VLOOKUP($B$45,$B$48:$M$69,3,FALSE)/25.4)^2*$X$55*(Input!$D$14/1000)/Input!$D$15)&gt;=300,EXP(-5.328+1.683*LN($X$59*(10.74*(VLOOKUP($B$45,$B$48:$M$69,3,FALSE)/25.4)^2*$X$55*(Input!$D$14/1000)/Input!$D$15))-0.179*LN($X$59*(10.74*(VLOOKUP($B$45,$B$48:$M$69,3,FALSE)/25.4)^2*$X$55*(Input!$D$14/1000)/Input!$D$15))^2+0.0064*LN($X$59*(10.74*(VLOOKUP($B$45,$B$48:$M$69,3,FALSE)/25.4)^2*$X$55*(Input!$D$14/1000)/Input!$D$15))^3),IF($X$59*(10.74*(VLOOKUP($B$45,$B$48:$M$69,3,FALSE)/25.4)^2*$X$55*(Input!$D$14/1000)/Input!$D$15)&gt;25,EXP(-0.563-0.231*LN($X$59*(10.74*(VLOOKUP($B$45,$B$48:$M$69,3,FALSE)/25.4)^2*$X$55*(Input!$D$14/1000)/Input!$D$15))+0.0466*LN($X$59*(10.74*(VLOOKUP($B$45,$B$48:$M$69,3,FALSE)/25.4)^2*$X$55*(Input!$D$14/1000)/Input!$D$15))^2),0.439)))*VLOOKUP($B$45,$B$48:$N$69,13,FALSE)*$X$55*(VLOOKUP($B$45,$B$48:$M$69,3,FALSE)^3/1000000)))</f>
        <v>8769.1909133637546</v>
      </c>
      <c r="Y61" s="158"/>
      <c r="Z61" s="158"/>
      <c r="AA61" s="158"/>
      <c r="AB61" s="17"/>
      <c r="AD61" s="83"/>
    </row>
    <row r="62" spans="1:30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>
        <v>40</v>
      </c>
      <c r="P62" s="17"/>
      <c r="Q62" s="17"/>
      <c r="R62" s="17"/>
      <c r="S62" s="17"/>
      <c r="T62" s="17"/>
      <c r="U62" s="17"/>
      <c r="V62" s="17"/>
      <c r="W62" s="158" t="s">
        <v>396</v>
      </c>
      <c r="X62" s="158">
        <f>IF(OR($X$60=0,AND($B$45=0,$B$44="N/A")),
          "N/A",
           Input!$D$12/$X$60*3)</f>
        <v>1.0228993858863564</v>
      </c>
      <c r="Y62" s="158"/>
      <c r="Z62" s="158"/>
      <c r="AA62" s="158"/>
      <c r="AB62" s="17"/>
    </row>
    <row r="63" spans="1:30">
      <c r="A63" s="140" t="s">
        <v>46</v>
      </c>
      <c r="B63" s="141" t="s">
        <v>25</v>
      </c>
      <c r="C63" s="141">
        <v>245</v>
      </c>
      <c r="D63" s="142">
        <v>300</v>
      </c>
      <c r="E63" s="141">
        <v>6.6849999999999996</v>
      </c>
      <c r="F63" s="141">
        <v>1000</v>
      </c>
      <c r="G63" s="141">
        <f>IF($B$44=$B63,Input!$D$12,IF($B$45=B63,Input!$D$12,10000))</f>
        <v>10000</v>
      </c>
      <c r="H63" s="143">
        <f t="shared" si="2"/>
        <v>1105.9925132812496</v>
      </c>
      <c r="I63" s="144">
        <v>50</v>
      </c>
      <c r="J63" s="147">
        <f t="shared" si="0"/>
        <v>43.106622487031238</v>
      </c>
      <c r="K63" s="143">
        <f t="shared" si="1"/>
        <v>0.11059925132812495</v>
      </c>
      <c r="L63" s="145">
        <f t="shared" si="3"/>
        <v>3.8464999999999998</v>
      </c>
      <c r="M63" s="146">
        <v>199.5</v>
      </c>
      <c r="N63" s="141">
        <v>1.1499999999999999</v>
      </c>
      <c r="O63" s="17">
        <v>40</v>
      </c>
      <c r="P63" s="17"/>
      <c r="Q63" s="17"/>
      <c r="R63" s="52"/>
      <c r="S63" s="17"/>
      <c r="T63" s="17"/>
      <c r="U63" s="17"/>
      <c r="V63" s="17"/>
      <c r="W63" s="158" t="s">
        <v>397</v>
      </c>
      <c r="X63" s="158">
        <f>IF(OR($X$60=0,AND($B$45=0,$B$44="N/A")),
          "N/A",
            Input!$D$12/$X$60*5)</f>
        <v>1.7048323098105937</v>
      </c>
      <c r="Y63" s="158"/>
      <c r="Z63" s="158"/>
      <c r="AA63" s="158"/>
      <c r="AB63" s="17"/>
    </row>
    <row r="64" spans="1:30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2990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0.79949351794725365</v>
      </c>
      <c r="L64" s="104">
        <f t="shared" si="3"/>
        <v>4.4875833333333333</v>
      </c>
      <c r="M64" s="123">
        <v>229.5</v>
      </c>
      <c r="N64" s="35">
        <v>1.1499999999999999</v>
      </c>
      <c r="O64" s="17">
        <v>40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40" t="s">
        <v>46</v>
      </c>
      <c r="B65" s="141" t="s">
        <v>26</v>
      </c>
      <c r="C65" s="141">
        <v>245</v>
      </c>
      <c r="D65" s="142">
        <v>350</v>
      </c>
      <c r="E65" s="141">
        <v>6.6849999999999996</v>
      </c>
      <c r="F65" s="141">
        <v>1000</v>
      </c>
      <c r="G65" s="141">
        <f>IF($B$44=$B65,Input!$D$12,IF($B$45=B65,Input!$D$12,20000))</f>
        <v>2990</v>
      </c>
      <c r="H65" s="143">
        <f>$E65*$F65*($C65/60)^3*($D65/1000)^5</f>
        <v>2390.4856186622883</v>
      </c>
      <c r="I65" s="144">
        <v>100</v>
      </c>
      <c r="J65" s="147">
        <f>9549*H65/C65/1000</f>
        <v>93.170396622882407</v>
      </c>
      <c r="K65" s="143">
        <f>H65/G65</f>
        <v>0.79949351794725365</v>
      </c>
      <c r="L65" s="145">
        <f t="shared" si="3"/>
        <v>4.4875833333333333</v>
      </c>
      <c r="M65" s="146">
        <v>229.5</v>
      </c>
      <c r="N65" s="141">
        <v>1.1499999999999999</v>
      </c>
      <c r="O65" s="17">
        <v>40</v>
      </c>
      <c r="P65" s="17"/>
      <c r="Q65" s="17"/>
      <c r="R65" s="17"/>
      <c r="S65" s="17"/>
      <c r="T65" s="17"/>
      <c r="U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52"/>
      <c r="S66" s="17"/>
      <c r="T66" s="17"/>
      <c r="U66" s="17"/>
      <c r="V66" s="17"/>
      <c r="W66" s="159" t="str">
        <f>CONCATENATE("Tank Turnovers at ",Input!D15,"cP")</f>
        <v>Tank Turnovers at 700cP</v>
      </c>
      <c r="X66" s="133" t="s">
        <v>260</v>
      </c>
      <c r="Y66" s="135" t="s">
        <v>255</v>
      </c>
      <c r="Z66" s="135"/>
      <c r="AA66" s="17"/>
      <c r="AB66" s="17"/>
    </row>
    <row r="67" spans="1:28">
      <c r="A67" s="140" t="s">
        <v>46</v>
      </c>
      <c r="B67" s="141" t="s">
        <v>134</v>
      </c>
      <c r="C67" s="141">
        <v>245</v>
      </c>
      <c r="D67" s="142">
        <v>400</v>
      </c>
      <c r="E67" s="141">
        <v>6.6849999999999996</v>
      </c>
      <c r="F67" s="141">
        <v>1000</v>
      </c>
      <c r="G67" s="141">
        <f>IF($B$44=$B67,Input!$D$12,IF($B$45=B67,Input!$D$12,35000))</f>
        <v>35000</v>
      </c>
      <c r="H67" s="143">
        <f t="shared" si="4"/>
        <v>4660.643348148149</v>
      </c>
      <c r="I67" s="144"/>
      <c r="J67" s="147">
        <f t="shared" si="5"/>
        <v>181.65095237333335</v>
      </c>
      <c r="K67" s="143">
        <f t="shared" si="6"/>
        <v>0.13316123851851855</v>
      </c>
      <c r="L67" s="145">
        <f t="shared" si="7"/>
        <v>5.1286666666666667</v>
      </c>
      <c r="M67" s="146">
        <v>249.5</v>
      </c>
      <c r="N67" s="141"/>
      <c r="O67" s="17"/>
      <c r="P67" s="17"/>
      <c r="Q67" s="17"/>
      <c r="R67" s="17"/>
      <c r="S67" s="17"/>
      <c r="T67" s="17"/>
      <c r="U67" s="17"/>
      <c r="V67" s="17"/>
      <c r="W67" s="160">
        <v>0</v>
      </c>
      <c r="X67" s="161">
        <f>IF(OR($X$60=0,$X$60="N/A"),
           "N/A",
              Input!$D$12/$X$60*$W67)</f>
        <v>0</v>
      </c>
      <c r="Y67" s="179">
        <f>IF(OR($X$61=0,$X$61="N/A"),
         "N/A",
           Input!$D$12/$X$61*$W67)</f>
        <v>0</v>
      </c>
      <c r="Z67" s="88"/>
      <c r="AA67" s="17"/>
      <c r="AB67" s="17"/>
    </row>
    <row r="68" spans="1:28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92"/>
      <c r="R68" s="17"/>
      <c r="S68" s="17"/>
      <c r="T68" s="17"/>
      <c r="U68" s="17"/>
      <c r="V68" s="17"/>
      <c r="W68" s="160">
        <v>1</v>
      </c>
      <c r="X68" s="161">
        <f>IF(OR($X$60=0,$X$60="N/A"),
           "N/A",
              Input!$D$12/$X$60*$W68)</f>
        <v>0.34096646196211877</v>
      </c>
      <c r="Y68" s="179">
        <f>IF(OR($X$61=0,$X$61="N/A"),
         "N/A",
           Input!$D$12/$X$61*$W68)</f>
        <v>0.34096646196211877</v>
      </c>
      <c r="Z68" s="46"/>
      <c r="AA68" s="17"/>
      <c r="AB68" s="17"/>
    </row>
    <row r="69" spans="1:28">
      <c r="A69" s="140" t="s">
        <v>46</v>
      </c>
      <c r="B69" s="141" t="s">
        <v>135</v>
      </c>
      <c r="C69" s="141">
        <v>245</v>
      </c>
      <c r="D69" s="142">
        <v>450</v>
      </c>
      <c r="E69" s="141">
        <v>6.6849999999999996</v>
      </c>
      <c r="F69" s="141">
        <v>1000</v>
      </c>
      <c r="G69" s="141">
        <f>IF($B$44=$B69,Input!$D$12,IF($B$45=B69,Input!$D$12,60000))</f>
        <v>60000</v>
      </c>
      <c r="H69" s="143">
        <f t="shared" si="4"/>
        <v>8398.6306477294911</v>
      </c>
      <c r="I69" s="144"/>
      <c r="J69" s="147">
        <f t="shared" si="5"/>
        <v>327.34091451089353</v>
      </c>
      <c r="K69" s="143">
        <f t="shared" si="6"/>
        <v>0.13997717746215818</v>
      </c>
      <c r="L69" s="145">
        <f t="shared" si="7"/>
        <v>5.7697500000000002</v>
      </c>
      <c r="M69" s="146">
        <v>249.5</v>
      </c>
      <c r="N69" s="141"/>
      <c r="O69" s="17"/>
      <c r="P69" s="17"/>
      <c r="Q69" s="17"/>
      <c r="R69" s="17"/>
      <c r="S69" s="17"/>
      <c r="T69" s="17"/>
      <c r="U69" s="17"/>
      <c r="V69" s="17"/>
      <c r="W69" s="160">
        <v>2</v>
      </c>
      <c r="X69" s="161">
        <f>IF(OR($X$60=0,$X$60="N/A"),
           "N/A",
              Input!$D$12/$X$60*$W69)</f>
        <v>0.68193292392423754</v>
      </c>
      <c r="Y69" s="179">
        <f>IF(OR($X$61=0,$X$61="N/A"),
         "N/A",
           Input!$D$12/$X$61*$W69)</f>
        <v>0.68193292392423754</v>
      </c>
      <c r="Z69" s="17"/>
      <c r="AA69" s="17"/>
      <c r="AB69" s="17"/>
    </row>
    <row r="70" spans="1:28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0">
        <v>3</v>
      </c>
      <c r="X70" s="161">
        <f>IF(OR($X$60=0,$X$60="N/A"),
           "N/A",
              Input!$D$12/$X$60*$W70)</f>
        <v>1.0228993858863564</v>
      </c>
      <c r="Y70" s="179">
        <f>IF(OR($X$61=0,$X$61="N/A"),
         "N/A",
           Input!$D$12/$X$61*$W70)</f>
        <v>1.0228993858863564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0">
        <v>4</v>
      </c>
      <c r="X71" s="161">
        <f>IF(OR($X$60=0,$X$60="N/A"),
           "N/A",
              Input!$D$12/$X$60*$W71)</f>
        <v>1.3638658478484751</v>
      </c>
      <c r="Y71" s="179">
        <f>IF(OR($X$61=0,$X$61="N/A"),
         "N/A",
           Input!$D$12/$X$61*$W71)</f>
        <v>1.3638658478484751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0">
        <v>5</v>
      </c>
      <c r="X72" s="161">
        <f>IF(OR($X$60=0,$X$60="N/A"),
           "N/A",
              Input!$D$12/$X$60*$W72)</f>
        <v>1.7048323098105937</v>
      </c>
      <c r="Y72" s="179">
        <f>IF(OR($X$61=0,$X$61="N/A"),
         "N/A",
           Input!$D$12/$X$61*$W72)</f>
        <v>1.7048323098105937</v>
      </c>
      <c r="Z72" s="17"/>
      <c r="AA72" s="17"/>
      <c r="AB72" s="17"/>
    </row>
    <row r="73" spans="1:28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0">
        <v>6</v>
      </c>
      <c r="X73" s="161">
        <f>IF(OR($X$60=0,$X$60="N/A"),
           "N/A",
              Input!$D$12/$X$60*$W73)</f>
        <v>2.0457987717727129</v>
      </c>
      <c r="Y73" s="179">
        <f>IF(OR($X$61=0,$X$61="N/A"),
         "N/A",
           Input!$D$12/$X$61*$W73)</f>
        <v>2.0457987717727129</v>
      </c>
      <c r="Z73" s="17"/>
      <c r="AA73" s="17"/>
      <c r="AB73" s="17"/>
    </row>
    <row r="74" spans="1:28">
      <c r="A74" s="17"/>
      <c r="B74" s="17"/>
      <c r="D74" s="17"/>
      <c r="E74" s="162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60">
        <v>7</v>
      </c>
      <c r="X74" s="161">
        <f>IF(OR($X$60=0,$X$60="N/A"),
           "N/A",
              Input!$D$12/$X$60*$W74)</f>
        <v>2.3867652337348315</v>
      </c>
      <c r="Y74" s="179">
        <f>IF(OR($X$61=0,$X$61="N/A"),
         "N/A",
           Input!$D$12/$X$61*$W74)</f>
        <v>2.3867652337348315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S75" s="17"/>
      <c r="T75" s="17"/>
      <c r="U75" s="17"/>
      <c r="V75" s="17"/>
      <c r="W75" s="160">
        <v>8</v>
      </c>
      <c r="X75" s="161">
        <f>IF(OR($X$60=0,$X$60="N/A"),
           "N/A",
              Input!$D$12/$X$60*$W75)</f>
        <v>2.7277316956969502</v>
      </c>
      <c r="Y75" s="179">
        <f>IF(OR($X$61=0,$X$61="N/A"),
         "N/A",
           Input!$D$12/$X$61*$W75)</f>
        <v>2.7277316956969502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60">
        <v>9</v>
      </c>
      <c r="X76" s="161">
        <f>IF(OR($X$60=0,$X$60="N/A"),
           "N/A",
              Input!$D$12/$X$60*$W76)</f>
        <v>3.0686981576590688</v>
      </c>
      <c r="Y76" s="179">
        <f>IF(OR($X$61=0,$X$61="N/A"),
         "N/A",
           Input!$D$12/$X$61*$W76)</f>
        <v>3.0686981576590688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60">
        <v>10</v>
      </c>
      <c r="X77" s="161">
        <f>IF(OR($X$60=0,$X$60="N/A"),
           "N/A",
              Input!$D$12/$X$60*$W77)</f>
        <v>3.4096646196211875</v>
      </c>
      <c r="Y77" s="179">
        <f>IF(OR($X$61=0,$X$61="N/A"),
         "N/A",
           Input!$D$12/$X$61*$W77)</f>
        <v>3.4096646196211875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>
      <c r="X80" s="44"/>
      <c r="Z80" s="82"/>
    </row>
    <row r="81" spans="4:26">
      <c r="X81" s="79"/>
      <c r="Z81" s="83"/>
    </row>
    <row r="83" spans="4:26">
      <c r="G83" s="83"/>
      <c r="H83" s="44"/>
      <c r="X83" s="83"/>
      <c r="Z83" s="83"/>
    </row>
    <row r="86" spans="4:26">
      <c r="X86" s="44"/>
      <c r="Z86" s="82"/>
    </row>
    <row r="87" spans="4:26">
      <c r="V87" s="53"/>
      <c r="X87" s="79"/>
      <c r="Z87" s="83"/>
    </row>
    <row r="88" spans="4:26">
      <c r="E88" s="44"/>
    </row>
    <row r="89" spans="4:26">
      <c r="D89" s="44"/>
      <c r="X89" s="83"/>
      <c r="Z89" s="83"/>
    </row>
    <row r="92" spans="4:26">
      <c r="E92" s="44"/>
    </row>
    <row r="97" spans="3:13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48:V54"/>
    <mergeCell ref="X65:Y65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55:V58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37" workbookViewId="0">
      <selection activeCell="AA44" sqref="AA44"/>
    </sheetView>
  </sheetViews>
  <sheetFormatPr baseColWidth="10" defaultColWidth="8.83203125" defaultRowHeight="15"/>
  <cols>
    <col min="1" max="1" width="20.33203125" bestFit="1" customWidth="1"/>
    <col min="2" max="2" width="12.6640625" bestFit="1" customWidth="1"/>
    <col min="4" max="4" width="9.83203125" bestFit="1" customWidth="1"/>
    <col min="11" max="11" width="15" bestFit="1" customWidth="1"/>
    <col min="15" max="15" width="12.6640625" bestFit="1" customWidth="1"/>
    <col min="18" max="19" width="0" hidden="1" customWidth="1"/>
    <col min="20" max="20" width="18.83203125" hidden="1" customWidth="1"/>
    <col min="21" max="21" width="0" hidden="1" customWidth="1"/>
    <col min="23" max="23" width="21.6640625" customWidth="1"/>
    <col min="24" max="26" width="12.6640625" bestFit="1" customWidth="1"/>
  </cols>
  <sheetData>
    <row r="1" spans="1:28" ht="16" thickBot="1">
      <c r="A1" s="18"/>
      <c r="B1" s="277"/>
      <c r="C1" s="278"/>
      <c r="D1" s="277"/>
      <c r="E1" s="278"/>
      <c r="F1" s="277"/>
      <c r="G1" s="27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277">
        <f>IF(Input!$D$13="Gentle",1.2,IF(Input!$D$13="Vigorous", 0.8,1))</f>
        <v>1</v>
      </c>
      <c r="G2" s="27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($B$2)*50</f>
        <v>50</v>
      </c>
      <c r="C6" s="21">
        <v>1</v>
      </c>
      <c r="D6" s="20">
        <f>($D$2)*850</f>
        <v>850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($B$2)*45.5</f>
        <v>45.5</v>
      </c>
      <c r="C7" s="23">
        <v>5</v>
      </c>
      <c r="D7" s="22">
        <f>($D$2)*773.5</f>
        <v>773.5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($B$2)*41.5</f>
        <v>41.5</v>
      </c>
      <c r="C8" s="23">
        <v>10</v>
      </c>
      <c r="D8" s="22">
        <f>($D$2)*705.5</f>
        <v>705.5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($B$2)*38.5</f>
        <v>38.5</v>
      </c>
      <c r="C9" s="23">
        <v>15</v>
      </c>
      <c r="D9" s="22">
        <f>($D$2)*654.5</f>
        <v>654.5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($B$2)*36</f>
        <v>36</v>
      </c>
      <c r="C10" s="23">
        <v>20</v>
      </c>
      <c r="D10" s="22">
        <f>($D$2)*612</f>
        <v>612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($B$2)*34</f>
        <v>34</v>
      </c>
      <c r="C11" s="23">
        <v>25</v>
      </c>
      <c r="D11" s="22">
        <f>($D$2)*578</f>
        <v>578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($B$2)*32.75</f>
        <v>32.75</v>
      </c>
      <c r="C12" s="23">
        <v>30</v>
      </c>
      <c r="D12" s="22">
        <f>($D$2)*556.75</f>
        <v>556.75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($B$2)*31.5</f>
        <v>31.5</v>
      </c>
      <c r="C13" s="23">
        <v>35</v>
      </c>
      <c r="D13" s="22">
        <f>($D$2)*535.5</f>
        <v>535.5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($B$2)*30.75</f>
        <v>30.75</v>
      </c>
      <c r="C14" s="23">
        <v>40</v>
      </c>
      <c r="D14" s="22">
        <f>($D$2)*522.75</f>
        <v>522.75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($B$2)*30</f>
        <v>30</v>
      </c>
      <c r="C15" s="23">
        <v>45</v>
      </c>
      <c r="D15" s="22">
        <f>($D$2)*510</f>
        <v>510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($B$2)*29.3</f>
        <v>29.3</v>
      </c>
      <c r="C16" s="23">
        <v>50</v>
      </c>
      <c r="D16" s="22">
        <f>($D$2)*498.1</f>
        <v>498.1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($B$2)*28.5</f>
        <v>28.5</v>
      </c>
      <c r="C17" s="23">
        <v>55</v>
      </c>
      <c r="D17" s="22">
        <f>($D$2)*484.5</f>
        <v>484.5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($B$2)*28</f>
        <v>28</v>
      </c>
      <c r="C18" s="23">
        <v>60</v>
      </c>
      <c r="D18" s="22">
        <f>($D$2)*476</f>
        <v>476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($B$2)*27.5</f>
        <v>27.5</v>
      </c>
      <c r="C19" s="23">
        <v>65</v>
      </c>
      <c r="D19" s="22">
        <f>($D$2)*467.5</f>
        <v>467.5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($B$2)*27</f>
        <v>27</v>
      </c>
      <c r="C20" s="23">
        <v>70</v>
      </c>
      <c r="D20" s="22">
        <f>($D$2)*459</f>
        <v>459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($B$2)*26.5</f>
        <v>26.5</v>
      </c>
      <c r="C21" s="23">
        <v>75</v>
      </c>
      <c r="D21" s="22">
        <f>($D$2)*450.5</f>
        <v>450.5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($B$2)*26</f>
        <v>26</v>
      </c>
      <c r="C22" s="23">
        <v>80</v>
      </c>
      <c r="D22" s="22">
        <f>($D$2)*442</f>
        <v>442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($B$2)*25.5</f>
        <v>25.5</v>
      </c>
      <c r="C23" s="23">
        <v>85</v>
      </c>
      <c r="D23" s="22">
        <f>($D$2)*433.5</f>
        <v>433.5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($B$2)*25</f>
        <v>25</v>
      </c>
      <c r="C24" s="23">
        <v>90</v>
      </c>
      <c r="D24" s="22">
        <f>($D$2)*425</f>
        <v>425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($B$2)*24.5</f>
        <v>24.5</v>
      </c>
      <c r="C25" s="23">
        <v>95</v>
      </c>
      <c r="D25" s="22">
        <f>($D$2)*416.5</f>
        <v>416.5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($B$2)*24.25</f>
        <v>24.25</v>
      </c>
      <c r="C26" s="23">
        <v>100</v>
      </c>
      <c r="D26" s="22">
        <f>($D$2)*412.25</f>
        <v>412.25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($B$2)*21.5</f>
        <v>21.5</v>
      </c>
      <c r="C27" s="23">
        <v>150</v>
      </c>
      <c r="D27" s="22">
        <f>($D$2)*365.5</f>
        <v>365.5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($B$2)*19.5</f>
        <v>19.5</v>
      </c>
      <c r="C28" s="23">
        <v>200</v>
      </c>
      <c r="D28" s="22">
        <f>($D$2)*331.5</f>
        <v>331.5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($B$2)*17.75</f>
        <v>17.75</v>
      </c>
      <c r="C29" s="23">
        <v>250</v>
      </c>
      <c r="D29" s="22">
        <f>($D$2)*301.75</f>
        <v>301.75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($B$2)*16</f>
        <v>16</v>
      </c>
      <c r="C30" s="23">
        <v>300</v>
      </c>
      <c r="D30" s="22">
        <f>($D$2)*272</f>
        <v>272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($B$2)*14.5</f>
        <v>14.5</v>
      </c>
      <c r="C31" s="23">
        <v>350</v>
      </c>
      <c r="D31" s="22">
        <f>($D$2)*246.5</f>
        <v>246.5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($B$2)*13</f>
        <v>13</v>
      </c>
      <c r="C32" s="23">
        <v>400</v>
      </c>
      <c r="D32" s="22">
        <f>($D$2)*221</f>
        <v>221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($B$2)*11.75</f>
        <v>11.75</v>
      </c>
      <c r="C33" s="23">
        <v>450</v>
      </c>
      <c r="D33" s="22">
        <f>($D$2)*199.75</f>
        <v>199.75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($B$2)*10.5</f>
        <v>10.5</v>
      </c>
      <c r="C34" s="23">
        <v>500</v>
      </c>
      <c r="D34" s="22">
        <f>($D$2)*178.5</f>
        <v>178.5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($B$2)*9.5</f>
        <v>9.5</v>
      </c>
      <c r="C35" s="23">
        <v>550</v>
      </c>
      <c r="D35" s="22">
        <f>($D$2)*161.5</f>
        <v>161.5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($B$2)*8.5</f>
        <v>8.5</v>
      </c>
      <c r="C36" s="23">
        <v>600</v>
      </c>
      <c r="D36" s="22">
        <f>($D$2)*144.5</f>
        <v>144.5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($B$2)*7.5</f>
        <v>7.5</v>
      </c>
      <c r="C37" s="23">
        <v>650</v>
      </c>
      <c r="D37" s="22">
        <f>($D$2)*127.5</f>
        <v>127.5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($B$2)*6.6</f>
        <v>6.6</v>
      </c>
      <c r="C38" s="23">
        <v>700</v>
      </c>
      <c r="D38" s="22">
        <f>($D$2)*112.2</f>
        <v>112.2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($B$2)*5.75</f>
        <v>5.75</v>
      </c>
      <c r="C39" s="23">
        <v>750</v>
      </c>
      <c r="D39" s="22">
        <f>($D$2)*97.75</f>
        <v>97.75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($B$2)*5</f>
        <v>5</v>
      </c>
      <c r="C40" s="25">
        <v>800</v>
      </c>
      <c r="D40" s="24">
        <f>($D$2)*85</f>
        <v>85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6.6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112.2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660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144</v>
      </c>
      <c r="N47" s="124" t="s">
        <v>234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5"/>
      <c r="O48" s="35"/>
      <c r="P48" s="102"/>
      <c r="Q48" s="17"/>
      <c r="R48" s="17"/>
      <c r="S48" s="17"/>
      <c r="T48" s="17"/>
      <c r="U48" s="17"/>
      <c r="V48" s="274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</row>
    <row r="49" spans="1:28">
      <c r="A49" s="140" t="s">
        <v>46</v>
      </c>
      <c r="B49" s="141" t="s">
        <v>79</v>
      </c>
      <c r="C49" s="141">
        <v>490</v>
      </c>
      <c r="D49" s="142">
        <v>96</v>
      </c>
      <c r="E49" s="141">
        <v>6.6849999999999996</v>
      </c>
      <c r="F49" s="141">
        <v>1000</v>
      </c>
      <c r="G49" s="141">
        <v>50</v>
      </c>
      <c r="H49" s="147">
        <f t="shared" ref="H49:H55" si="2">$E49*$F49*($C49/60)^3*($D49/1000)^5</f>
        <v>29.688760463523831</v>
      </c>
      <c r="I49" s="171">
        <v>1</v>
      </c>
      <c r="J49" s="145">
        <f t="shared" si="0"/>
        <v>0.57856729319630429</v>
      </c>
      <c r="K49" s="143">
        <f t="shared" si="1"/>
        <v>0.59377520927047667</v>
      </c>
      <c r="L49" s="145">
        <f t="shared" ref="L49:L55" si="3">3.14*$D49/1000*$C49/60</f>
        <v>2.4617599999999999</v>
      </c>
      <c r="M49" s="141">
        <v>55</v>
      </c>
      <c r="N49" s="195"/>
      <c r="O49" s="17"/>
      <c r="P49" s="17"/>
      <c r="Q49" s="17"/>
      <c r="R49" s="17"/>
      <c r="S49" s="17"/>
      <c r="T49" s="17"/>
      <c r="U49" s="17"/>
      <c r="V49" s="274"/>
      <c r="W49" s="131" t="s">
        <v>47</v>
      </c>
      <c r="X49" s="149" t="str" cm="1">
        <f t="array" ref="X49">IF($B$45=0,
IF($B$44="N/A","N/A",IF(Input!$D$14&lt;=1000,VLOOKUP($B$44,$B$48:$N$55,2,FALSE),ROUNDDOWN((SQRT((213500000000000000*(INDEX($B$48:$N$55,(MATCH($B$44,$B$48:$B$55,0)+1),9)))/(9.549*(INDEX($B$48:$N$55,(MATCH($B$44,$B$48:$B$55,0)),4))*((INDEX($B$48:$N$55,(MATCH($B$44,$B$48:$B$55,0)),5))/1000)*((INDEX($B$48:$N55,(MATCH($B$44,$B$48:$B$55,0)),3))^5)))),0))),
IF(Input!$D$14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N/A</v>
      </c>
      <c r="Y49" s="49" t="s">
        <v>248</v>
      </c>
      <c r="Z49" s="149" t="str">
        <f>$X$49</f>
        <v>N/A</v>
      </c>
      <c r="AA49" s="152" t="s">
        <v>248</v>
      </c>
      <c r="AB49" s="17"/>
    </row>
    <row r="50" spans="1:28">
      <c r="B50" s="3" t="s">
        <v>80</v>
      </c>
      <c r="C50" s="35">
        <v>490</v>
      </c>
      <c r="D50" s="36">
        <v>150</v>
      </c>
      <c r="E50" s="3">
        <v>6.6849999999999996</v>
      </c>
      <c r="F50" s="3">
        <f>IF($B$44=$B50,Input!$D$14,IF($B$45=$B50,Input!$D$14,1000))</f>
        <v>1000</v>
      </c>
      <c r="G50" s="3">
        <f>IF($B$44=$B50,Input!$D$12,IF($B$45=$B50,Input!$D$12,850))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195"/>
      <c r="O50" s="17"/>
      <c r="P50" s="17"/>
      <c r="Q50" s="17"/>
      <c r="R50" s="17"/>
      <c r="S50" s="17"/>
      <c r="T50" s="17"/>
      <c r="U50" s="17"/>
      <c r="V50" s="274"/>
      <c r="W50" s="132" t="s">
        <v>8</v>
      </c>
      <c r="X50" s="155" t="str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N/A</v>
      </c>
      <c r="Y50" s="85" t="s">
        <v>9</v>
      </c>
      <c r="Z50" s="150" t="str">
        <f>IF($X$50="N/A",
           "N/A",
             $X$50/0.264172)</f>
        <v>N/A</v>
      </c>
      <c r="AA50" s="136" t="s">
        <v>249</v>
      </c>
      <c r="AB50" s="17"/>
    </row>
    <row r="51" spans="1:28">
      <c r="A51" s="140" t="s">
        <v>46</v>
      </c>
      <c r="B51" s="141" t="s">
        <v>80</v>
      </c>
      <c r="C51" s="141">
        <v>490</v>
      </c>
      <c r="D51" s="142">
        <v>150</v>
      </c>
      <c r="E51" s="141">
        <v>6.6849999999999996</v>
      </c>
      <c r="F51" s="141">
        <v>1000</v>
      </c>
      <c r="G51" s="141">
        <v>850</v>
      </c>
      <c r="H51" s="147">
        <f t="shared" si="2"/>
        <v>276.49812832031239</v>
      </c>
      <c r="I51" s="144">
        <v>6</v>
      </c>
      <c r="J51" s="147">
        <f t="shared" si="0"/>
        <v>5.3883278108789048</v>
      </c>
      <c r="K51" s="143">
        <f t="shared" si="1"/>
        <v>0.32529191567095578</v>
      </c>
      <c r="L51" s="145">
        <f t="shared" si="3"/>
        <v>3.8464999999999998</v>
      </c>
      <c r="M51" s="141">
        <v>94</v>
      </c>
      <c r="N51" s="195"/>
      <c r="O51" s="17"/>
      <c r="P51" s="17"/>
      <c r="Q51" s="17"/>
      <c r="R51" s="17"/>
      <c r="S51" s="17"/>
      <c r="T51" s="17"/>
      <c r="U51" s="17"/>
      <c r="V51" s="274"/>
      <c r="W51" s="132" t="s">
        <v>10</v>
      </c>
      <c r="X51" s="154" t="str">
        <f>IF($B$45=0,
IF($X$49=$B$44,"N/A",3.14*VLOOKUP($B$44,$B$48:$N$55,3,FALSE)/1000*$X$49/60),
3.14*VLOOKUP($B$45,$B$48:$N$55,3,FALSE)/1000*$X$49/60)</f>
        <v>N/A</v>
      </c>
      <c r="Y51" s="136" t="s">
        <v>11</v>
      </c>
      <c r="Z51" s="151" t="str">
        <f>IF($X$51="N/A",
           "N/A",
             $X$51*196.85)</f>
        <v>N/A</v>
      </c>
      <c r="AA51" s="136" t="s">
        <v>250</v>
      </c>
      <c r="AB51" s="17"/>
    </row>
    <row r="52" spans="1:28" ht="32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5"/>
      <c r="O52" s="17"/>
      <c r="P52" s="17"/>
      <c r="Q52" s="17"/>
      <c r="R52" s="17"/>
      <c r="S52" s="17"/>
      <c r="T52" s="17"/>
      <c r="U52" s="17"/>
      <c r="V52" s="274"/>
      <c r="W52" s="192" t="s">
        <v>403</v>
      </c>
      <c r="X52" s="229" t="str">
        <f>IF($X$54="N/A","N/A",
IF(LEN($X$54)=3,"",
MROUND(Input!$D$12/$X$60*3,0.05)))</f>
        <v>N/A</v>
      </c>
      <c r="Y52" s="17" t="s">
        <v>275</v>
      </c>
      <c r="Z52" s="236" t="str">
        <f>$X$52</f>
        <v>N/A</v>
      </c>
      <c r="AA52" s="27"/>
      <c r="AB52" s="17"/>
    </row>
    <row r="53" spans="1:28" ht="32">
      <c r="A53" s="140" t="s">
        <v>46</v>
      </c>
      <c r="B53" s="141" t="s">
        <v>119</v>
      </c>
      <c r="C53" s="141">
        <v>490</v>
      </c>
      <c r="D53" s="142">
        <v>177</v>
      </c>
      <c r="E53" s="141">
        <v>6.6849999999999996</v>
      </c>
      <c r="F53" s="141">
        <v>1000</v>
      </c>
      <c r="G53" s="141">
        <v>2000</v>
      </c>
      <c r="H53" s="147">
        <f t="shared" si="2"/>
        <v>632.56073780547626</v>
      </c>
      <c r="I53" s="144">
        <v>13</v>
      </c>
      <c r="J53" s="147">
        <f t="shared" si="0"/>
        <v>12.327188745519372</v>
      </c>
      <c r="K53" s="143">
        <f t="shared" si="1"/>
        <v>0.31628036890273814</v>
      </c>
      <c r="L53" s="145">
        <f t="shared" si="3"/>
        <v>4.5388699999999993</v>
      </c>
      <c r="M53" s="141">
        <v>129.5</v>
      </c>
      <c r="N53" s="195"/>
      <c r="O53" s="17"/>
      <c r="P53" s="17"/>
      <c r="Q53" s="17"/>
      <c r="R53" s="17"/>
      <c r="S53" s="17"/>
      <c r="T53" s="17"/>
      <c r="U53" s="17"/>
      <c r="V53" s="274"/>
      <c r="W53" s="192" t="s">
        <v>404</v>
      </c>
      <c r="X53" s="229" t="str">
        <f>IF($X$54="N/A","N/A",
MROUND(Input!$D$12/$X$60*5,0.05))</f>
        <v>N/A</v>
      </c>
      <c r="Y53" s="17" t="s">
        <v>275</v>
      </c>
      <c r="Z53" s="236" t="str">
        <f>$X$53</f>
        <v>N/A</v>
      </c>
      <c r="AA53" s="27"/>
      <c r="AB53" s="17"/>
    </row>
    <row r="54" spans="1:28" ht="33" thickBot="1">
      <c r="B54" s="3" t="s">
        <v>81</v>
      </c>
      <c r="C54" s="3">
        <v>343</v>
      </c>
      <c r="D54" s="36">
        <v>236</v>
      </c>
      <c r="E54" s="3">
        <v>6.6849999999999996</v>
      </c>
      <c r="F54" s="3">
        <f>IF($B$44=$B54,Input!$D$14,IF($B$45=$B54,Input!$D$14,1000))</f>
        <v>1000</v>
      </c>
      <c r="G54" s="3">
        <f>IF($B$44=$B54,Input!$D$12,IF($B$45=$B54,Input!$D$12,5000))</f>
        <v>5000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0.18286055395958287</v>
      </c>
      <c r="L54" s="104">
        <f t="shared" si="3"/>
        <v>4.2362786666666672</v>
      </c>
      <c r="M54" s="35">
        <v>159.5</v>
      </c>
      <c r="N54" s="195"/>
      <c r="O54" s="17"/>
      <c r="P54" s="17"/>
      <c r="Q54" s="17"/>
      <c r="R54" s="17"/>
      <c r="S54" s="17"/>
      <c r="T54" s="17"/>
      <c r="U54" s="17"/>
      <c r="V54" s="274"/>
      <c r="W54" s="153" t="s">
        <v>263</v>
      </c>
      <c r="X54" s="235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N/A</v>
      </c>
      <c r="Y54" s="29"/>
      <c r="Z54" s="156" t="str">
        <f>$X$54</f>
        <v>N/A</v>
      </c>
      <c r="AA54" s="29"/>
      <c r="AB54" s="17"/>
    </row>
    <row r="55" spans="1:28" ht="62.25" customHeight="1">
      <c r="A55" s="140" t="s">
        <v>46</v>
      </c>
      <c r="B55" s="141" t="s">
        <v>81</v>
      </c>
      <c r="C55" s="141">
        <v>343</v>
      </c>
      <c r="D55" s="142">
        <v>236</v>
      </c>
      <c r="E55" s="141">
        <v>6.6849999999999996</v>
      </c>
      <c r="F55" s="141">
        <v>1000</v>
      </c>
      <c r="G55" s="141">
        <v>5000</v>
      </c>
      <c r="H55" s="147">
        <f t="shared" si="2"/>
        <v>914.30276979791427</v>
      </c>
      <c r="I55" s="144">
        <v>26</v>
      </c>
      <c r="J55" s="148">
        <f t="shared" si="0"/>
        <v>25.453869238484792</v>
      </c>
      <c r="K55" s="143">
        <f t="shared" si="1"/>
        <v>0.18286055395958287</v>
      </c>
      <c r="L55" s="145">
        <f t="shared" si="3"/>
        <v>4.2362786666666672</v>
      </c>
      <c r="M55" s="141">
        <v>159.5</v>
      </c>
      <c r="N55" s="195"/>
      <c r="O55" s="17"/>
      <c r="P55" s="17"/>
      <c r="Q55" s="17"/>
      <c r="R55" s="17"/>
      <c r="S55" s="17"/>
      <c r="T55" s="17"/>
      <c r="U55" s="17"/>
      <c r="V55" s="274" t="s">
        <v>255</v>
      </c>
      <c r="W55" s="131" t="s">
        <v>258</v>
      </c>
      <c r="X55" s="186" t="str">
        <f>IF(Input!$E$28=0,$X$49,Input!$E$28)</f>
        <v>N/A</v>
      </c>
      <c r="Y55" s="85" t="s">
        <v>248</v>
      </c>
      <c r="Z55" s="187" t="str">
        <f>$X$55</f>
        <v>N/A</v>
      </c>
      <c r="AA55" s="136" t="s">
        <v>248</v>
      </c>
      <c r="AB55" s="17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74"/>
      <c r="W56" s="132" t="s">
        <v>8</v>
      </c>
      <c r="X56" s="180" t="str">
        <f>IF($B$45=0,
IF($B$44=$X$49,"N/A",(VLOOKUP($B$44,$B$48:$N$55,4,FALSE)*Input!$D$14*($X$55/60)^3*(((VLOOKUP($B$44,$B$48:$N$55,3,FALSE))/1000)^5)/Input!$D$12)),
(VLOOKUP($B$45,$B$48:$N$55,4,FALSE)*Input!$D$14*($X$55/60)^3*(((VLOOKUP($B$45,$B$48:$N$55,3,FALSE))/1000)^5)/Input!$D$12))</f>
        <v>N/A</v>
      </c>
      <c r="Y56" s="85" t="s">
        <v>9</v>
      </c>
      <c r="Z56" s="183" t="str">
        <f>IF($X$56="N/A",
           "N/A",
             $X$56/0.264172)</f>
        <v>N/A</v>
      </c>
      <c r="AA56" s="136" t="s">
        <v>249</v>
      </c>
      <c r="AB56" s="17"/>
    </row>
    <row r="57" spans="1:28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274"/>
      <c r="W57" s="132" t="s">
        <v>259</v>
      </c>
      <c r="X57" s="181" t="str">
        <f>IF($B$45=0,
IF($X$49=$B$44,"N/A",3.14*VLOOKUP($B$44,$B$48:$N$55,3,FALSE)/1000*$X$55/60),
3.14*VLOOKUP($B$45,$B$48:$N$55,3,FALSE)/1000*$X$55/60)</f>
        <v>N/A</v>
      </c>
      <c r="Y57" s="136" t="s">
        <v>11</v>
      </c>
      <c r="Z57" s="184" t="str">
        <f>IF($X$57="N/A",
           "N/A",
              $X$57*196.85)</f>
        <v>N/A</v>
      </c>
      <c r="AA57" s="136" t="s">
        <v>250</v>
      </c>
      <c r="AB57" s="17"/>
    </row>
    <row r="58" spans="1:28" ht="33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86"/>
      <c r="P58" s="17"/>
      <c r="Q58" s="17"/>
      <c r="R58" s="17"/>
      <c r="S58" s="17"/>
      <c r="T58" s="17"/>
      <c r="U58" s="17"/>
      <c r="V58" s="274"/>
      <c r="W58" s="153" t="s">
        <v>264</v>
      </c>
      <c r="X58" s="182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/>
      <c r="Z58" s="185" t="str">
        <f>$X$58</f>
        <v>N/A</v>
      </c>
      <c r="AA58" s="94" t="s">
        <v>275</v>
      </c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86"/>
      <c r="P59" s="17"/>
      <c r="Q59" s="17"/>
      <c r="R59" s="17"/>
      <c r="S59" s="17"/>
      <c r="T59" s="17"/>
      <c r="U59" s="17"/>
      <c r="V59" s="17"/>
      <c r="W59" s="158" t="s">
        <v>233</v>
      </c>
      <c r="X59" s="158">
        <v>0.5</v>
      </c>
      <c r="Y59" s="158"/>
      <c r="Z59" s="158"/>
      <c r="AA59" s="158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86"/>
      <c r="P60" s="17"/>
      <c r="Q60" s="17"/>
      <c r="R60" s="17"/>
      <c r="S60" s="17"/>
      <c r="T60" s="17"/>
      <c r="U60" s="17"/>
      <c r="V60" s="17"/>
      <c r="W60" s="158" t="s">
        <v>261</v>
      </c>
      <c r="X60" s="158" t="str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N/A</v>
      </c>
      <c r="Y60" s="158"/>
      <c r="Z60" s="158"/>
      <c r="AA60" s="158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8" t="s">
        <v>262</v>
      </c>
      <c r="X61" s="158" t="str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N/A</v>
      </c>
      <c r="Y61" s="158"/>
      <c r="Z61" s="158"/>
      <c r="AA61" s="158"/>
      <c r="AB61" s="17"/>
    </row>
    <row r="62" spans="1:28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8" t="s">
        <v>396</v>
      </c>
      <c r="X62" s="158" t="str">
        <f>IF(OR($X$60=0,AND($B$45=0,$B$44="N/A")),
          "N/A",
           Input!$D$12/$X$60*3)</f>
        <v>N/A</v>
      </c>
      <c r="Y62" s="158"/>
      <c r="Z62" s="158"/>
      <c r="AA62" s="158"/>
      <c r="AB62" s="17"/>
    </row>
    <row r="63" spans="1:28" ht="16" thickBot="1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8" t="s">
        <v>397</v>
      </c>
      <c r="X63" s="158" t="str">
        <f>IF(OR($X$60=0,AND($B$45=0,$B$44="N/A")),
          "N/A",
            Input!$D$12/$X$60*5)</f>
        <v>N/A</v>
      </c>
      <c r="Y63" s="158"/>
      <c r="Z63" s="158"/>
      <c r="AA63" s="158"/>
      <c r="AB63" s="17"/>
    </row>
    <row r="64" spans="1:28" ht="16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251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248</v>
      </c>
      <c r="S65" s="17"/>
      <c r="T65" s="17"/>
      <c r="U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249</v>
      </c>
      <c r="S66" s="17"/>
      <c r="T66" s="17"/>
      <c r="U66" s="17"/>
      <c r="V66" s="17"/>
      <c r="W66" s="159" t="str">
        <f>CONCATENATE("Tank Turnovers at ",Input!D15,"cP")</f>
        <v>Tank Turnovers at 700cP</v>
      </c>
      <c r="X66" s="133" t="s">
        <v>260</v>
      </c>
      <c r="Y66" s="135" t="s">
        <v>255</v>
      </c>
      <c r="Z66" s="135"/>
      <c r="AA66" s="17"/>
      <c r="AB66" s="17"/>
    </row>
    <row r="67" spans="1:28" ht="16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250</v>
      </c>
      <c r="S67" s="17"/>
      <c r="T67" s="17"/>
      <c r="U67" s="17"/>
      <c r="V67" s="17"/>
      <c r="W67" s="160">
        <v>0</v>
      </c>
      <c r="X67" s="161" t="str">
        <f>IF(OR($X$60=0,$X$60="N/A"),
           "N/A",
              Input!$D$12/$X$60*$W67)</f>
        <v>N/A</v>
      </c>
      <c r="Y67" s="188" t="str">
        <f>IF(OR($X$61=0,$X$61="N/A"),
           "N/A",
             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248</v>
      </c>
      <c r="S68" s="17"/>
      <c r="T68" s="17"/>
      <c r="U68" s="17"/>
      <c r="V68" s="17"/>
      <c r="W68" s="160">
        <v>1</v>
      </c>
      <c r="X68" s="161" t="str">
        <f>IF(OR($X$60=0,$X$60="N/A"),
           "N/A",
              Input!$D$12/$X$60*$W68)</f>
        <v>N/A</v>
      </c>
      <c r="Y68" s="188" t="str">
        <f>IF(OR($X$61=0,$X$61="N/A"),
           "N/A",
             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4"/>
      <c r="R69" s="85" t="s">
        <v>249</v>
      </c>
      <c r="S69" s="17"/>
      <c r="T69" s="17"/>
      <c r="U69" s="17"/>
      <c r="V69" s="17"/>
      <c r="W69" s="160">
        <v>2</v>
      </c>
      <c r="X69" s="161" t="str">
        <f>IF(OR($X$60=0,$X$60="N/A"),
           "N/A",
              Input!$D$12/$X$60*$W69)</f>
        <v>N/A</v>
      </c>
      <c r="Y69" s="188" t="str">
        <f>IF(OR($X$61=0,$X$61="N/A"),
           "N/A",
             Input!$D$12/$X$61*$W69)</f>
        <v>N/A</v>
      </c>
      <c r="Z69" s="17"/>
      <c r="AA69" s="17"/>
      <c r="AB69" s="17"/>
    </row>
    <row r="70" spans="1:28" ht="16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250</v>
      </c>
      <c r="S70" s="17"/>
      <c r="T70" s="17"/>
      <c r="U70" s="17"/>
      <c r="V70" s="17"/>
      <c r="W70" s="160">
        <v>3</v>
      </c>
      <c r="X70" s="161" t="str">
        <f>IF(OR($X$60=0,$X$60="N/A"),
           "N/A",
              Input!$D$12/$X$60*$W70)</f>
        <v>N/A</v>
      </c>
      <c r="Y70" s="188" t="str">
        <f>IF(OR($X$61=0,$X$61="N/A"),
           "N/A",
             Input!$D$12/$X$61*$W70)</f>
        <v>N/A</v>
      </c>
      <c r="Z70" s="88"/>
      <c r="AA70" s="17"/>
      <c r="AB70" s="17"/>
    </row>
    <row r="71" spans="1:28" ht="16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60">
        <v>4</v>
      </c>
      <c r="X71" s="161" t="str">
        <f>IF(OR($X$60=0,$X$60="N/A"),
           "N/A",
              Input!$D$12/$X$60*$W71)</f>
        <v>N/A</v>
      </c>
      <c r="Y71" s="188" t="str">
        <f>IF(OR($X$61=0,$X$61="N/A"),
           "N/A",
             Input!$D$12/$X$61*$W71)</f>
        <v>N/A</v>
      </c>
      <c r="Z71" s="46"/>
      <c r="AA71" s="17"/>
      <c r="AB71" s="17"/>
    </row>
    <row r="72" spans="1:28" ht="16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60">
        <v>5</v>
      </c>
      <c r="X72" s="161" t="str">
        <f>IF(OR($X$60=0,$X$60="N/A"),
           "N/A",
              Input!$D$12/$X$60*$W72)</f>
        <v>N/A</v>
      </c>
      <c r="Y72" s="188" t="str">
        <f>IF(OR($X$61=0,$X$61="N/A"),
           "N/A",
             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248</v>
      </c>
      <c r="T73" s="17"/>
      <c r="U73" s="17"/>
      <c r="V73" s="17"/>
      <c r="W73" s="160">
        <v>6</v>
      </c>
      <c r="X73" s="161" t="str">
        <f>IF(OR($X$60=0,$X$60="N/A"),
           "N/A",
              Input!$D$12/$X$60*$W73)</f>
        <v>N/A</v>
      </c>
      <c r="Y73" s="188" t="str">
        <f>IF(OR($X$61=0,$X$61="N/A"),
           "N/A",
             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249</v>
      </c>
      <c r="S74" s="17"/>
      <c r="T74" s="17"/>
      <c r="U74" s="17"/>
      <c r="V74" s="17"/>
      <c r="W74" s="160">
        <v>7</v>
      </c>
      <c r="X74" s="161" t="str">
        <f>IF(OR($X$60=0,$X$60="N/A"),
           "N/A",
              Input!$D$12/$X$60*$W74)</f>
        <v>N/A</v>
      </c>
      <c r="Y74" s="188" t="str">
        <f>IF(OR($X$61=0,$X$61="N/A"),
           "N/A",
             Input!$D$12/$X$61*$W74)</f>
        <v>N/A</v>
      </c>
      <c r="Z74" s="17"/>
      <c r="AA74" s="17"/>
      <c r="AB74" s="17"/>
    </row>
    <row r="75" spans="1:28" ht="16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86"/>
      <c r="P75" s="17"/>
      <c r="Q75" s="46"/>
      <c r="R75" s="94" t="s">
        <v>250</v>
      </c>
      <c r="S75" s="17"/>
      <c r="T75" s="17"/>
      <c r="U75" s="17"/>
      <c r="V75" s="17"/>
      <c r="W75" s="160">
        <v>8</v>
      </c>
      <c r="X75" s="161" t="str">
        <f>IF(OR($X$60=0,$X$60="N/A"),
           "N/A",
              Input!$D$12/$X$60*$W75)</f>
        <v>N/A</v>
      </c>
      <c r="Y75" s="188" t="str">
        <f>IF(OR($X$61=0,$X$61="N/A"),
           "N/A",
             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85" t="s">
        <v>248</v>
      </c>
      <c r="S76" s="17"/>
      <c r="T76" s="17"/>
      <c r="U76" s="17"/>
      <c r="V76" s="17"/>
      <c r="W76" s="160">
        <v>9</v>
      </c>
      <c r="X76" s="161" t="str">
        <f>IF(OR($X$60=0,$X$60="N/A"),
           "N/A",
              Input!$D$12/$X$60*$W76)</f>
        <v>N/A</v>
      </c>
      <c r="Y76" s="188" t="str">
        <f>IF(OR($X$61=0,$X$61="N/A"),
           "N/A",
             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88"/>
      <c r="P77" s="17"/>
      <c r="Q77" s="88"/>
      <c r="R77" s="85" t="s">
        <v>249</v>
      </c>
      <c r="S77" s="17"/>
      <c r="T77" s="17"/>
      <c r="U77" s="17"/>
      <c r="V77" s="17"/>
      <c r="W77" s="160">
        <v>10</v>
      </c>
      <c r="X77" s="161" t="str">
        <f>IF(OR($X$60=0,$X$60="N/A"),
           "N/A",
              Input!$D$12/$X$60*$W77)</f>
        <v>N/A</v>
      </c>
      <c r="Y77" s="188" t="str">
        <f>IF(OR($X$61=0,$X$61="N/A"),
           "N/A",
             Input!$D$12/$X$61*$W77)</f>
        <v>N/A</v>
      </c>
      <c r="Z77" s="17"/>
      <c r="AA77" s="17"/>
      <c r="AB77" s="17"/>
    </row>
    <row r="78" spans="1:28" ht="16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86"/>
      <c r="P78" s="17"/>
      <c r="Q78" s="46"/>
      <c r="R78" s="94" t="s">
        <v>250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0" spans="1:28" ht="16" thickBot="1">
      <c r="R80" s="59"/>
    </row>
    <row r="81" spans="15:18" ht="16" thickBot="1">
      <c r="R81" s="172"/>
    </row>
    <row r="82" spans="15:18">
      <c r="O82" s="165"/>
      <c r="Q82" s="82"/>
      <c r="R82" s="27" t="s">
        <v>252</v>
      </c>
    </row>
    <row r="83" spans="15:18">
      <c r="O83" s="79"/>
      <c r="Q83" s="83"/>
      <c r="R83" s="27"/>
    </row>
    <row r="84" spans="15:18">
      <c r="R84" s="27"/>
    </row>
    <row r="85" spans="15:18" ht="16" thickBot="1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X65:Y65"/>
    <mergeCell ref="B1:C1"/>
    <mergeCell ref="D1:E1"/>
    <mergeCell ref="F1:G1"/>
    <mergeCell ref="B2:C2"/>
    <mergeCell ref="D2:E2"/>
    <mergeCell ref="F2:G2"/>
    <mergeCell ref="V55:V58"/>
    <mergeCell ref="V48:V54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36" workbookViewId="0">
      <selection activeCell="X50" sqref="X50"/>
    </sheetView>
  </sheetViews>
  <sheetFormatPr baseColWidth="10" defaultColWidth="8.83203125" defaultRowHeight="15"/>
  <cols>
    <col min="1" max="1" width="20.33203125" bestFit="1" customWidth="1"/>
    <col min="2" max="2" width="12.5" bestFit="1" customWidth="1"/>
    <col min="12" max="12" width="15" bestFit="1" customWidth="1"/>
    <col min="13" max="13" width="17.5" bestFit="1" customWidth="1"/>
    <col min="17" max="17" width="0" hidden="1" customWidth="1"/>
    <col min="18" max="18" width="18.83203125" hidden="1" customWidth="1"/>
    <col min="19" max="20" width="0" hidden="1" customWidth="1"/>
    <col min="23" max="23" width="20.5" customWidth="1"/>
    <col min="24" max="24" width="10.5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277">
        <f>IF(Input!$D$13="Gentle",1.2,IF(Input!$D$13="Vigorous", 0.8,1))</f>
        <v>1</v>
      </c>
      <c r="G2" s="27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(B$2)*300</f>
        <v>300</v>
      </c>
      <c r="C6" s="21">
        <v>1</v>
      </c>
      <c r="D6" s="20">
        <f>(D$2)*3000</f>
        <v>3000</v>
      </c>
      <c r="E6" s="21">
        <v>1</v>
      </c>
      <c r="F6" s="20">
        <f>(F$2)*10000</f>
        <v>10000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(B$2)*273</f>
        <v>273</v>
      </c>
      <c r="C7" s="23">
        <v>5</v>
      </c>
      <c r="D7" s="22">
        <f>(D$2)*2730</f>
        <v>2730</v>
      </c>
      <c r="E7" s="23">
        <v>5</v>
      </c>
      <c r="F7" s="22">
        <f>(F$2)*9100</f>
        <v>9100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(B$2)*249</f>
        <v>249</v>
      </c>
      <c r="C8" s="23">
        <v>10</v>
      </c>
      <c r="D8" s="22">
        <f>(D$2)*2490</f>
        <v>2490</v>
      </c>
      <c r="E8" s="23">
        <v>10</v>
      </c>
      <c r="F8" s="22">
        <f>(F$2)*8300</f>
        <v>8300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(B$2)*231</f>
        <v>231</v>
      </c>
      <c r="C9" s="23">
        <v>15</v>
      </c>
      <c r="D9" s="22">
        <f>(D$2)*2310</f>
        <v>2310</v>
      </c>
      <c r="E9" s="23">
        <v>15</v>
      </c>
      <c r="F9" s="22">
        <f>(F$2)*7700</f>
        <v>7700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(B$2)*216</f>
        <v>216</v>
      </c>
      <c r="C10" s="23">
        <v>20</v>
      </c>
      <c r="D10" s="22">
        <f>(D$2)*2160</f>
        <v>2160</v>
      </c>
      <c r="E10" s="23">
        <v>20</v>
      </c>
      <c r="F10" s="22">
        <f>(F$2)*7200</f>
        <v>7200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(B$2)*204</f>
        <v>204</v>
      </c>
      <c r="C11" s="23">
        <v>25</v>
      </c>
      <c r="D11" s="22">
        <f>(D$2)*2040</f>
        <v>2040</v>
      </c>
      <c r="E11" s="23">
        <v>25</v>
      </c>
      <c r="F11" s="22">
        <f>(F$2)*6800</f>
        <v>6800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(B$2)*196.5</f>
        <v>196.5</v>
      </c>
      <c r="C12" s="23">
        <v>30</v>
      </c>
      <c r="D12" s="22">
        <f>(D$2)*1965</f>
        <v>1965</v>
      </c>
      <c r="E12" s="23">
        <v>30</v>
      </c>
      <c r="F12" s="22">
        <f>(F$2)*6550</f>
        <v>6550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(B$2)*189</f>
        <v>189</v>
      </c>
      <c r="C13" s="23">
        <v>35</v>
      </c>
      <c r="D13" s="22">
        <f>(D$2)*1890</f>
        <v>1890</v>
      </c>
      <c r="E13" s="23">
        <v>35</v>
      </c>
      <c r="F13" s="22">
        <f>(F$2)*6300</f>
        <v>6300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(B$2)*184.5</f>
        <v>184.5</v>
      </c>
      <c r="C14" s="23">
        <v>40</v>
      </c>
      <c r="D14" s="22">
        <f>(D$2)*1845</f>
        <v>1845</v>
      </c>
      <c r="E14" s="23">
        <v>40</v>
      </c>
      <c r="F14" s="22">
        <f>(F$2)*6150</f>
        <v>6150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(B$2)*180</f>
        <v>180</v>
      </c>
      <c r="C15" s="23">
        <v>45</v>
      </c>
      <c r="D15" s="22">
        <f>(D$2)*1800</f>
        <v>1800</v>
      </c>
      <c r="E15" s="23">
        <v>45</v>
      </c>
      <c r="F15" s="22">
        <f>(F$2)*6000</f>
        <v>6000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(B$2)*175.8</f>
        <v>175.8</v>
      </c>
      <c r="C16" s="23">
        <v>50</v>
      </c>
      <c r="D16" s="22">
        <f>(D$2)*1758</f>
        <v>1758</v>
      </c>
      <c r="E16" s="23">
        <v>50</v>
      </c>
      <c r="F16" s="22">
        <f>(F$2)*5860</f>
        <v>5860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(B$2)*171</f>
        <v>171</v>
      </c>
      <c r="C17" s="23">
        <v>55</v>
      </c>
      <c r="D17" s="22">
        <f>(D$2)*1710</f>
        <v>1710</v>
      </c>
      <c r="E17" s="23">
        <v>55</v>
      </c>
      <c r="F17" s="22">
        <f>(F$2)*5700</f>
        <v>5700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(B$2)*168</f>
        <v>168</v>
      </c>
      <c r="C18" s="23">
        <v>60</v>
      </c>
      <c r="D18" s="22">
        <f>(D$2)*1680</f>
        <v>1680</v>
      </c>
      <c r="E18" s="23">
        <v>60</v>
      </c>
      <c r="F18" s="22">
        <f>(F$2)*5600</f>
        <v>5600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(B$2)*165</f>
        <v>165</v>
      </c>
      <c r="C19" s="23">
        <v>65</v>
      </c>
      <c r="D19" s="22">
        <f>(D$2)*1650</f>
        <v>1650</v>
      </c>
      <c r="E19" s="23">
        <v>65</v>
      </c>
      <c r="F19" s="22">
        <f>(F$2)*5500</f>
        <v>5500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(B$2)*162</f>
        <v>162</v>
      </c>
      <c r="C20" s="23">
        <v>70</v>
      </c>
      <c r="D20" s="22">
        <f>(D$2)*1620</f>
        <v>1620</v>
      </c>
      <c r="E20" s="23">
        <v>70</v>
      </c>
      <c r="F20" s="22">
        <f>(F$2)*5400</f>
        <v>5400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(B$2)*159</f>
        <v>159</v>
      </c>
      <c r="C21" s="23">
        <v>75</v>
      </c>
      <c r="D21" s="22">
        <f>(D$2)*1590</f>
        <v>1590</v>
      </c>
      <c r="E21" s="23">
        <v>75</v>
      </c>
      <c r="F21" s="22">
        <f>(F$2)*5300</f>
        <v>5300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(B$2)*156</f>
        <v>156</v>
      </c>
      <c r="C22" s="23">
        <v>80</v>
      </c>
      <c r="D22" s="22">
        <f>(D$2)*1560</f>
        <v>1560</v>
      </c>
      <c r="E22" s="23">
        <v>80</v>
      </c>
      <c r="F22" s="22">
        <f>(F$2)*5200</f>
        <v>5200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(B$2)*153</f>
        <v>153</v>
      </c>
      <c r="C23" s="23">
        <v>85</v>
      </c>
      <c r="D23" s="22">
        <f>(D$2)*1530</f>
        <v>1530</v>
      </c>
      <c r="E23" s="23">
        <v>85</v>
      </c>
      <c r="F23" s="22">
        <f>(F$2)*5100</f>
        <v>5100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(B$2)*150</f>
        <v>150</v>
      </c>
      <c r="C24" s="23">
        <v>90</v>
      </c>
      <c r="D24" s="22">
        <f>(D$2)*1500</f>
        <v>1500</v>
      </c>
      <c r="E24" s="23">
        <v>90</v>
      </c>
      <c r="F24" s="22">
        <f>(F$2)*5000</f>
        <v>5000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(B$2)*147</f>
        <v>147</v>
      </c>
      <c r="C25" s="23">
        <v>95</v>
      </c>
      <c r="D25" s="22">
        <f>(D$2)*1470</f>
        <v>1470</v>
      </c>
      <c r="E25" s="23">
        <v>95</v>
      </c>
      <c r="F25" s="22">
        <f>(F$2)*4900</f>
        <v>4900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(B$2)*145.5</f>
        <v>145.5</v>
      </c>
      <c r="C26" s="23">
        <v>100</v>
      </c>
      <c r="D26" s="22">
        <f>(D$2)*1455</f>
        <v>1455</v>
      </c>
      <c r="E26" s="23">
        <v>100</v>
      </c>
      <c r="F26" s="22">
        <f>(F$2)*4850</f>
        <v>4850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(B$2)*129</f>
        <v>129</v>
      </c>
      <c r="C27" s="23">
        <v>150</v>
      </c>
      <c r="D27" s="22">
        <f>(D$2)*1290</f>
        <v>1290</v>
      </c>
      <c r="E27" s="23">
        <v>150</v>
      </c>
      <c r="F27" s="22">
        <f>(F$2)*4300</f>
        <v>4300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(B$2)*117</f>
        <v>117</v>
      </c>
      <c r="C28" s="23">
        <v>200</v>
      </c>
      <c r="D28" s="22">
        <f>(D$2)*1170</f>
        <v>1170</v>
      </c>
      <c r="E28" s="23">
        <v>200</v>
      </c>
      <c r="F28" s="22">
        <f>(F$2)*3900</f>
        <v>3900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(B$2)*106.5</f>
        <v>106.5</v>
      </c>
      <c r="C29" s="23">
        <v>250</v>
      </c>
      <c r="D29" s="22">
        <f>(D$2)*1065</f>
        <v>1065</v>
      </c>
      <c r="E29" s="23">
        <v>250</v>
      </c>
      <c r="F29" s="22">
        <f>(F$2)*3550</f>
        <v>3550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(B$2)*96</f>
        <v>96</v>
      </c>
      <c r="C30" s="23">
        <v>300</v>
      </c>
      <c r="D30" s="22">
        <f>(D$2)*960</f>
        <v>960</v>
      </c>
      <c r="E30" s="23">
        <v>300</v>
      </c>
      <c r="F30" s="22">
        <f>(F$2)*3200</f>
        <v>3200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(B$2)*87</f>
        <v>87</v>
      </c>
      <c r="C31" s="23">
        <v>350</v>
      </c>
      <c r="D31" s="22">
        <f>(D$2)*870</f>
        <v>870</v>
      </c>
      <c r="E31" s="23">
        <v>350</v>
      </c>
      <c r="F31" s="22">
        <f>(F$2)*2900</f>
        <v>2900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(B$2)*78</f>
        <v>78</v>
      </c>
      <c r="C32" s="23">
        <v>400</v>
      </c>
      <c r="D32" s="22">
        <f>(D$2)*780</f>
        <v>780</v>
      </c>
      <c r="E32" s="23">
        <v>400</v>
      </c>
      <c r="F32" s="22">
        <f>(F$2)*2600</f>
        <v>2600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(B$2)*70.5</f>
        <v>70.5</v>
      </c>
      <c r="C33" s="23">
        <v>450</v>
      </c>
      <c r="D33" s="22">
        <f>(D$2)*705</f>
        <v>705</v>
      </c>
      <c r="E33" s="23">
        <v>450</v>
      </c>
      <c r="F33" s="22">
        <f>(F$2)*2350</f>
        <v>2350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(B$2)*63</f>
        <v>63</v>
      </c>
      <c r="C34" s="23">
        <v>500</v>
      </c>
      <c r="D34" s="22">
        <f>(D$2)*630</f>
        <v>630</v>
      </c>
      <c r="E34" s="23">
        <v>500</v>
      </c>
      <c r="F34" s="22">
        <f>(F$2)*2100</f>
        <v>2100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(B$2)*57</f>
        <v>57</v>
      </c>
      <c r="C35" s="23">
        <v>550</v>
      </c>
      <c r="D35" s="22">
        <f>(D$2)*570</f>
        <v>570</v>
      </c>
      <c r="E35" s="23">
        <v>550</v>
      </c>
      <c r="F35" s="22">
        <f>(F$2)*1900</f>
        <v>1900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(B$2)*51</f>
        <v>51</v>
      </c>
      <c r="C36" s="23">
        <v>600</v>
      </c>
      <c r="D36" s="22">
        <f>(D$2)*510</f>
        <v>510</v>
      </c>
      <c r="E36" s="23">
        <v>600</v>
      </c>
      <c r="F36" s="22">
        <f>(F$2)*1700</f>
        <v>1700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(B$2)*45</f>
        <v>45</v>
      </c>
      <c r="C37" s="23">
        <v>650</v>
      </c>
      <c r="D37" s="22">
        <f>(D$2)*450</f>
        <v>450</v>
      </c>
      <c r="E37" s="23">
        <v>650</v>
      </c>
      <c r="F37" s="22">
        <f>(F$2)*1500</f>
        <v>1500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(B$2)*39.6</f>
        <v>39.6</v>
      </c>
      <c r="C38" s="23">
        <v>700</v>
      </c>
      <c r="D38" s="22">
        <f>(D$2)*396</f>
        <v>396</v>
      </c>
      <c r="E38" s="23">
        <v>700</v>
      </c>
      <c r="F38" s="22">
        <f>(F$2)*1320</f>
        <v>1320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(B$2)*34.5</f>
        <v>34.5</v>
      </c>
      <c r="C39" s="23">
        <v>750</v>
      </c>
      <c r="D39" s="22">
        <f>(D$2)*345</f>
        <v>345</v>
      </c>
      <c r="E39" s="23">
        <v>750</v>
      </c>
      <c r="F39" s="22">
        <f>(F$2)*1150</f>
        <v>1150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(B$2)*30</f>
        <v>30</v>
      </c>
      <c r="C40" s="25">
        <v>800</v>
      </c>
      <c r="D40" s="24">
        <f>(D$2)*300</f>
        <v>300</v>
      </c>
      <c r="E40" s="25">
        <v>800</v>
      </c>
      <c r="F40" s="24">
        <f>(F$2)*1000</f>
        <v>1000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39.6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396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1320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234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5"/>
      <c r="O48" s="17"/>
      <c r="P48" s="17"/>
      <c r="Q48" s="17"/>
      <c r="U48" s="17"/>
      <c r="V48" s="280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</row>
    <row r="49" spans="1:28">
      <c r="A49" s="140" t="s">
        <v>46</v>
      </c>
      <c r="B49" s="141" t="s">
        <v>27</v>
      </c>
      <c r="C49" s="141">
        <v>1700</v>
      </c>
      <c r="D49" s="142">
        <v>66</v>
      </c>
      <c r="E49" s="141">
        <v>5.9</v>
      </c>
      <c r="F49" s="141">
        <f>1000</f>
        <v>1000</v>
      </c>
      <c r="G49" s="141">
        <v>50</v>
      </c>
      <c r="H49" s="147">
        <f t="shared" ref="H49:H53" si="2">$E49*$F49*($C49/60)^3*($D49/1000)^5</f>
        <v>168.06013278120005</v>
      </c>
      <c r="I49" s="171">
        <v>1.1000000000000001</v>
      </c>
      <c r="J49" s="145">
        <f t="shared" si="0"/>
        <v>0.94400365172216438</v>
      </c>
      <c r="K49" s="143">
        <f t="shared" si="1"/>
        <v>3.3612026556240009</v>
      </c>
      <c r="L49" s="145">
        <f t="shared" ref="L49:L53" si="3">3.14*$D49/1000*$C$48/60</f>
        <v>5.8717999999999995</v>
      </c>
      <c r="M49" s="140">
        <v>55</v>
      </c>
      <c r="N49" s="195"/>
      <c r="O49" s="17"/>
      <c r="P49" s="17"/>
      <c r="Q49" s="17"/>
      <c r="U49" s="17"/>
      <c r="V49" s="280"/>
      <c r="W49" s="131" t="s">
        <v>47</v>
      </c>
      <c r="X49" s="149" t="str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N/A</v>
      </c>
      <c r="Y49" s="49" t="s">
        <v>248</v>
      </c>
      <c r="Z49" s="149" t="str">
        <f>$X$49</f>
        <v>N/A</v>
      </c>
      <c r="AA49" s="152" t="s">
        <v>248</v>
      </c>
      <c r="AB49" s="17"/>
    </row>
    <row r="50" spans="1:28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IF($B$44=$B50,Input!$D$14,IF($B$45=$B50,Input!$D$14,1000))</f>
        <v>1000</v>
      </c>
      <c r="G50" s="3">
        <f>IF($B$44=$B50,Input!$D$12,850)</f>
        <v>850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1.0237034117221386</v>
      </c>
      <c r="L50" s="104">
        <f t="shared" si="3"/>
        <v>9.163566666666668</v>
      </c>
      <c r="M50" s="17">
        <v>94</v>
      </c>
      <c r="N50" s="195"/>
      <c r="O50" s="17"/>
      <c r="P50" s="17"/>
      <c r="Q50" s="17"/>
      <c r="U50" s="17"/>
      <c r="V50" s="280"/>
      <c r="W50" s="132" t="s">
        <v>8</v>
      </c>
      <c r="X50" s="155" t="str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N/A</v>
      </c>
      <c r="Y50" s="85" t="s">
        <v>9</v>
      </c>
      <c r="Z50" s="150" t="str">
        <f>IF($X$50="N/A",
           "N/A",
             $X$50/0.264172)</f>
        <v>N/A</v>
      </c>
      <c r="AA50" s="136" t="s">
        <v>249</v>
      </c>
      <c r="AB50" s="17"/>
    </row>
    <row r="51" spans="1:28">
      <c r="A51" s="140" t="s">
        <v>46</v>
      </c>
      <c r="B51" s="141" t="s">
        <v>28</v>
      </c>
      <c r="C51" s="141">
        <v>1700</v>
      </c>
      <c r="D51" s="142">
        <v>103</v>
      </c>
      <c r="E51" s="141">
        <v>3.3</v>
      </c>
      <c r="F51" s="141">
        <f>1000</f>
        <v>1000</v>
      </c>
      <c r="G51" s="141">
        <v>850</v>
      </c>
      <c r="H51" s="147">
        <f t="shared" si="2"/>
        <v>870.14789996381785</v>
      </c>
      <c r="I51" s="144">
        <v>7.8</v>
      </c>
      <c r="J51" s="147">
        <f t="shared" si="0"/>
        <v>4.8876719392673511</v>
      </c>
      <c r="K51" s="143">
        <f t="shared" si="1"/>
        <v>1.0237034117221386</v>
      </c>
      <c r="L51" s="145">
        <f t="shared" si="3"/>
        <v>9.163566666666668</v>
      </c>
      <c r="M51" s="140">
        <v>94</v>
      </c>
      <c r="N51" s="195"/>
      <c r="O51" s="17"/>
      <c r="P51" s="17"/>
      <c r="Q51" s="17"/>
      <c r="U51" s="17"/>
      <c r="V51" s="280"/>
      <c r="W51" s="132" t="s">
        <v>10</v>
      </c>
      <c r="X51" s="154" t="str">
        <f>IF($B$45=0,
IF($X$49=$B$44,"N/A",3.14*VLOOKUP($B$44,$B$48:$N$53,3,FALSE)/1000*$X$49/60),
3.14*VLOOKUP($B$45,$B$48:$N$53,3,FALSE)/1000*$X$49/60)</f>
        <v>N/A</v>
      </c>
      <c r="Y51" s="136" t="s">
        <v>11</v>
      </c>
      <c r="Z51" s="151" t="str">
        <f>IF($X$51="N/A",
           "N/A",
            $X$51*196.85)</f>
        <v>N/A</v>
      </c>
      <c r="AA51" s="136" t="s">
        <v>250</v>
      </c>
      <c r="AB51" s="17"/>
    </row>
    <row r="52" spans="1:28" ht="32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195"/>
      <c r="O52" s="17"/>
      <c r="P52" s="17"/>
      <c r="Q52" s="17"/>
      <c r="U52" s="17"/>
      <c r="V52" s="280"/>
      <c r="W52" s="192" t="s">
        <v>403</v>
      </c>
      <c r="X52" s="229" t="str">
        <f>IF($X$54="N/A","N/A",
IF(LEN($X$54)=3,"",
MROUND(Input!$D$12/$X$60*3,0.05)))</f>
        <v>N/A</v>
      </c>
      <c r="Y52" s="17" t="s">
        <v>275</v>
      </c>
      <c r="Z52" s="236" t="str">
        <f>$X$52</f>
        <v>N/A</v>
      </c>
      <c r="AA52" s="27"/>
      <c r="AB52" s="17"/>
    </row>
    <row r="53" spans="1:28" ht="32">
      <c r="A53" s="140" t="s">
        <v>46</v>
      </c>
      <c r="B53" s="166" t="s">
        <v>29</v>
      </c>
      <c r="C53" s="166">
        <v>1700</v>
      </c>
      <c r="D53" s="167">
        <v>136</v>
      </c>
      <c r="E53" s="140">
        <v>5.2</v>
      </c>
      <c r="F53" s="166">
        <f>1000</f>
        <v>1000</v>
      </c>
      <c r="G53" s="166">
        <v>2000</v>
      </c>
      <c r="H53" s="147">
        <f t="shared" si="2"/>
        <v>5502.8908476795277</v>
      </c>
      <c r="I53" s="168">
        <v>26</v>
      </c>
      <c r="J53" s="169">
        <f t="shared" si="0"/>
        <v>30.910061590877536</v>
      </c>
      <c r="K53" s="170">
        <f t="shared" si="1"/>
        <v>2.7514454238397636</v>
      </c>
      <c r="L53" s="145">
        <f t="shared" si="3"/>
        <v>12.099466666666668</v>
      </c>
      <c r="M53" s="140">
        <v>159.5</v>
      </c>
      <c r="N53" s="195"/>
      <c r="O53" s="17"/>
      <c r="P53" s="17"/>
      <c r="Q53" s="17"/>
      <c r="U53" s="17"/>
      <c r="V53" s="280" t="s">
        <v>255</v>
      </c>
      <c r="W53" s="192" t="s">
        <v>404</v>
      </c>
      <c r="X53" s="229" t="str">
        <f>IF($X$54="N/A","N/A",
MROUND(Input!$D$12/$X$60*5,0.05))</f>
        <v>N/A</v>
      </c>
      <c r="Y53" s="17" t="s">
        <v>275</v>
      </c>
      <c r="Z53" s="236" t="str">
        <f>$X$53</f>
        <v>N/A</v>
      </c>
      <c r="AA53" s="27"/>
      <c r="AB53" s="17"/>
    </row>
    <row r="54" spans="1:28" ht="33" thickBot="1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80"/>
      <c r="W54" s="153" t="s">
        <v>263</v>
      </c>
      <c r="X54" s="235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N/A</v>
      </c>
      <c r="Y54" s="29"/>
      <c r="Z54" s="156" t="str">
        <f>$X$54</f>
        <v>N/A</v>
      </c>
      <c r="AA54" s="29"/>
      <c r="AB54" s="17"/>
    </row>
    <row r="55" spans="1:28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80"/>
      <c r="W55" s="131" t="s">
        <v>258</v>
      </c>
      <c r="X55" s="186" t="str">
        <f>IF(Input!$E$29=0,$X$49,Input!$E$29)</f>
        <v>N/A</v>
      </c>
      <c r="Y55" s="85" t="s">
        <v>248</v>
      </c>
      <c r="Z55" s="187" t="str">
        <f>$X$55</f>
        <v>N/A</v>
      </c>
      <c r="AA55" s="136" t="s">
        <v>248</v>
      </c>
      <c r="AB55" s="17"/>
    </row>
    <row r="56" spans="1:28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80"/>
      <c r="W56" s="132" t="s">
        <v>8</v>
      </c>
      <c r="X56" s="180" t="str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N/A</v>
      </c>
      <c r="Y56" s="85" t="s">
        <v>9</v>
      </c>
      <c r="Z56" s="183" t="str">
        <f>IF($X$56="N/A",
           "N/A",
              $X$56/0.264172)</f>
        <v>N/A</v>
      </c>
      <c r="AA56" s="136" t="s">
        <v>249</v>
      </c>
      <c r="AB56" s="17"/>
    </row>
    <row r="57" spans="1:28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32" t="s">
        <v>259</v>
      </c>
      <c r="X57" s="181" t="str">
        <f>IF($B$45=0,
IF($X$49=$B$44,"N/A",3.14*VLOOKUP($B$44,$B$48:$N$53,3,FALSE)/1000*$X$55/60),
3.14*VLOOKUP($B$45,$B$48:$N$53,3,FALSE)/1000*$X$55/60)</f>
        <v>N/A</v>
      </c>
      <c r="Y57" s="136" t="s">
        <v>11</v>
      </c>
      <c r="Z57" s="184" t="str">
        <f>IF($X$57="N/A",
           "N/A",
              $X$57*196.85)</f>
        <v>N/A</v>
      </c>
      <c r="AA57" s="136" t="s">
        <v>250</v>
      </c>
      <c r="AB57" s="17"/>
    </row>
    <row r="58" spans="1:28" ht="33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3" t="s">
        <v>264</v>
      </c>
      <c r="X58" s="182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275</v>
      </c>
      <c r="Z58" s="185" t="str">
        <f>$X$58</f>
        <v>N/A</v>
      </c>
      <c r="AA58" s="94" t="s">
        <v>275</v>
      </c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8" t="s">
        <v>233</v>
      </c>
      <c r="X59" s="158">
        <v>0.5</v>
      </c>
      <c r="Y59" s="158"/>
      <c r="Z59" s="158"/>
      <c r="AA59" s="158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58" t="s">
        <v>261</v>
      </c>
      <c r="X60" s="158" t="str">
        <f>IF(AND($B$45=0,$B$44="N/A"),
          "N/A",
             IF($B$45=0,
IF($X$59*(10.74*(VLOOKUP($B$44,$B$48:$N$53,3,FALSE)/25.4)^2*$X$49*(Input!$D$14/1000)/Input!$D$15)&gt;=20000,1,IF($X$59*(10.74*(VLOOKUP($B$44,$B$48:$N$53,3,FALSE)/25.4)^2*$X$49*(Input!$D$14/1000)/Input!$D$15)&gt;=300,EXP(-5.328+1.683*LN($X$59*(10.74*(VLOOKUP($B$44,$B$48:$N$53,3,FALSE)/25.4)^2*$X$49*(Input!$D$14/1000)/Input!$D$15))-0.179*LN($X$59*(10.74*(VLOOKUP($B$44,$B$48:$N$53,3,FALSE)/25.4)^2*$X$49*(Input!$D$14/1000)/Input!$D$15))^2+0.0064*LN($X$59*(10.74*(VLOOKUP($B$44,$B$48:$N$53,3,FALSE)/25.4)^2*$X$49*(Input!$D$14/1000)/Input!$D$15))^3),IF($X$59*(10.74*(VLOOKUP($B$44,$B$48:$N$53,3,FALSE)/25.4)^2*$X$49*(Input!$D$14/1000)/Input!$D$15)&gt;25,EXP(-0.563-0.231*LN($X$59*(10.74*(VLOOKUP($B$44,$B$48:$N$53,3,FALSE)/25.4)^2*$X$49*(Input!$D$14/1000)/Input!$D$15))+0.0466*LN($X$59*(10.74*(VLOOKUP($B$44,$B$48:$N$53,3,FALSE)/25.4)^2*$X$49*(Input!$D$14/1000)/Input!$D$15))^2),0.439)))*VLOOKUP($B$44,$B$48:$N$53,13,FALSE)*$X$49*(VLOOKUP($B$44,$B$48:$N$53,3,FALSE)^3/1000000),
IF($X$59*(10.74*(VLOOKUP($B$45,$B$48:$N$53,3,FALSE)/25.4)^2*$X$49*(Input!$D$14/1000)/Input!$D$15)&gt;=20000,1,IF($X$59*(10.74*(VLOOKUP($B$45,$B$48:$N$53,3,FALSE)/25.4)^2*$X$49*(Input!$D$14/1000)/Input!$D$15)&gt;=300,EXP(-5.328+1.683*LN($X$59*(10.74*(VLOOKUP($B$45,$B$48:$N$53,3,FALSE)/25.4)^2*$X$49*(Input!$D$14/1000)/Input!$D$15))-0.179*LN($X$59*(10.74*(VLOOKUP($B$45,$B$48:$N$53,3,FALSE)/25.4)^2*$X$49*(Input!$D$14/1000)/Input!$D$15))^2+0.0064*LN($X$59*(10.74*(VLOOKUP($B$45,$B$48:$N$53,3,FALSE)/25.4)^2*$X$49*(Input!$D$14/1000)/Input!$D$15))^3),IF($X$59*(10.74*(VLOOKUP($B$45,$B$48:$N$53,3,FALSE)/25.4)^2*$X$49*(Input!$D$14/1000)/Input!$D$15)&gt;25,EXP(-0.563-0.231*LN($X$59*(10.74*(VLOOKUP($B$45,$B$48:$N$53,3,FALSE)/25.4)^2*$X$49*(Input!$D$14/1000)/Input!$D$15))+0.0466*LN($X$59*(10.74*(VLOOKUP($B$45,$B$48:$N$53,3,FALSE)/25.4)^2*$X$49*(Input!$D$14/1000)/Input!$D$15))^2),0.439)))*VLOOKUP($B$45,$B$48:$N$53,13,FALSE)*$X$49*(VLOOKUP($B$45,$B$48:$N$53,3,FALSE)^3/1000000)))</f>
        <v>N/A</v>
      </c>
      <c r="Y60" s="158"/>
      <c r="Z60" s="158"/>
      <c r="AA60" s="158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58" t="s">
        <v>262</v>
      </c>
      <c r="X61" s="158" t="str">
        <f>IF(AND($B$45=0,$B$44="N/A"),
          "N/A",
             IF($B$45=0,
IF($X$59*(10.74*(VLOOKUP($B$44,$B$48:$N$53,3,FALSE)/25.4)^2*$X$55*(Input!$D$14/1000)/Input!$D$15)&gt;=20000,1,IF($X$59*(10.74*(VLOOKUP($B$44,$B$48:$N$53,3,FALSE)/25.4)^2*$X$55*(Input!$D$14/1000)/Input!$D$15)&gt;=300,EXP(-5.328+1.683*LN($X$59*(10.74*(VLOOKUP($B$44,$B$48:$N$53,3,FALSE)/25.4)^2*$X$55*(Input!$D$14/1000)/Input!$D$15))-0.179*LN($X$59*(10.74*(VLOOKUP($B$44,$B$48:$N$53,3,FALSE)/25.4)^2*$X$55*(Input!$D$14/1000)/Input!$D$15))^2+0.0064*LN($X$59*(10.74*(VLOOKUP($B$44,$B$48:$N$53,3,FALSE)/25.4)^2*$X$55*(Input!$D$14/1000)/Input!$D$15))^3),IF($X$59*(10.74*(VLOOKUP($B$44,$B$48:$N$53,3,FALSE)/25.4)^2*$X$55*(Input!$D$14/1000)/Input!$D$15)&gt;25,EXP(-0.563-0.231*LN($X$59*(10.74*(VLOOKUP($B$44,$B$48:$N$53,3,FALSE)/25.4)^2*$X$55*(Input!$D$14/1000)/Input!$D$15))+0.0466*LN($X$59*(10.74*(VLOOKUP($B$44,$B$48:$N$53,3,FALSE)/25.4)^2*$X$55*(Input!$D$14/1000)/Input!$D$15))^2),0.439)))*VLOOKUP($B$44,$B$48:$N$53,13,FALSE)*$X$55*(VLOOKUP($B$44,$B$48:$N$53,3,FALSE)^3/1000000),
IF($X$59*(10.74*(VLOOKUP($B$45,$B$48:$N$53,3,FALSE)/25.4)^2*$X$55*(Input!$D$14/1000)/Input!$D$15)&gt;=20000,1,IF($X$59*(10.74*(VLOOKUP($B$45,$B$48:$N$53,3,FALSE)/25.4)^2*$X$55*(Input!$D$14/1000)/Input!$D$15)&gt;=300,EXP(-5.328+1.683*LN($X$59*(10.74*(VLOOKUP($B$45,$B$48:$N$53,3,FALSE)/25.4)^2*$X$55*(Input!$D$14/1000)/Input!$D$15))-0.179*LN($X$59*(10.74*(VLOOKUP($B$45,$B$48:$N$53,3,FALSE)/25.4)^2*$X$55*(Input!$D$14/1000)/Input!$D$15))^2+0.0064*LN($X$59*(10.74*(VLOOKUP($B$45,$B$48:$N$53,3,FALSE)/25.4)^2*$X$55*(Input!$D$14/1000)/Input!$D$15))^3),IF($X$59*(10.74*(VLOOKUP($B$45,$B$48:$N$53,3,FALSE)/25.4)^2*$X$55*(Input!$D$14/1000)/Input!$D$15)&gt;25,EXP(-0.563-0.231*LN($X$59*(10.74*(VLOOKUP($B$45,$B$48:$N$53,3,FALSE)/25.4)^2*$X$55*(Input!$D$14/1000)/Input!$D$15))+0.0466*LN($X$59*(10.74*(VLOOKUP($B$45,$B$48:$N$53,3,FALSE)/25.4)^2*$X$55*(Input!$D$14/1000)/Input!$D$15))^2),0.439)))*VLOOKUP($B$45,$B$48:$N$53,13,FALSE)*$X$55*(VLOOKUP($B$45,$B$48:$N$53,3,FALSE)^3/1000000)))</f>
        <v>N/A</v>
      </c>
      <c r="Y61" s="158"/>
      <c r="Z61" s="158"/>
      <c r="AA61" s="158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58" t="s">
        <v>396</v>
      </c>
      <c r="X62" s="158" t="str">
        <f>IF(OR($X$60=0,AND($B$45=0,$B$44="N/A")),
          "N/A",
           Input!$D$12/$X$60*3)</f>
        <v>N/A</v>
      </c>
      <c r="Y62" s="158"/>
      <c r="Z62" s="158"/>
      <c r="AA62" s="158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58" t="s">
        <v>397</v>
      </c>
      <c r="X63" s="158" t="str">
        <f>IF(OR($X$60=0,AND($B$45=0,$B$44="N/A")),
          "N/A",
            Input!$D$12/$X$60*5)</f>
        <v>N/A</v>
      </c>
      <c r="Y63" s="158"/>
      <c r="Z63" s="158"/>
      <c r="AA63" s="158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59" t="str">
        <f>CONCATENATE("Tank Turnovers at ",Input!D15,"cP")</f>
        <v>Tank Turnovers at 700cP</v>
      </c>
      <c r="X66" s="133" t="s">
        <v>260</v>
      </c>
      <c r="Y66" s="135" t="s">
        <v>255</v>
      </c>
      <c r="Z66" s="135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60">
        <v>0</v>
      </c>
      <c r="X67" s="161" t="str">
        <f>IF(OR($X$60=0,$X$60="N/A"),
"N/A",
Input!$D$12/$X$60*$W67)</f>
        <v>N/A</v>
      </c>
      <c r="Y67" s="188" t="str">
        <f>IF(OR($X$61=0,$X$61="N/A"),
"N/A",
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4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60">
        <v>1</v>
      </c>
      <c r="X68" s="161" t="str">
        <f>IF(OR($X$60=0,$X$60="N/A"),
"N/A",
Input!$D$12/$X$60*$W68)</f>
        <v>N/A</v>
      </c>
      <c r="Y68" s="188" t="str">
        <f>IF(OR($X$61=0,$X$61="N/A"),
"N/A",
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60">
        <v>2</v>
      </c>
      <c r="X69" s="161" t="str">
        <f>IF(OR($X$60=0,$X$60="N/A"),
"N/A",
Input!$D$12/$X$60*$W69)</f>
        <v>N/A</v>
      </c>
      <c r="Y69" s="188" t="str">
        <f>IF(OR($X$61=0,$X$61="N/A"),
"N/A",
Input!$D$12/$X$61*$W69)</f>
        <v>N/A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0">
        <v>3</v>
      </c>
      <c r="X70" s="161" t="str">
        <f>IF(OR($X$60=0,$X$60="N/A"),
"N/A",
Input!$D$12/$X$60*$W70)</f>
        <v>N/A</v>
      </c>
      <c r="Y70" s="188" t="str">
        <f>IF(OR($X$61=0,$X$61="N/A"),
"N/A",
Input!$D$12/$X$61*$W70)</f>
        <v>N/A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0">
        <v>4</v>
      </c>
      <c r="X71" s="161" t="str">
        <f>IF(OR($X$60=0,$X$60="N/A"),
"N/A",
Input!$D$12/$X$60*$W71)</f>
        <v>N/A</v>
      </c>
      <c r="Y71" s="188" t="str">
        <f>IF(OR($X$61=0,$X$61="N/A"),
"N/A",
Input!$D$12/$X$61*$W71)</f>
        <v>N/A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0">
        <v>5</v>
      </c>
      <c r="X72" s="161" t="str">
        <f>IF(OR($X$60=0,$X$60="N/A"),
"N/A",
Input!$D$12/$X$60*$W72)</f>
        <v>N/A</v>
      </c>
      <c r="Y72" s="188" t="str">
        <f>IF(OR($X$61=0,$X$61="N/A"),
"N/A",
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0">
        <v>6</v>
      </c>
      <c r="X73" s="161" t="str">
        <f>IF(OR($X$60=0,$X$60="N/A"),
"N/A",
Input!$D$12/$X$60*$W73)</f>
        <v>N/A</v>
      </c>
      <c r="Y73" s="188" t="str">
        <f>IF(OR($X$61=0,$X$61="N/A"),
"N/A",
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60">
        <v>7</v>
      </c>
      <c r="X74" s="161" t="str">
        <f>IF(OR($X$60=0,$X$60="N/A"),
"N/A",
Input!$D$12/$X$60*$W74)</f>
        <v>N/A</v>
      </c>
      <c r="Y74" s="188" t="str">
        <f>IF(OR($X$61=0,$X$61="N/A"),
"N/A",
Input!$D$12/$X$61*$W74)</f>
        <v>N/A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60">
        <v>8</v>
      </c>
      <c r="X75" s="161" t="str">
        <f>IF(OR($X$60=0,$X$60="N/A"),
"N/A",
Input!$D$12/$X$60*$W75)</f>
        <v>N/A</v>
      </c>
      <c r="Y75" s="188" t="str">
        <f>IF(OR($X$61=0,$X$61="N/A"),
"N/A",
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88"/>
      <c r="K76" s="17"/>
      <c r="L76" s="88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60">
        <v>9</v>
      </c>
      <c r="X76" s="161" t="str">
        <f>IF(OR($X$60=0,$X$60="N/A"),
"N/A",
Input!$D$12/$X$60*$W76)</f>
        <v>N/A</v>
      </c>
      <c r="Y76" s="188" t="str">
        <f>IF(OR($X$61=0,$X$61="N/A"),
"N/A",
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86"/>
      <c r="K77" s="17"/>
      <c r="L77" s="4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60">
        <v>10</v>
      </c>
      <c r="X77" s="161" t="str">
        <f>IF(OR($X$60=0,$X$60="N/A"),
"N/A",
Input!$D$12/$X$60*$W77)</f>
        <v>N/A</v>
      </c>
      <c r="Y77" s="188" t="str">
        <f>IF(OR($X$61=0,$X$61="N/A"),
"N/A",
Input!$D$12/$X$61*$W77)</f>
        <v>N/A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81" spans="10:12">
      <c r="J81" s="165"/>
      <c r="L81" s="82"/>
    </row>
    <row r="82" spans="10:12">
      <c r="J82" s="79"/>
      <c r="L82" s="83"/>
    </row>
    <row r="84" spans="10:12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H45" workbookViewId="0">
      <selection activeCell="X50" sqref="X50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7" max="17" width="0" hidden="1" customWidth="1"/>
    <col min="18" max="18" width="18.83203125" hidden="1" customWidth="1"/>
    <col min="19" max="21" width="0" hidden="1" customWidth="1"/>
    <col min="23" max="23" width="18.5" customWidth="1"/>
    <col min="24" max="24" width="14.1640625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277">
        <f>IF(Input!$D$13="Gentle",1.2,IF(Input!$D$13="Vigorous", 0.8,1))</f>
        <v>1</v>
      </c>
      <c r="G2" s="27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(B$2)*120</f>
        <v>120</v>
      </c>
      <c r="C6" s="49">
        <v>1</v>
      </c>
      <c r="D6" s="20">
        <f>(D$2)*800</f>
        <v>800</v>
      </c>
      <c r="E6" s="49">
        <v>1</v>
      </c>
      <c r="F6" s="20">
        <f>(F$2)*1500</f>
        <v>1500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(B$2)*109.2</f>
        <v>109.2</v>
      </c>
      <c r="C7" s="85">
        <v>5</v>
      </c>
      <c r="D7" s="22">
        <f>(D$2)*728</f>
        <v>728</v>
      </c>
      <c r="E7" s="85">
        <v>5</v>
      </c>
      <c r="F7" s="22">
        <f>(F$2)*1365</f>
        <v>1365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(B$2)*99.6</f>
        <v>99.6</v>
      </c>
      <c r="C8" s="85">
        <v>10</v>
      </c>
      <c r="D8" s="22">
        <f>(D$2)*664</f>
        <v>664</v>
      </c>
      <c r="E8" s="85">
        <v>10</v>
      </c>
      <c r="F8" s="22">
        <f>(F$2)*1245</f>
        <v>1245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(B$2)*92.4</f>
        <v>92.4</v>
      </c>
      <c r="C9" s="85">
        <v>15</v>
      </c>
      <c r="D9" s="22">
        <f>(D$2)*616</f>
        <v>616</v>
      </c>
      <c r="E9" s="85">
        <v>15</v>
      </c>
      <c r="F9" s="22">
        <f>(F$2)*1155</f>
        <v>1155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(B$2)*86.4</f>
        <v>86.4</v>
      </c>
      <c r="C10" s="85">
        <v>20</v>
      </c>
      <c r="D10" s="22">
        <f>(D$2)*576</f>
        <v>576</v>
      </c>
      <c r="E10" s="85">
        <v>20</v>
      </c>
      <c r="F10" s="22">
        <f>(F$2)*1080</f>
        <v>1080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(B$2)*81.6</f>
        <v>81.599999999999994</v>
      </c>
      <c r="C11" s="85">
        <v>25</v>
      </c>
      <c r="D11" s="22">
        <f>(D$2)*544</f>
        <v>544</v>
      </c>
      <c r="E11" s="85">
        <v>25</v>
      </c>
      <c r="F11" s="22">
        <f>(F$2)*1020</f>
        <v>1020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(B$2)*78.6</f>
        <v>78.599999999999994</v>
      </c>
      <c r="C12" s="85">
        <v>30</v>
      </c>
      <c r="D12" s="22">
        <f>(D$2)*524</f>
        <v>524</v>
      </c>
      <c r="E12" s="85">
        <v>30</v>
      </c>
      <c r="F12" s="22">
        <f>(F$2)*982.5</f>
        <v>982.5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(B$2)*75.6</f>
        <v>75.599999999999994</v>
      </c>
      <c r="C13" s="85">
        <v>35</v>
      </c>
      <c r="D13" s="22">
        <f>(D$2)*504</f>
        <v>504</v>
      </c>
      <c r="E13" s="85">
        <v>35</v>
      </c>
      <c r="F13" s="22">
        <f>(F$2)*945</f>
        <v>945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(B$2)*73.8</f>
        <v>73.8</v>
      </c>
      <c r="C14" s="85">
        <v>40</v>
      </c>
      <c r="D14" s="22">
        <f>(D$2)*492</f>
        <v>492</v>
      </c>
      <c r="E14" s="85">
        <v>40</v>
      </c>
      <c r="F14" s="22">
        <f>(F$2)*922.5</f>
        <v>922.5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(B$2)*72</f>
        <v>72</v>
      </c>
      <c r="C15" s="85">
        <v>45</v>
      </c>
      <c r="D15" s="22">
        <f>(D$2)*480</f>
        <v>480</v>
      </c>
      <c r="E15" s="85">
        <v>45</v>
      </c>
      <c r="F15" s="22">
        <f>(F$2)*900</f>
        <v>900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(B$2)*70.32</f>
        <v>70.319999999999993</v>
      </c>
      <c r="C16" s="85">
        <v>50</v>
      </c>
      <c r="D16" s="22">
        <f>(D$2)*468.8</f>
        <v>468.8</v>
      </c>
      <c r="E16" s="85">
        <v>50</v>
      </c>
      <c r="F16" s="22">
        <f>(F$2)*879</f>
        <v>879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(B$2)*68.4</f>
        <v>68.400000000000006</v>
      </c>
      <c r="C17" s="85">
        <v>55</v>
      </c>
      <c r="D17" s="22">
        <f>(D$2)*456</f>
        <v>456</v>
      </c>
      <c r="E17" s="85">
        <v>55</v>
      </c>
      <c r="F17" s="22">
        <f>(F$2)*855</f>
        <v>855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(B$2)*67.2</f>
        <v>67.2</v>
      </c>
      <c r="C18" s="85">
        <v>60</v>
      </c>
      <c r="D18" s="22">
        <f>(D$2)*448</f>
        <v>448</v>
      </c>
      <c r="E18" s="85">
        <v>60</v>
      </c>
      <c r="F18" s="22">
        <f>(F$2)*840</f>
        <v>840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(B$2)*66</f>
        <v>66</v>
      </c>
      <c r="C19" s="85">
        <v>65</v>
      </c>
      <c r="D19" s="22">
        <f>(D$2)*440</f>
        <v>440</v>
      </c>
      <c r="E19" s="85">
        <v>65</v>
      </c>
      <c r="F19" s="22">
        <f>(F$2)*825</f>
        <v>825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(B$2)*64.8</f>
        <v>64.8</v>
      </c>
      <c r="C20" s="85">
        <v>70</v>
      </c>
      <c r="D20" s="22">
        <f>(D$2)*432</f>
        <v>432</v>
      </c>
      <c r="E20" s="85">
        <v>70</v>
      </c>
      <c r="F20" s="22">
        <f>(F$2)*810</f>
        <v>810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(B$2)*63.6</f>
        <v>63.6</v>
      </c>
      <c r="C21" s="85">
        <v>75</v>
      </c>
      <c r="D21" s="22">
        <f>(D$2)*424</f>
        <v>424</v>
      </c>
      <c r="E21" s="85">
        <v>75</v>
      </c>
      <c r="F21" s="22">
        <f>(F$2)*795</f>
        <v>795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(B$2)*62.4</f>
        <v>62.4</v>
      </c>
      <c r="C22" s="85">
        <v>80</v>
      </c>
      <c r="D22" s="22">
        <f>(D$2)*416</f>
        <v>416</v>
      </c>
      <c r="E22" s="85">
        <v>80</v>
      </c>
      <c r="F22" s="22">
        <f>(F$2)*780</f>
        <v>780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(B$2)*61.2</f>
        <v>61.2</v>
      </c>
      <c r="C23" s="85">
        <v>85</v>
      </c>
      <c r="D23" s="22">
        <f>(D$2)*408</f>
        <v>408</v>
      </c>
      <c r="E23" s="85">
        <v>85</v>
      </c>
      <c r="F23" s="22">
        <f>(F$2)*765</f>
        <v>765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(B$2)*60</f>
        <v>60</v>
      </c>
      <c r="C24" s="85">
        <v>90</v>
      </c>
      <c r="D24" s="22">
        <f>(D$2)*400</f>
        <v>400</v>
      </c>
      <c r="E24" s="85">
        <v>90</v>
      </c>
      <c r="F24" s="22">
        <f>(F$2)*750</f>
        <v>750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(B$2)*58.8</f>
        <v>58.8</v>
      </c>
      <c r="C25" s="85">
        <v>95</v>
      </c>
      <c r="D25" s="22">
        <f>(D$2)*392</f>
        <v>392</v>
      </c>
      <c r="E25" s="85">
        <v>95</v>
      </c>
      <c r="F25" s="22">
        <f>(F$2)*735</f>
        <v>735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(B$2)*58.2</f>
        <v>58.2</v>
      </c>
      <c r="C26" s="85">
        <v>100</v>
      </c>
      <c r="D26" s="22">
        <f>(D$2)*388</f>
        <v>388</v>
      </c>
      <c r="E26" s="85">
        <v>100</v>
      </c>
      <c r="F26" s="22">
        <f>(F$2)*727.5</f>
        <v>727.5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(B$2)*51.6</f>
        <v>51.6</v>
      </c>
      <c r="C27" s="85">
        <v>150</v>
      </c>
      <c r="D27" s="22">
        <f>(D$2)*344</f>
        <v>344</v>
      </c>
      <c r="E27" s="85">
        <v>150</v>
      </c>
      <c r="F27" s="22">
        <f>(F$2)*645</f>
        <v>645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(B$2)*46.8</f>
        <v>46.8</v>
      </c>
      <c r="C28" s="85">
        <v>200</v>
      </c>
      <c r="D28" s="22">
        <f>(D$2)*312</f>
        <v>312</v>
      </c>
      <c r="E28" s="85">
        <v>200</v>
      </c>
      <c r="F28" s="22">
        <f>(F$2)*585</f>
        <v>585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(B$2)*42.6</f>
        <v>42.6</v>
      </c>
      <c r="C29" s="85">
        <v>250</v>
      </c>
      <c r="D29" s="22">
        <f>(D$2)*284</f>
        <v>284</v>
      </c>
      <c r="E29" s="85">
        <v>250</v>
      </c>
      <c r="F29" s="22">
        <f>(F$2)*532.5</f>
        <v>532.5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(B$2)*38.4</f>
        <v>38.4</v>
      </c>
      <c r="C30" s="85">
        <v>300</v>
      </c>
      <c r="D30" s="22">
        <f>(D$2)*256</f>
        <v>256</v>
      </c>
      <c r="E30" s="85">
        <v>300</v>
      </c>
      <c r="F30" s="22">
        <f>(F$2)*480</f>
        <v>480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(B$2)*34.8</f>
        <v>34.799999999999997</v>
      </c>
      <c r="C31" s="85">
        <v>350</v>
      </c>
      <c r="D31" s="22">
        <f>(D$2)*232</f>
        <v>232</v>
      </c>
      <c r="E31" s="85">
        <v>350</v>
      </c>
      <c r="F31" s="22">
        <f>(F$2)*435</f>
        <v>435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(B$2)*31.2</f>
        <v>31.2</v>
      </c>
      <c r="C32" s="85">
        <v>400</v>
      </c>
      <c r="D32" s="22">
        <f>(D$2)*208</f>
        <v>208</v>
      </c>
      <c r="E32" s="85">
        <v>400</v>
      </c>
      <c r="F32" s="22">
        <f>(F$2)*390</f>
        <v>390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(B$2)*28.2</f>
        <v>28.2</v>
      </c>
      <c r="C33" s="85">
        <v>450</v>
      </c>
      <c r="D33" s="22">
        <f>(D$2)*188</f>
        <v>188</v>
      </c>
      <c r="E33" s="85">
        <v>450</v>
      </c>
      <c r="F33" s="22">
        <f>(F$2)*352.5</f>
        <v>352.5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(B$2)*25.2</f>
        <v>25.2</v>
      </c>
      <c r="C34" s="85">
        <v>500</v>
      </c>
      <c r="D34" s="22">
        <f>(D$2)*168</f>
        <v>168</v>
      </c>
      <c r="E34" s="85">
        <v>500</v>
      </c>
      <c r="F34" s="22">
        <f>(F$2)*315</f>
        <v>315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(B$2)*22.8</f>
        <v>22.8</v>
      </c>
      <c r="C35" s="85">
        <v>550</v>
      </c>
      <c r="D35" s="22">
        <f>(D$2)*152</f>
        <v>152</v>
      </c>
      <c r="E35" s="85">
        <v>550</v>
      </c>
      <c r="F35" s="22">
        <f>(F$2)*285</f>
        <v>285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(B$2)*20.4</f>
        <v>20.399999999999999</v>
      </c>
      <c r="C36" s="85">
        <v>600</v>
      </c>
      <c r="D36" s="22">
        <f>(D$2)*136</f>
        <v>136</v>
      </c>
      <c r="E36" s="85">
        <v>600</v>
      </c>
      <c r="F36" s="22">
        <f>(F$2)*255</f>
        <v>255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(B$2)*18</f>
        <v>18</v>
      </c>
      <c r="C37" s="85">
        <v>650</v>
      </c>
      <c r="D37" s="22">
        <f>(D$2)*120</f>
        <v>120</v>
      </c>
      <c r="E37" s="85">
        <v>650</v>
      </c>
      <c r="F37" s="22">
        <f>(F$2)*225</f>
        <v>225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(B$2)*15.84</f>
        <v>15.84</v>
      </c>
      <c r="C38" s="85">
        <v>700</v>
      </c>
      <c r="D38" s="22">
        <f>(D$2)*105.6</f>
        <v>105.6</v>
      </c>
      <c r="E38" s="85">
        <v>700</v>
      </c>
      <c r="F38" s="22">
        <f>(F$2)*198</f>
        <v>198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(B$2)*13.8</f>
        <v>13.8</v>
      </c>
      <c r="C39" s="85">
        <v>750</v>
      </c>
      <c r="D39" s="22">
        <f>(D$2)*92</f>
        <v>92</v>
      </c>
      <c r="E39" s="85">
        <v>750</v>
      </c>
      <c r="F39" s="22">
        <f>(F$2)*172.5</f>
        <v>172.5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(B$2)*12</f>
        <v>12</v>
      </c>
      <c r="C40" s="94">
        <v>800</v>
      </c>
      <c r="D40" s="24">
        <f>(D$2)*80</f>
        <v>80</v>
      </c>
      <c r="E40" s="94">
        <v>800</v>
      </c>
      <c r="F40" s="24">
        <f>(F$2)*150</f>
        <v>150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15.84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105.6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198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 t="str">
        <f>Input!$D$30</f>
        <v>HS5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144</v>
      </c>
      <c r="N47" s="124" t="s">
        <v>234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5"/>
      <c r="O48" s="17"/>
      <c r="P48" s="17"/>
      <c r="V48" s="274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</row>
    <row r="49" spans="1:28">
      <c r="A49" s="140" t="s">
        <v>46</v>
      </c>
      <c r="B49" s="173" t="s">
        <v>30</v>
      </c>
      <c r="C49" s="141">
        <v>3900</v>
      </c>
      <c r="D49" s="174">
        <v>66</v>
      </c>
      <c r="E49" s="141">
        <v>0.8</v>
      </c>
      <c r="F49" s="141">
        <f>1000</f>
        <v>1000</v>
      </c>
      <c r="G49" s="141">
        <v>50</v>
      </c>
      <c r="H49" s="147">
        <f t="shared" ref="H49:H53" si="2">$E49*$F49*($C49/60)^3*($D49/1000)^5</f>
        <v>275.1374669472001</v>
      </c>
      <c r="I49" s="171">
        <v>1.1000000000000001</v>
      </c>
      <c r="J49" s="145">
        <f t="shared" si="0"/>
        <v>0.67366350560995225</v>
      </c>
      <c r="K49" s="143">
        <f t="shared" si="1"/>
        <v>5.5027493389440023</v>
      </c>
      <c r="L49" s="145">
        <f t="shared" ref="L49:L53" si="3">3.14*$D49/1000*$C$48/60</f>
        <v>13.470599999999999</v>
      </c>
      <c r="M49" s="140">
        <v>80</v>
      </c>
      <c r="N49" s="195"/>
      <c r="O49" s="17"/>
      <c r="P49" s="17"/>
      <c r="V49" s="274"/>
      <c r="W49" s="131" t="s">
        <v>47</v>
      </c>
      <c r="X49" s="149" cm="1">
        <f t="array" ref="X49">IF($B$45=0,
IF($B$44="N/A","N/A",IF(Input!$D$14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$D$14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3900</v>
      </c>
      <c r="Y49" s="49" t="s">
        <v>248</v>
      </c>
      <c r="Z49" s="149">
        <f>$X$49</f>
        <v>3900</v>
      </c>
      <c r="AA49" s="152" t="s">
        <v>248</v>
      </c>
      <c r="AB49" s="17"/>
    </row>
    <row r="50" spans="1:28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IF($B$44=$B50,Input!$D$14,IF($B$45=$B50,Input!$D$14,1000))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195"/>
      <c r="O50" s="17"/>
      <c r="P50" s="17"/>
      <c r="V50" s="274"/>
      <c r="W50" s="132" t="s">
        <v>8</v>
      </c>
      <c r="X50" s="155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0.58611843495244542</v>
      </c>
      <c r="Y50" s="85" t="s">
        <v>9</v>
      </c>
      <c r="Z50" s="150">
        <f>IF($X$50="N/A",
           "N/A",
             $X$50/0.264172)</f>
        <v>2.2187000702286594</v>
      </c>
      <c r="AA50" s="136" t="s">
        <v>249</v>
      </c>
      <c r="AB50" s="17"/>
    </row>
    <row r="51" spans="1:28">
      <c r="A51" s="140" t="s">
        <v>46</v>
      </c>
      <c r="B51" s="173" t="s">
        <v>31</v>
      </c>
      <c r="C51" s="141">
        <v>3900</v>
      </c>
      <c r="D51" s="174">
        <v>105</v>
      </c>
      <c r="E51" s="141">
        <v>0.5</v>
      </c>
      <c r="F51" s="141">
        <f>1000</f>
        <v>1000</v>
      </c>
      <c r="G51" s="141">
        <v>850</v>
      </c>
      <c r="H51" s="147">
        <f t="shared" si="2"/>
        <v>1752.4941205078119</v>
      </c>
      <c r="I51" s="144">
        <v>7.8</v>
      </c>
      <c r="J51" s="147">
        <f t="shared" si="0"/>
        <v>4.2909144504433581</v>
      </c>
      <c r="K51" s="143">
        <f t="shared" si="1"/>
        <v>2.0617577888327197</v>
      </c>
      <c r="L51" s="145">
        <f t="shared" si="3"/>
        <v>21.430499999999999</v>
      </c>
      <c r="M51" s="140">
        <v>114</v>
      </c>
      <c r="N51" s="195"/>
      <c r="O51" s="17"/>
      <c r="P51" s="17"/>
      <c r="V51" s="274"/>
      <c r="W51" s="132" t="s">
        <v>10</v>
      </c>
      <c r="X51" s="154">
        <f>IF($B$45=0,
IF($X$49=$B$44,"N/A",3.14*VLOOKUP($B$44,$B$48:$N$53,3,FALSE)/1000*$X$49/60),
3.14*VLOOKUP($B$45,$B$48:$N$53,3,FALSE)/1000*$X$49/60)</f>
        <v>21.430499999999999</v>
      </c>
      <c r="Y51" s="136" t="s">
        <v>11</v>
      </c>
      <c r="Z51" s="151">
        <f>IF($X$51="N/A",
           "N/A",
             $X$51*196.85)</f>
        <v>4218.5939249999992</v>
      </c>
      <c r="AA51" s="136" t="s">
        <v>250</v>
      </c>
      <c r="AB51" s="17"/>
    </row>
    <row r="52" spans="1:28" ht="32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3.6048934063165246</v>
      </c>
      <c r="L52" s="104">
        <f t="shared" si="3"/>
        <v>28.369899999999998</v>
      </c>
      <c r="M52" s="17">
        <v>160</v>
      </c>
      <c r="N52" s="195"/>
      <c r="O52" s="17"/>
      <c r="P52" s="17"/>
      <c r="V52" s="274"/>
      <c r="W52" s="192" t="s">
        <v>403</v>
      </c>
      <c r="X52" s="247" t="str">
        <f>IF($X$54="N/A","N/A",
IF(LEN($X$54)=3,"",
MROUND(Input!$D$12/$X$60*3,0.05)))</f>
        <v>N/A</v>
      </c>
      <c r="Y52" s="17" t="s">
        <v>275</v>
      </c>
      <c r="Z52" s="248" t="str">
        <f>$X$52</f>
        <v>N/A</v>
      </c>
      <c r="AA52" s="27"/>
      <c r="AB52" s="17"/>
    </row>
    <row r="53" spans="1:28" ht="15" customHeight="1">
      <c r="A53" s="140" t="s">
        <v>46</v>
      </c>
      <c r="B53" s="173" t="s">
        <v>32</v>
      </c>
      <c r="C53" s="166">
        <v>3500</v>
      </c>
      <c r="D53" s="174">
        <v>139</v>
      </c>
      <c r="E53" s="140">
        <v>0.7</v>
      </c>
      <c r="F53" s="166">
        <f>1000</f>
        <v>1000</v>
      </c>
      <c r="G53" s="166">
        <v>2000</v>
      </c>
      <c r="H53" s="147">
        <f t="shared" si="2"/>
        <v>7209.7868126330495</v>
      </c>
      <c r="I53" s="168">
        <v>26</v>
      </c>
      <c r="J53" s="169">
        <f t="shared" si="0"/>
        <v>19.670358363952285</v>
      </c>
      <c r="K53" s="170">
        <f t="shared" si="1"/>
        <v>3.6048934063165246</v>
      </c>
      <c r="L53" s="145">
        <f t="shared" si="3"/>
        <v>28.369899999999998</v>
      </c>
      <c r="M53" s="140">
        <v>160</v>
      </c>
      <c r="N53" s="195"/>
      <c r="O53" s="17"/>
      <c r="P53" s="17"/>
      <c r="V53" s="274"/>
      <c r="W53" s="192" t="s">
        <v>404</v>
      </c>
      <c r="X53" s="247" t="str">
        <f>IF($X$54="N/A","N/A",
MROUND(Input!$D$12/$X$60*5,0.05))</f>
        <v>N/A</v>
      </c>
      <c r="Y53" s="17" t="s">
        <v>275</v>
      </c>
      <c r="Z53" s="248" t="str">
        <f>$X$53</f>
        <v>N/A</v>
      </c>
      <c r="AA53" s="27"/>
      <c r="AB53" s="17"/>
    </row>
    <row r="54" spans="1:28" ht="33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74"/>
      <c r="W54" s="153" t="s">
        <v>263</v>
      </c>
      <c r="X54" s="157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N/A</v>
      </c>
      <c r="Y54" s="29"/>
      <c r="Z54" s="249" t="str">
        <f>$X$54</f>
        <v>N/A</v>
      </c>
      <c r="AA54" s="29"/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74" t="s">
        <v>255</v>
      </c>
      <c r="W55" s="131" t="s">
        <v>258</v>
      </c>
      <c r="X55" s="186">
        <f>IF(Input!$E$30=0,$X$49,Input!$E$30)</f>
        <v>3900</v>
      </c>
      <c r="Y55" s="85" t="s">
        <v>248</v>
      </c>
      <c r="Z55" s="187">
        <f>$X$55</f>
        <v>3900</v>
      </c>
      <c r="AA55" s="136" t="s">
        <v>248</v>
      </c>
      <c r="AB55" s="17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74"/>
      <c r="W56" s="132" t="s">
        <v>8</v>
      </c>
      <c r="X56" s="180">
        <f>IF($B$45=0,
IF($B$44=$X$49,"N/A",(VLOOKUP($B$44,$B$48:$N$53,4,FALSE)*Input!$D$14*($X$55/60)^3*(((VLOOKUP($B$44,$B$48:$N$53,3,FALSE))/1000)^5)/Input!$D$12)),
(VLOOKUP($B$45,$B$48:$N$53,4,FALSE)*Input!$D$14*($X$55/60)^3*(((VLOOKUP($B$45,$B$48:$N$53,3,FALSE))/1000)^5)/Input!$D$12))</f>
        <v>0.58611843495244542</v>
      </c>
      <c r="Y56" s="85" t="s">
        <v>9</v>
      </c>
      <c r="Z56" s="183">
        <f>IF($X$56="N/A",
           "N/A",
             $X$56/0.264172)</f>
        <v>2.2187000702286594</v>
      </c>
      <c r="AA56" s="136" t="s">
        <v>249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74"/>
      <c r="W57" s="132" t="s">
        <v>259</v>
      </c>
      <c r="X57" s="181">
        <f>IF($B$45=0,
IF($X$49=$B$44,"N/A",3.14*VLOOKUP($B$44,$B$48:$N$53,3,FALSE)/1000*$X$55/60),
3.14*VLOOKUP($B$45,$B$48:$N$53,3,FALSE)/1000*$X$55/60)</f>
        <v>21.430499999999999</v>
      </c>
      <c r="Y57" s="136" t="s">
        <v>11</v>
      </c>
      <c r="Z57" s="184">
        <f>IF($X$57="N/A",
           "N/A",
            $X$57*196.85)</f>
        <v>4218.5939249999992</v>
      </c>
      <c r="AA57" s="136" t="s">
        <v>250</v>
      </c>
      <c r="AB57" s="17"/>
    </row>
    <row r="58" spans="1:28" ht="49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74"/>
      <c r="W58" s="153" t="s">
        <v>264</v>
      </c>
      <c r="X58" s="182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275</v>
      </c>
      <c r="Z58" s="250" t="str">
        <f>$X$58</f>
        <v>N/A</v>
      </c>
      <c r="AA58" s="94" t="s">
        <v>275</v>
      </c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8" t="s">
        <v>233</v>
      </c>
      <c r="X59" s="158">
        <v>0.5</v>
      </c>
      <c r="Y59" s="158"/>
      <c r="Z59" s="158"/>
      <c r="AA59" s="158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58" t="s">
        <v>261</v>
      </c>
      <c r="X60" s="158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0</v>
      </c>
      <c r="Y60" s="158"/>
      <c r="Z60" s="158"/>
      <c r="AA60" s="158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158" t="s">
        <v>262</v>
      </c>
      <c r="X61" s="158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0</v>
      </c>
      <c r="Y61" s="158"/>
      <c r="Z61" s="158"/>
      <c r="AA61" s="158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8" t="s">
        <v>396</v>
      </c>
      <c r="X62" s="246" t="str">
        <f>IF(OR($X$60=0,AND($B$45=0,$B$44="N/A")),
          "N/A",
           Input!$D$12/$X$60*3)</f>
        <v>N/A</v>
      </c>
      <c r="Y62" s="158"/>
      <c r="Z62" s="158"/>
      <c r="AA62" s="158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4"/>
      <c r="M63" s="17"/>
      <c r="N63" s="17"/>
      <c r="O63" s="17"/>
      <c r="P63" s="17"/>
      <c r="V63" s="17"/>
      <c r="W63" s="158" t="s">
        <v>397</v>
      </c>
      <c r="X63" s="246" t="str">
        <f>IF(OR($X$60=0,AND($B$45=0,$B$44="N/A")),
          "N/A",
            Input!$D$12/$X$60*5)</f>
        <v>N/A</v>
      </c>
      <c r="Y63" s="158"/>
      <c r="Z63" s="158"/>
      <c r="AA63" s="158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59" t="str">
        <f>CONCATENATE("Tank Turnovers at ",Input!D15,"cP")</f>
        <v>Tank Turnovers at 700cP</v>
      </c>
      <c r="X66" s="133" t="s">
        <v>260</v>
      </c>
      <c r="Y66" s="135" t="s">
        <v>255</v>
      </c>
      <c r="Z66" s="135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60">
        <v>0</v>
      </c>
      <c r="X67" s="161" t="str">
        <f>IF(OR($X$60=0,$X$60="N/A"),
           "N/A",
             Input!$D$12/$X$60*$W67)</f>
        <v>N/A</v>
      </c>
      <c r="Y67" s="188" t="str">
        <f>IF(OR($X$61=0,$X$61="N/A"),
           "N/A",
             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60">
        <v>1</v>
      </c>
      <c r="X68" s="161" t="str">
        <f>IF(OR($X$60=0,$X$60="N/A"),
           "N/A",
             Input!$D$12/$X$60*$W68)</f>
        <v>N/A</v>
      </c>
      <c r="Y68" s="188" t="str">
        <f>IF(OR($X$61=0,$X$61="N/A"),
           "N/A",
             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60">
        <v>2</v>
      </c>
      <c r="X69" s="161" t="str">
        <f>IF(OR($X$60=0,$X$60="N/A"),
           "N/A",
             Input!$D$12/$X$60*$W69)</f>
        <v>N/A</v>
      </c>
      <c r="Y69" s="188" t="str">
        <f>IF(OR($X$61=0,$X$61="N/A"),
           "N/A",
             Input!$D$12/$X$61*$W69)</f>
        <v>N/A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0">
        <v>3</v>
      </c>
      <c r="X70" s="161" t="str">
        <f>IF(OR($X$60=0,$X$60="N/A"),
           "N/A",
             Input!$D$12/$X$60*$W70)</f>
        <v>N/A</v>
      </c>
      <c r="Y70" s="188" t="str">
        <f>IF(OR($X$61=0,$X$61="N/A"),
           "N/A",
             Input!$D$12/$X$61*$W70)</f>
        <v>N/A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60">
        <v>4</v>
      </c>
      <c r="X71" s="161" t="str">
        <f>IF(OR($X$60=0,$X$60="N/A"),
           "N/A",
             Input!$D$12/$X$60*$W71)</f>
        <v>N/A</v>
      </c>
      <c r="Y71" s="188" t="str">
        <f>IF(OR($X$61=0,$X$61="N/A"),
           "N/A",
             Input!$D$12/$X$61*$W71)</f>
        <v>N/A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60">
        <v>5</v>
      </c>
      <c r="X72" s="161" t="str">
        <f>IF(OR($X$60=0,$X$60="N/A"),
           "N/A",
             Input!$D$12/$X$60*$W72)</f>
        <v>N/A</v>
      </c>
      <c r="Y72" s="188" t="str">
        <f>IF(OR($X$61=0,$X$61="N/A"),
           "N/A",
             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0">
        <v>6</v>
      </c>
      <c r="X73" s="161" t="str">
        <f>IF(OR($X$60=0,$X$60="N/A"),
           "N/A",
             Input!$D$12/$X$60*$W73)</f>
        <v>N/A</v>
      </c>
      <c r="Y73" s="188" t="str">
        <f>IF(OR($X$61=0,$X$61="N/A"),
           "N/A",
             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60">
        <v>7</v>
      </c>
      <c r="X74" s="161" t="str">
        <f>IF(OR($X$60=0,$X$60="N/A"),
           "N/A",
             Input!$D$12/$X$60*$W74)</f>
        <v>N/A</v>
      </c>
      <c r="Y74" s="188" t="str">
        <f>IF(OR($X$61=0,$X$61="N/A"),
           "N/A",
             Input!$D$12/$X$61*$W74)</f>
        <v>N/A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60">
        <v>8</v>
      </c>
      <c r="X75" s="161" t="str">
        <f>IF(OR($X$60=0,$X$60="N/A"),
           "N/A",
             Input!$D$12/$X$60*$W75)</f>
        <v>N/A</v>
      </c>
      <c r="Y75" s="188" t="str">
        <f>IF(OR($X$61=0,$X$61="N/A"),
           "N/A",
             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251"/>
      <c r="K76" s="17"/>
      <c r="L76" s="46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60">
        <v>9</v>
      </c>
      <c r="X76" s="161" t="str">
        <f>IF(OR($X$60=0,$X$60="N/A"),
           "N/A",
             Input!$D$12/$X$60*$W76)</f>
        <v>N/A</v>
      </c>
      <c r="Y76" s="188" t="str">
        <f>IF(OR($X$61=0,$X$61="N/A"),
           "N/A",
             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87"/>
      <c r="K77" s="17"/>
      <c r="L77" s="86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60">
        <v>10</v>
      </c>
      <c r="X77" s="161" t="str">
        <f>IF(OR($X$60=0,$X$60="N/A"),
           "N/A",
             Input!$D$12/$X$60*$W77)</f>
        <v>N/A</v>
      </c>
      <c r="Y77" s="188" t="str">
        <f>IF(OR($X$61=0,$X$61="N/A"),
           "N/A",
             Input!$D$12/$X$61*$W77)</f>
        <v>N/A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5:Y65"/>
    <mergeCell ref="B2:C2"/>
    <mergeCell ref="D2:E2"/>
    <mergeCell ref="F2:G2"/>
    <mergeCell ref="V55:V58"/>
    <mergeCell ref="V48:V54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44" workbookViewId="0">
      <selection activeCell="P54" sqref="P54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4" max="14" width="13.5" customWidth="1"/>
    <col min="17" max="17" width="0" hidden="1" customWidth="1"/>
    <col min="18" max="18" width="18.83203125" hidden="1" customWidth="1"/>
    <col min="19" max="21" width="0" hidden="1" customWidth="1"/>
    <col min="23" max="23" width="20.1640625" customWidth="1"/>
    <col min="24" max="24" width="9.83203125" bestFit="1" customWidth="1"/>
    <col min="25" max="25" width="10.83203125" customWidth="1"/>
    <col min="29" max="29" width="9.8320312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77">
        <f>IF(Input!$D$13="Gentle",1.2,IF(Input!$D$13="Vigorous", 0.8,1))</f>
        <v>1</v>
      </c>
      <c r="C2" s="278"/>
      <c r="D2" s="277">
        <f>IF(Input!$D$13="Gentle",1.2,IF(Input!$D$13="Vigorous", 0.8,1))</f>
        <v>1</v>
      </c>
      <c r="E2" s="27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2">
        <f>(B$2)*250</f>
        <v>250</v>
      </c>
      <c r="C6" s="85">
        <v>1</v>
      </c>
      <c r="D6" s="50">
        <f>(D$2)*3000</f>
        <v>3000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(B$2)*227.5</f>
        <v>227.5</v>
      </c>
      <c r="C7" s="85">
        <v>5</v>
      </c>
      <c r="D7" s="50">
        <f>(D$2)*2730</f>
        <v>2730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(B$2)*207.5</f>
        <v>207.5</v>
      </c>
      <c r="C8" s="85">
        <v>10</v>
      </c>
      <c r="D8" s="50">
        <f>(D$2)*2490</f>
        <v>2490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(B$2)*192.5</f>
        <v>192.5</v>
      </c>
      <c r="C9" s="85">
        <v>15</v>
      </c>
      <c r="D9" s="50">
        <f>(D$2)*2310</f>
        <v>2310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(B$2)*180</f>
        <v>180</v>
      </c>
      <c r="C10" s="85">
        <v>20</v>
      </c>
      <c r="D10" s="50">
        <f>(D$2)*2160</f>
        <v>2160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(B$2)*170</f>
        <v>170</v>
      </c>
      <c r="C11" s="85">
        <v>25</v>
      </c>
      <c r="D11" s="50">
        <f>(D$2)*2040</f>
        <v>2040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(B$2)*163.75</f>
        <v>163.75</v>
      </c>
      <c r="C12" s="85">
        <v>30</v>
      </c>
      <c r="D12" s="50">
        <f>(D$2)*1965</f>
        <v>1965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(B$2)*157.5</f>
        <v>157.5</v>
      </c>
      <c r="C13" s="85">
        <v>35</v>
      </c>
      <c r="D13" s="50">
        <f>(D$2)*1890</f>
        <v>1890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(B$2)*153.75</f>
        <v>153.75</v>
      </c>
      <c r="C14" s="85">
        <v>40</v>
      </c>
      <c r="D14" s="50">
        <f>(D$2)*1845</f>
        <v>1845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(B$2)*150</f>
        <v>150</v>
      </c>
      <c r="C15" s="85">
        <v>45</v>
      </c>
      <c r="D15" s="50">
        <f>(D$2)*1800</f>
        <v>1800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(B$2)*146.5</f>
        <v>146.5</v>
      </c>
      <c r="C16" s="85">
        <v>50</v>
      </c>
      <c r="D16" s="50">
        <f>(D$2)*1758</f>
        <v>1758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(B$2)*142.5</f>
        <v>142.5</v>
      </c>
      <c r="C17" s="85">
        <v>55</v>
      </c>
      <c r="D17" s="50">
        <f>(D$2)*1710</f>
        <v>1710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(B$2)*140</f>
        <v>140</v>
      </c>
      <c r="C18" s="85">
        <v>60</v>
      </c>
      <c r="D18" s="50">
        <f>(D$2)*1680</f>
        <v>1680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(B$2)*137.5</f>
        <v>137.5</v>
      </c>
      <c r="C19" s="85">
        <v>65</v>
      </c>
      <c r="D19" s="50">
        <f>(D$2)*1650</f>
        <v>1650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(B$2)*135</f>
        <v>135</v>
      </c>
      <c r="C20" s="85">
        <v>70</v>
      </c>
      <c r="D20" s="50">
        <f>(D$2)*1620</f>
        <v>1620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(B$2)*132.5</f>
        <v>132.5</v>
      </c>
      <c r="C21" s="85">
        <v>75</v>
      </c>
      <c r="D21" s="50">
        <f>(D$2)*1590</f>
        <v>1590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(B$2)*130</f>
        <v>130</v>
      </c>
      <c r="C22" s="85">
        <v>80</v>
      </c>
      <c r="D22" s="50">
        <f>(D$2)*1560</f>
        <v>1560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(B$2)*127.5</f>
        <v>127.5</v>
      </c>
      <c r="C23" s="85">
        <v>85</v>
      </c>
      <c r="D23" s="50">
        <f>(D$2)*1530</f>
        <v>1530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(B$2)*125</f>
        <v>125</v>
      </c>
      <c r="C24" s="85">
        <v>90</v>
      </c>
      <c r="D24" s="50">
        <f>(D$2)*1500</f>
        <v>1500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(B$2)*122.5</f>
        <v>122.5</v>
      </c>
      <c r="C25" s="85">
        <v>95</v>
      </c>
      <c r="D25" s="50">
        <f>(D$2)*1470</f>
        <v>1470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(B$2)*121.25</f>
        <v>121.25</v>
      </c>
      <c r="C26" s="85">
        <v>100</v>
      </c>
      <c r="D26" s="50">
        <f>(D$2)*1455</f>
        <v>1455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(B$2)*107.5</f>
        <v>107.5</v>
      </c>
      <c r="C27" s="85">
        <v>150</v>
      </c>
      <c r="D27" s="50">
        <f>(D$2)*1290</f>
        <v>1290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(B$2)*97.5</f>
        <v>97.5</v>
      </c>
      <c r="C28" s="85">
        <v>200</v>
      </c>
      <c r="D28" s="50">
        <f>(D$2)*1170</f>
        <v>1170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(B$2)*88.75</f>
        <v>88.75</v>
      </c>
      <c r="C29" s="85">
        <v>250</v>
      </c>
      <c r="D29" s="50">
        <f>(D$2)*1065</f>
        <v>1065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(B$2)*80</f>
        <v>80</v>
      </c>
      <c r="C30" s="85">
        <v>300</v>
      </c>
      <c r="D30" s="50">
        <f>(D$2)*960</f>
        <v>960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(B$2)*72.5</f>
        <v>72.5</v>
      </c>
      <c r="C31" s="85">
        <v>350</v>
      </c>
      <c r="D31" s="50">
        <f>(D$2)*870</f>
        <v>870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(B$2)*65</f>
        <v>65</v>
      </c>
      <c r="C32" s="85">
        <v>400</v>
      </c>
      <c r="D32" s="50">
        <f>(D$2)*780</f>
        <v>780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(B$2)*58.75</f>
        <v>58.75</v>
      </c>
      <c r="C33" s="85">
        <v>450</v>
      </c>
      <c r="D33" s="50">
        <f>(D$2)*705</f>
        <v>705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(B$2)*52.5</f>
        <v>52.5</v>
      </c>
      <c r="C34" s="85">
        <v>500</v>
      </c>
      <c r="D34" s="50">
        <f>(D$2)*630</f>
        <v>630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(B$2)*47.5</f>
        <v>47.5</v>
      </c>
      <c r="C35" s="85">
        <v>550</v>
      </c>
      <c r="D35" s="50">
        <f>(D$2)*570</f>
        <v>570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(B$2)*42.5</f>
        <v>42.5</v>
      </c>
      <c r="C36" s="85">
        <v>600</v>
      </c>
      <c r="D36" s="50">
        <f>(D$2)*510</f>
        <v>510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(B$2)*37.5</f>
        <v>37.5</v>
      </c>
      <c r="C37" s="85">
        <v>650</v>
      </c>
      <c r="D37" s="50">
        <f>(D$2)*450</f>
        <v>450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(B$2)*33</f>
        <v>33</v>
      </c>
      <c r="C38" s="85">
        <v>700</v>
      </c>
      <c r="D38" s="50">
        <f>(D$2)*396</f>
        <v>396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(B$2)*28.75</f>
        <v>28.75</v>
      </c>
      <c r="C39" s="85">
        <v>750</v>
      </c>
      <c r="D39" s="50">
        <f>(D$2)*345</f>
        <v>345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(B$2)*25</f>
        <v>25</v>
      </c>
      <c r="C40" s="94">
        <v>800</v>
      </c>
      <c r="D40" s="51">
        <f>(D$2)*300</f>
        <v>300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256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33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396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IF($D$41&lt;Input!D12,"N/A",IF(Input!D12&lt;=$B$41,$B$5,IF(Input!D12&lt;=$D$41,$D$5,)))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Input!$D$31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3" thickBot="1">
      <c r="A47" s="17"/>
      <c r="B47" s="177" t="s">
        <v>36</v>
      </c>
      <c r="C47" s="177" t="s">
        <v>37</v>
      </c>
      <c r="D47" s="101" t="s">
        <v>38</v>
      </c>
      <c r="E47" s="177" t="s">
        <v>120</v>
      </c>
      <c r="F47" s="177" t="s">
        <v>39</v>
      </c>
      <c r="G47" s="177" t="s">
        <v>40</v>
      </c>
      <c r="H47" s="177" t="s">
        <v>41</v>
      </c>
      <c r="I47" s="178" t="s">
        <v>42</v>
      </c>
      <c r="J47" s="178" t="s">
        <v>43</v>
      </c>
      <c r="K47" s="177" t="s">
        <v>44</v>
      </c>
      <c r="L47" s="177" t="s">
        <v>45</v>
      </c>
      <c r="M47" s="177" t="s">
        <v>144</v>
      </c>
      <c r="N47" s="124" t="s">
        <v>234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IF($B$44=$B48,Input!$D$14,IF($B$45=$B48,Input!$D$14,1000))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/>
      <c r="O48" s="17"/>
      <c r="P48" s="17"/>
      <c r="V48" s="274" t="s">
        <v>257</v>
      </c>
      <c r="W48" s="134"/>
      <c r="X48" s="130" t="s">
        <v>242</v>
      </c>
      <c r="Y48" s="138" t="s">
        <v>251</v>
      </c>
      <c r="Z48" s="130" t="s">
        <v>247</v>
      </c>
      <c r="AA48" s="138" t="s">
        <v>251</v>
      </c>
      <c r="AB48" s="17"/>
    </row>
    <row r="49" spans="1:28">
      <c r="A49" s="140" t="s">
        <v>46</v>
      </c>
      <c r="B49" s="141" t="s">
        <v>33</v>
      </c>
      <c r="C49" s="141">
        <v>350</v>
      </c>
      <c r="D49" s="142">
        <v>140</v>
      </c>
      <c r="E49" s="141">
        <v>2.4</v>
      </c>
      <c r="F49" s="141">
        <f>1000</f>
        <v>1000</v>
      </c>
      <c r="G49" s="141">
        <v>250</v>
      </c>
      <c r="H49" s="147">
        <f t="shared" ref="H49:H51" si="2">$E49*$F49*($C49/60)^3*($D49/1000)^5</f>
        <v>25.621337777777779</v>
      </c>
      <c r="I49" s="171">
        <v>1.5</v>
      </c>
      <c r="J49" s="145">
        <f t="shared" si="0"/>
        <v>0.69902329839999999</v>
      </c>
      <c r="K49" s="143">
        <f t="shared" si="1"/>
        <v>0.10248535111111111</v>
      </c>
      <c r="L49" s="145">
        <f t="shared" ref="L49:L51" si="3">3.14*$D49/1000*$C$48/60</f>
        <v>2.5643333333333334</v>
      </c>
      <c r="M49" s="140">
        <v>109.5</v>
      </c>
      <c r="N49" s="141"/>
      <c r="O49" s="17"/>
      <c r="P49" s="17"/>
      <c r="V49" s="274"/>
      <c r="W49" s="131" t="s">
        <v>47</v>
      </c>
      <c r="X49" s="149" t="str" cm="1">
        <f t="array" ref="X49">IF($B$45=0,
IF($B$44="N/A","N/A",IF(Input!$D$14&lt;=1000,VLOOKUP($B$44,$B$48:$N$51,2,FALSE),ROUNDDOWN((SQRT((213500000000000000*(INDEX($B$48:$N$51,(MATCH($B$44,$B$48:$B$51,0)+1),9)))/(9.549*(INDEX($B$48:$N$51,(MATCH($B$44,$B$48:$B$51,0)),4))*((INDEX($B$48:$N$51,(MATCH($B$44,$B$48:$B$51,0)),5))/1000)*((INDEX($B$48:$N51,(MATCH($B$44,$B$48:$B$51,0)),3))^5)))),0))),
IF(Input!$D$14&lt;=1000,VLOOKUP($B$45,$B$48:$N$51,2,FALSE),ROUNDDOWN((SQRT((213500000000000000*(INDEX($B$48:$N$51,(MATCH($B$45,$B$48:$B$51,0)+1),9)))/(9.549*(INDEX($B$48:$N$51,(MATCH($B$45,$B$48:$B$51,0)),4))*((INDEX($B$48:$N$51,(MATCH($B$45,$B$48:$B$51,0)),5))/1000)*((INDEX($B$48:$N$51,(MATCH($B$45,$B$48:$B$51,0)),3))^5)))),0)))</f>
        <v>N/A</v>
      </c>
      <c r="Y49" s="49" t="s">
        <v>248</v>
      </c>
      <c r="Z49" s="149" t="str">
        <f>$X$49</f>
        <v>N/A</v>
      </c>
      <c r="AA49" s="152" t="s">
        <v>248</v>
      </c>
      <c r="AB49" s="17"/>
    </row>
    <row r="50" spans="1:28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IF($B$44=$B50,Input!$D$14,IF($B$45=$B50,Input!$D$14,1000))</f>
        <v>1000</v>
      </c>
      <c r="G50" s="3">
        <f>IF($B$44=$B50,Input!$D$12,3000)</f>
        <v>3000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7.5017953456790104E-2</v>
      </c>
      <c r="L50" s="104">
        <f t="shared" si="3"/>
        <v>4.0296666666666674</v>
      </c>
      <c r="M50">
        <v>168</v>
      </c>
      <c r="N50" s="35"/>
      <c r="O50" s="17"/>
      <c r="P50" s="17"/>
      <c r="V50" s="274"/>
      <c r="W50" s="132" t="s">
        <v>8</v>
      </c>
      <c r="X50" s="155" t="str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N/A</v>
      </c>
      <c r="Y50" s="85" t="s">
        <v>9</v>
      </c>
      <c r="Z50" s="150" t="str">
        <f>IF($X$50="N/A",
           "N/A",
            $X$50/0.264172)</f>
        <v>N/A</v>
      </c>
      <c r="AA50" s="136" t="s">
        <v>249</v>
      </c>
      <c r="AB50" s="17"/>
    </row>
    <row r="51" spans="1:28">
      <c r="A51" s="140" t="s">
        <v>46</v>
      </c>
      <c r="B51" s="175" t="s">
        <v>34</v>
      </c>
      <c r="C51" s="166">
        <v>350</v>
      </c>
      <c r="D51" s="176">
        <v>220</v>
      </c>
      <c r="E51" s="166">
        <v>2.2000000000000002</v>
      </c>
      <c r="F51" s="166">
        <f>1000</f>
        <v>1000</v>
      </c>
      <c r="G51" s="166">
        <v>3000</v>
      </c>
      <c r="H51" s="147">
        <f t="shared" si="2"/>
        <v>225.0538603703703</v>
      </c>
      <c r="I51" s="168">
        <v>10</v>
      </c>
      <c r="J51" s="169">
        <f t="shared" si="0"/>
        <v>6.1401123219333309</v>
      </c>
      <c r="K51" s="170">
        <f t="shared" si="1"/>
        <v>7.5017953456790104E-2</v>
      </c>
      <c r="L51" s="145">
        <f t="shared" si="3"/>
        <v>4.0296666666666674</v>
      </c>
      <c r="M51" s="140">
        <v>168</v>
      </c>
      <c r="N51" s="141"/>
      <c r="O51" s="17"/>
      <c r="P51" s="17"/>
      <c r="V51" s="274"/>
      <c r="W51" s="132" t="s">
        <v>10</v>
      </c>
      <c r="X51" s="154" t="str">
        <f>IF($B$45=0,
IF($X$49=$B$44,"N/A",3.14*VLOOKUP($B$44,$B$48:$N$51,3,FALSE)/1000*$X$49/60),
3.14*VLOOKUP($B$45,$B$48:$N$51,3,FALSE)/1000*$X$49/60)</f>
        <v>N/A</v>
      </c>
      <c r="Y51" s="136" t="s">
        <v>11</v>
      </c>
      <c r="Z51" s="151" t="str">
        <f>IF($X$51="N/A",
           "N/A",
            $X$51*196.85)</f>
        <v>N/A</v>
      </c>
      <c r="AA51" s="136" t="s">
        <v>250</v>
      </c>
      <c r="AB51" s="17"/>
    </row>
    <row r="52" spans="1:28" ht="32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74"/>
      <c r="W52" s="192" t="s">
        <v>403</v>
      </c>
      <c r="X52" s="247" t="str">
        <f>IF($X$54="N/A","N/A",
IF(LEN($X$54)=3,"",
MROUND(Input!$D$12/$X$60*3,0.05)))</f>
        <v>N/A</v>
      </c>
      <c r="Y52" s="17" t="s">
        <v>275</v>
      </c>
      <c r="Z52" s="248" t="str">
        <f>$X$52</f>
        <v>N/A</v>
      </c>
      <c r="AA52" s="27"/>
      <c r="AB52" s="17"/>
    </row>
    <row r="53" spans="1:28" ht="15" customHeight="1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74"/>
      <c r="W53" s="192" t="s">
        <v>404</v>
      </c>
      <c r="X53" s="247" t="str">
        <f>IF($X$54="N/A","N/A",
MROUND(Input!$D$12/$X$60*5,0.05))</f>
        <v>N/A</v>
      </c>
      <c r="Y53" s="17" t="s">
        <v>275</v>
      </c>
      <c r="Z53" s="248" t="str">
        <f>$X$53</f>
        <v>N/A</v>
      </c>
      <c r="AA53" s="27"/>
      <c r="AB53" s="17"/>
    </row>
    <row r="54" spans="1:28" ht="33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74"/>
      <c r="W54" s="153" t="s">
        <v>263</v>
      </c>
      <c r="X54" s="157" t="str">
        <f>IF(OR($X$60=0,$X$60="N/A"),
         "N/A",
IF(
(IF(AND(OR((ROUND(($X$62-LEFT($X$62,FIND(",",$X$62)-1))*60,-1))=60,(ROUND(($X$62-LEFT($X$62,FIND(",",$X$62)-1))*60,-1))=0),ROUND($X$62,0)&gt;=1),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CONCATENATE(ROUND(($X$62-LEFT($X$62,FIND(",",$X$62)-1))*60,-1),"s"),
                                            CONCATENATE(LEFT($X$62,FIND(",",$X$62)-1),"min  ",ROUND(($X$62-LEFT($X$62,FIND(",",$X$62)-1))*60,-1),"s - "))))=
(IF(AND(OR((ROUND(($X$63-LEFT($X$63,FIND(",",$X$63)-1))*60,-1))=60,(ROUND(($X$63-LEFT($X$63,FIND(",",$X$63)-1))*60,-1))=0),ROUND($X$63,0)&gt;=1),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",ROUND(($X$63-LEFT($X$63,FIND(",",$X$63)-1))*60,-1),"s")))),
IF(AND(OR((ROUND(($X$63-LEFT($X$63,FIND(",",$X$63)-1))*60,-1))=60,(ROUND(($X$63-LEFT($X$63,FIND(",",$X$63)-1))*60,-1))=0),ROUND($X$63,0)&gt;=1),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",ROUND(($X$63-LEFT($X$63,FIND(",",$X$63)-1))*60,-1),"s"))),
CONCATENATE(
               IF(AND(OR((ROUND(($X$62-LEFT($X$62,FIND(",",$X$62)-1))*60,-1))=60,(ROUND(($X$62-LEFT($X$62,FIND(",",$X$62)-1))*60,-1))=0),ROUND($X$62,0)&gt;=1),
                                            CONCATENATE(ROUND($X$62,0),"min - "),
                                            IF(AND(ROUND($X$62,1)&lt;1,ROUND(($X$62-LEFT($X$62,FIND(",",$X$62)-1))*60,-1)&lt;&gt;0),
                                            CONCATENATE(ROUND(($X$62-LEFT($X$62,FIND(",",$X$62)-1))*60,-1),"s - "),
                                            CONCATENATE(LEFT($X$62,FIND(",",$X$62)-1),"min  ",ROUND(($X$62-LEFT($X$62,FIND(",",$X$62)-1))*60,-1),"s - "))),
              IF(AND(OR((ROUND((B10-LEFT($X$63,FIND(",",$X$63)-1))*60,-1))=60,(ROUND(($X$63-LEFT($X$63,FIND(",",$X$63)-1))*60,-1))=0),ROUND($X$63,0)&gt;=1),
                                            CONCATENATE(ROUND($X$63,0),"min"),
                                            IF(AND(ROUND($X$63,1)&lt;1,(ROUND(($X$63-LEFT($X$63,FIND(",",$X$63)-1))*60,-1))&lt;&gt;0),
                                            CONCATENATE(ROUND(($X$63-LEFT($X$63,FIND(",",$X$63)-1))*60,-1),"s"),
                                            CONCATENATE(LEFT($X$63,FIND(",",$X$63)-1),"min ",ROUND(($X$63-LEFT($X$63,FIND(",",$X$63)-1))*60,-1),"s"))))))</f>
        <v>N/A</v>
      </c>
      <c r="Y54" s="29"/>
      <c r="Z54" s="249" t="str">
        <f>$X$54</f>
        <v>N/A</v>
      </c>
      <c r="AA54" s="29"/>
      <c r="AB54" s="17"/>
    </row>
    <row r="55" spans="1:28" ht="62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74" t="s">
        <v>255</v>
      </c>
      <c r="W55" s="131" t="s">
        <v>258</v>
      </c>
      <c r="X55" s="186" t="str">
        <f>IF(Input!$E$31=0,$X$49,Input!$E$31)</f>
        <v>N/A</v>
      </c>
      <c r="Y55" s="85" t="s">
        <v>248</v>
      </c>
      <c r="Z55" s="187" t="str">
        <f>$X$55</f>
        <v>N/A</v>
      </c>
      <c r="AA55" s="136" t="s">
        <v>248</v>
      </c>
      <c r="AB55" s="17"/>
    </row>
    <row r="56" spans="1:2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74"/>
      <c r="W56" s="132" t="s">
        <v>8</v>
      </c>
      <c r="X56" s="180" t="str">
        <f>IF($B$45=0,
IF($B$44=$X$49,"N/A",(VLOOKUP($B$44,$B$48:$N$51,4,FALSE)*Input!$D$14*($X$55/60)^3*(((VLOOKUP($B$44,$B$48:$N$51,3,FALSE))/1000)^5)/Input!$D$12)),
(VLOOKUP($B$45,$B$48:$N$51,4,FALSE)*Input!$D$14*($X$55/60)^3*(((VLOOKUP($B$45,$B$48:$N$51,3,FALSE))/1000)^5)/Input!$D$12))</f>
        <v>N/A</v>
      </c>
      <c r="Y56" s="85" t="s">
        <v>9</v>
      </c>
      <c r="Z56" s="183" t="str">
        <f>IF($X$56="N/A",
           "N/A",
             $X$56/0.264172)</f>
        <v>N/A</v>
      </c>
      <c r="AA56" s="136" t="s">
        <v>249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274"/>
      <c r="W57" s="132" t="s">
        <v>259</v>
      </c>
      <c r="X57" s="181" t="str">
        <f>IF($B$45=0,
IF($X$49=$B$44,"N/A",3.14*VLOOKUP($B$44,$B$48:$N$51,3,FALSE)/1000*$X$55/60),
3.14*VLOOKUP($B$45,$B$48:$N$51,3,FALSE)/1000*$X$55/60)</f>
        <v>N/A</v>
      </c>
      <c r="Y57" s="136" t="s">
        <v>11</v>
      </c>
      <c r="Z57" s="184" t="str">
        <f>IF($X$57="N/A",
           "N/A",
             $X$57*196.85)</f>
        <v>N/A</v>
      </c>
      <c r="AA57" s="136" t="s">
        <v>250</v>
      </c>
      <c r="AB57" s="17"/>
    </row>
    <row r="58" spans="1:28" ht="33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274"/>
      <c r="W58" s="153" t="s">
        <v>264</v>
      </c>
      <c r="X58" s="182" t="str">
        <f>IF(OR($X$61=0,$X$61="N/A"),
         "N/A",
         IF(Input!$D$12/$X$61*5&lt;0.5,
              0.5,
              CONCATENATE(MROUND(Input!$D$12/$X$61*3,0.5)," - ",MROUND(Input!$D$12/$X$61*5,0.5))))</f>
        <v>N/A</v>
      </c>
      <c r="Y58" s="137" t="s">
        <v>275</v>
      </c>
      <c r="Z58" s="185" t="str">
        <f>$X$58</f>
        <v>N/A</v>
      </c>
      <c r="AA58" s="94" t="s">
        <v>275</v>
      </c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8" t="s">
        <v>233</v>
      </c>
      <c r="X59" s="158">
        <v>0.5</v>
      </c>
      <c r="Y59" s="158"/>
      <c r="Z59" s="158"/>
      <c r="AA59" s="158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58" t="s">
        <v>261</v>
      </c>
      <c r="X60" s="158" t="str">
        <f>IF(AND($B$45=0,$B$44="N/A"),
          "N/A",
             IF($B$45=0,
IF($X$59*(10.74*(VLOOKUP($B$44,$B$48:$N$55,3,FALSE)/25.4)^2*$X$49*(Input!$D$14/1000)/Input!$D$15)&gt;=20000,1,IF($X$59*(10.74*(VLOOKUP($B$44,$B$48:$N$55,3,FALSE)/25.4)^2*$X$49*(Input!$D$14/1000)/Input!$D$15)&gt;=300,EXP(-5.328+1.683*LN($X$59*(10.74*(VLOOKUP($B$44,$B$48:$N$55,3,FALSE)/25.4)^2*$X$49*(Input!$D$14/1000)/Input!$D$15))-0.179*LN($X$59*(10.74*(VLOOKUP($B$44,$B$48:$N$55,3,FALSE)/25.4)^2*$X$49*(Input!$D$14/1000)/Input!$D$15))^2+0.0064*LN($X$59*(10.74*(VLOOKUP($B$44,$B$48:$N$55,3,FALSE)/25.4)^2*$X$49*(Input!$D$14/1000)/Input!$D$15))^3),IF($X$59*(10.74*(VLOOKUP($B$44,$B$48:$N$55,3,FALSE)/25.4)^2*$X$49*(Input!$D$14/1000)/Input!$D$15)&gt;25,EXP(-0.563-0.231*LN($X$59*(10.74*(VLOOKUP($B$44,$B$48:$N$55,3,FALSE)/25.4)^2*$X$49*(Input!$D$14/1000)/Input!$D$15))+0.0466*LN($X$59*(10.74*(VLOOKUP($B$44,$B$48:$N$55,3,FALSE)/25.4)^2*$X$49*(Input!$D$14/1000)/Input!$D$15))^2),0.439)))*VLOOKUP($B$44,$B$48:$N$55,13,FALSE)*$X$49*(VLOOKUP($B$44,$B$48:$N$55,3,FALSE)^3/1000000),
IF($X$59*(10.74*(VLOOKUP($B$45,$B$48:$N$55,3,FALSE)/25.4)^2*$X$49*(Input!$D$14/1000)/Input!$D$15)&gt;=20000,1,IF($X$59*(10.74*(VLOOKUP($B$45,$B$48:$N$55,3,FALSE)/25.4)^2*$X$49*(Input!$D$14/1000)/Input!$D$15)&gt;=300,EXP(-5.328+1.683*LN($X$59*(10.74*(VLOOKUP($B$45,$B$48:$N$55,3,FALSE)/25.4)^2*$X$49*(Input!$D$14/1000)/Input!$D$15))-0.179*LN($X$59*(10.74*(VLOOKUP($B$45,$B$48:$N$55,3,FALSE)/25.4)^2*$X$49*(Input!$D$14/1000)/Input!$D$15))^2+0.0064*LN($X$59*(10.74*(VLOOKUP($B$45,$B$48:$N$55,3,FALSE)/25.4)^2*$X$49*(Input!$D$14/1000)/Input!$D$15))^3),IF($X$59*(10.74*(VLOOKUP($B$45,$B$48:$N$55,3,FALSE)/25.4)^2*$X$49*(Input!$D$14/1000)/Input!$D$15)&gt;25,EXP(-0.563-0.231*LN($X$59*(10.74*(VLOOKUP($B$45,$B$48:$N$55,3,FALSE)/25.4)^2*$X$49*(Input!$D$14/1000)/Input!$D$15))+0.0466*LN($X$59*(10.74*(VLOOKUP($B$45,$B$48:$N$55,3,FALSE)/25.4)^2*$X$49*(Input!$D$14/1000)/Input!$D$15))^2),0.439)))*VLOOKUP($B$45,$B$48:$N$55,13,FALSE)*$X$49*(VLOOKUP($B$45,$B$48:$N$55,3,FALSE)^3/1000000)))</f>
        <v>N/A</v>
      </c>
      <c r="Y60" s="158"/>
      <c r="Z60" s="158"/>
      <c r="AA60" s="158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158" t="s">
        <v>262</v>
      </c>
      <c r="X61" s="158" t="str">
        <f>IF(AND($B$45=0,$B$44="N/A"),
          "N/A",
             IF($B$45=0,
IF($X$59*(10.74*(VLOOKUP($B$44,$B$48:$N$55,3,FALSE)/25.4)^2*$X$55*(Input!$D$14/1000)/Input!$D$15)&gt;=20000,1,IF($X$59*(10.74*(VLOOKUP($B$44,$B$48:$N$55,3,FALSE)/25.4)^2*$X$55*(Input!$D$14/1000)/Input!$D$15)&gt;=300,EXP(-5.328+1.683*LN($X$59*(10.74*(VLOOKUP($B$44,$B$48:$N$55,3,FALSE)/25.4)^2*$X$55*(Input!$D$14/1000)/Input!$D$15))-0.179*LN($X$59*(10.74*(VLOOKUP($B$44,$B$48:$N$55,3,FALSE)/25.4)^2*$X$55*(Input!$D$14/1000)/Input!$D$15))^2+0.0064*LN($X$59*(10.74*(VLOOKUP($B$44,$B$48:$N$55,3,FALSE)/25.4)^2*$X$55*(Input!$D$14/1000)/Input!$D$15))^3),IF($X$59*(10.74*(VLOOKUP($B$44,$B$48:$N$55,3,FALSE)/25.4)^2*$X$55*(Input!$D$14/1000)/Input!$D$15)&gt;25,EXP(-0.563-0.231*LN($X$59*(10.74*(VLOOKUP($B$44,$B$48:$N$55,3,FALSE)/25.4)^2*$X$55*(Input!$D$14/1000)/Input!$D$15))+0.0466*LN($X$59*(10.74*(VLOOKUP($B$44,$B$48:$N$55,3,FALSE)/25.4)^2*$X$55*(Input!$D$14/1000)/Input!$D$15))^2),0.439)))*VLOOKUP($B$44,$B$48:$N$55,13,FALSE)*$X$55*(VLOOKUP($B$44,$B$48:$N$55,3,FALSE)^3/1000000),
IF($X$59*(10.74*(VLOOKUP($B$45,$B$48:$N$55,3,FALSE)/25.4)^2*$X$55*(Input!$D$14/1000)/Input!$D$15)&gt;=20000,1,IF($X$59*(10.74*(VLOOKUP($B$45,$B$48:$N$55,3,FALSE)/25.4)^2*$X$55*(Input!$D$14/1000)/Input!$D$15)&gt;=300,EXP(-5.328+1.683*LN($X$59*(10.74*(VLOOKUP($B$45,$B$48:$N$55,3,FALSE)/25.4)^2*$X$55*(Input!$D$14/1000)/Input!$D$15))-0.179*LN($X$59*(10.74*(VLOOKUP($B$45,$B$48:$N$55,3,FALSE)/25.4)^2*$X$55*(Input!$D$14/1000)/Input!$D$15))^2+0.0064*LN($X$59*(10.74*(VLOOKUP($B$45,$B$48:$N$55,3,FALSE)/25.4)^2*$X$55*(Input!$D$14/1000)/Input!$D$15))^3),IF($X$59*(10.74*(VLOOKUP($B$45,$B$48:$N$55,3,FALSE)/25.4)^2*$X$55*(Input!$D$14/1000)/Input!$D$15)&gt;25,EXP(-0.563-0.231*LN($X$59*(10.74*(VLOOKUP($B$45,$B$48:$N$55,3,FALSE)/25.4)^2*$X$55*(Input!$D$14/1000)/Input!$D$15))+0.0466*LN($X$59*(10.74*(VLOOKUP($B$45,$B$48:$N$55,3,FALSE)/25.4)^2*$X$55*(Input!$D$14/1000)/Input!$D$15))^2),0.439)))*VLOOKUP($B$45,$B$48:$N$55,13,FALSE)*$X$55*(VLOOKUP($B$45,$B$48:$N$55,3,FALSE)^3/1000000)))</f>
        <v>N/A</v>
      </c>
      <c r="Y61" s="158"/>
      <c r="Z61" s="158"/>
      <c r="AA61" s="158"/>
      <c r="AB61" s="17"/>
    </row>
    <row r="62" spans="1:2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58" t="s">
        <v>396</v>
      </c>
      <c r="X62" s="246" t="str">
        <f>IF(OR($X$60=0,AND($B$45=0,$B$44="N/A")),
          "N/A",
           Input!$D$12/$X$60*3)</f>
        <v>N/A</v>
      </c>
      <c r="Y62" s="158"/>
      <c r="Z62" s="158"/>
      <c r="AA62" s="158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58" t="s">
        <v>397</v>
      </c>
      <c r="X63" s="246" t="str">
        <f>IF(OR($X$60=0,AND($B$45=0,$B$44="N/A")),
          "N/A",
            Input!$D$12/$X$60*5)</f>
        <v>N/A</v>
      </c>
      <c r="Y63" s="158"/>
      <c r="Z63" s="158"/>
      <c r="AA63" s="158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7"/>
      <c r="X64" s="17"/>
      <c r="Y64" s="17"/>
      <c r="Z64" s="17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85"/>
      <c r="X65" s="275" t="s">
        <v>253</v>
      </c>
      <c r="Y65" s="276"/>
      <c r="Z65" s="17"/>
      <c r="AA65" s="17"/>
      <c r="AB65" s="17"/>
    </row>
    <row r="66" spans="1:28" ht="17" thickBot="1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4"/>
      <c r="L66" s="17"/>
      <c r="M66" s="17"/>
      <c r="N66" s="17"/>
      <c r="O66" s="17"/>
      <c r="P66" s="17"/>
      <c r="V66" s="17"/>
      <c r="W66" s="159" t="str">
        <f>CONCATENATE("Tank Turnovers at ",Input!D15,"cP")</f>
        <v>Tank Turnovers at 700cP</v>
      </c>
      <c r="X66" s="133" t="s">
        <v>260</v>
      </c>
      <c r="Y66" s="135" t="s">
        <v>255</v>
      </c>
      <c r="Z66" s="135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60">
        <v>0</v>
      </c>
      <c r="X67" s="161" t="str">
        <f>IF(OR($X$60=0,$X$60="N/A"),
           "N/A",
             Input!$D$12/$X$60*$W67)</f>
        <v>N/A</v>
      </c>
      <c r="Y67" s="188" t="str">
        <f>IF(OR($X$61=0,$X$61="N/A"),
           "N/A",
              Input!$D$12/$X$61*$W67)</f>
        <v>N/A</v>
      </c>
      <c r="Z67" s="88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60">
        <v>1</v>
      </c>
      <c r="X68" s="161" t="str">
        <f>IF(OR($X$60=0,$X$60="N/A"),
           "N/A",
             Input!$D$12/$X$60*$W68)</f>
        <v>N/A</v>
      </c>
      <c r="Y68" s="188" t="str">
        <f>IF(OR($X$61=0,$X$61="N/A"),
           "N/A",
              Input!$D$12/$X$61*$W68)</f>
        <v>N/A</v>
      </c>
      <c r="Z68" s="46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60">
        <v>2</v>
      </c>
      <c r="X69" s="161" t="str">
        <f>IF(OR($X$60=0,$X$60="N/A"),
           "N/A",
             Input!$D$12/$X$60*$W69)</f>
        <v>N/A</v>
      </c>
      <c r="Y69" s="188" t="str">
        <f>IF(OR($X$61=0,$X$61="N/A"),
           "N/A",
              Input!$D$12/$X$61*$W69)</f>
        <v>N/A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0">
        <v>3</v>
      </c>
      <c r="X70" s="161" t="str">
        <f>IF(OR($X$60=0,$X$60="N/A"),
           "N/A",
             Input!$D$12/$X$60*$W70)</f>
        <v>N/A</v>
      </c>
      <c r="Y70" s="188" t="str">
        <f>IF(OR($X$61=0,$X$61="N/A"),
           "N/A",
              Input!$D$12/$X$61*$W70)</f>
        <v>N/A</v>
      </c>
      <c r="Z70" s="88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60">
        <v>4</v>
      </c>
      <c r="X71" s="161" t="str">
        <f>IF(OR($X$60=0,$X$60="N/A"),
           "N/A",
             Input!$D$12/$X$60*$W71)</f>
        <v>N/A</v>
      </c>
      <c r="Y71" s="188" t="str">
        <f>IF(OR($X$61=0,$X$61="N/A"),
           "N/A",
              Input!$D$12/$X$61*$W71)</f>
        <v>N/A</v>
      </c>
      <c r="Z71" s="46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60">
        <v>5</v>
      </c>
      <c r="X72" s="161" t="str">
        <f>IF(OR($X$60=0,$X$60="N/A"),
           "N/A",
             Input!$D$12/$X$60*$W72)</f>
        <v>N/A</v>
      </c>
      <c r="Y72" s="188" t="str">
        <f>IF(OR($X$61=0,$X$61="N/A"),
           "N/A",
              Input!$D$12/$X$61*$W72)</f>
        <v>N/A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0">
        <v>6</v>
      </c>
      <c r="X73" s="161" t="str">
        <f>IF(OR($X$60=0,$X$60="N/A"),
           "N/A",
             Input!$D$12/$X$60*$W73)</f>
        <v>N/A</v>
      </c>
      <c r="Y73" s="188" t="str">
        <f>IF(OR($X$61=0,$X$61="N/A"),
           "N/A",
              Input!$D$12/$X$61*$W73)</f>
        <v>N/A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60">
        <v>7</v>
      </c>
      <c r="X74" s="161" t="str">
        <f>IF(OR($X$60=0,$X$60="N/A"),
           "N/A",
             Input!$D$12/$X$60*$W74)</f>
        <v>N/A</v>
      </c>
      <c r="Y74" s="188" t="str">
        <f>IF(OR($X$61=0,$X$61="N/A"),
           "N/A",
              Input!$D$12/$X$61*$W74)</f>
        <v>N/A</v>
      </c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86"/>
      <c r="J75" s="17"/>
      <c r="K75" s="4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60">
        <v>8</v>
      </c>
      <c r="X75" s="161" t="str">
        <f>IF(OR($X$60=0,$X$60="N/A"),
           "N/A",
             Input!$D$12/$X$60*$W75)</f>
        <v>N/A</v>
      </c>
      <c r="Y75" s="188" t="str">
        <f>IF(OR($X$61=0,$X$61="N/A"),
           "N/A",
              Input!$D$12/$X$61*$W75)</f>
        <v>N/A</v>
      </c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60">
        <v>9</v>
      </c>
      <c r="X76" s="161" t="str">
        <f>IF(OR($X$60=0,$X$60="N/A"),
           "N/A",
             Input!$D$12/$X$60*$W76)</f>
        <v>N/A</v>
      </c>
      <c r="Y76" s="188" t="str">
        <f>IF(OR($X$61=0,$X$61="N/A"),
           "N/A",
              Input!$D$12/$X$61*$W76)</f>
        <v>N/A</v>
      </c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60">
        <v>10</v>
      </c>
      <c r="X77" s="161" t="str">
        <f>IF(OR($X$60=0,$X$60="N/A"),
           "N/A",
             Input!$D$12/$X$60*$W77)</f>
        <v>N/A</v>
      </c>
      <c r="Y77" s="188" t="str">
        <f>IF(OR($X$61=0,$X$61="N/A"),
           "N/A",
              Input!$D$12/$X$61*$W77)</f>
        <v>N/A</v>
      </c>
      <c r="Z77" s="17"/>
      <c r="AA77" s="17"/>
      <c r="AB77" s="17"/>
    </row>
    <row r="78" spans="1:2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>
      <c r="I79" s="165"/>
      <c r="K79" s="82"/>
    </row>
    <row r="80" spans="1:28">
      <c r="I80" s="79"/>
      <c r="K80" s="83"/>
    </row>
    <row r="82" spans="9:11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V48:V54"/>
    <mergeCell ref="V55:V58"/>
    <mergeCell ref="X65:Y65"/>
    <mergeCell ref="B2:C2"/>
    <mergeCell ref="D2:E2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workbookViewId="0">
      <selection activeCell="G26" sqref="G26"/>
    </sheetView>
  </sheetViews>
  <sheetFormatPr baseColWidth="10" defaultColWidth="8.83203125" defaultRowHeight="15"/>
  <cols>
    <col min="1" max="1" width="16.5" style="53" customWidth="1"/>
    <col min="2" max="2" width="11.5" bestFit="1" customWidth="1"/>
    <col min="4" max="4" width="16.6640625" bestFit="1" customWidth="1"/>
    <col min="5" max="5" width="10.6640625" bestFit="1" customWidth="1"/>
    <col min="7" max="7" width="12" bestFit="1" customWidth="1"/>
    <col min="9" max="9" width="13.5" customWidth="1"/>
    <col min="16" max="16" width="20.5" customWidth="1"/>
    <col min="17" max="17" width="12.1640625" customWidth="1"/>
    <col min="18" max="18" width="11.1640625" customWidth="1"/>
  </cols>
  <sheetData>
    <row r="1" spans="1:20" ht="30" customHeight="1">
      <c r="A1" s="281" t="s">
        <v>295</v>
      </c>
      <c r="B1" s="281"/>
      <c r="E1" t="s">
        <v>354</v>
      </c>
      <c r="F1" t="s">
        <v>300</v>
      </c>
      <c r="L1" t="s">
        <v>301</v>
      </c>
      <c r="M1" t="s">
        <v>312</v>
      </c>
      <c r="N1" t="s">
        <v>311</v>
      </c>
      <c r="O1" t="s">
        <v>310</v>
      </c>
      <c r="P1" t="s">
        <v>298</v>
      </c>
      <c r="Q1" t="s">
        <v>299</v>
      </c>
      <c r="R1" t="s">
        <v>300</v>
      </c>
    </row>
    <row r="2" spans="1:20" ht="16">
      <c r="A2" s="193" t="s">
        <v>289</v>
      </c>
      <c r="B2" s="3">
        <f>IF(Input!$D$10=0,5,Input!$D$10)</f>
        <v>5</v>
      </c>
      <c r="D2" s="3" t="s">
        <v>350</v>
      </c>
      <c r="E2" s="93">
        <f>Tabell2[[#This Row],[Vol dish]]</f>
        <v>301.76204837500001</v>
      </c>
      <c r="L2" s="196" t="s">
        <v>18</v>
      </c>
      <c r="M2">
        <v>35</v>
      </c>
      <c r="N2">
        <v>27.5</v>
      </c>
      <c r="O2">
        <v>9</v>
      </c>
      <c r="P2" s="197">
        <v>61.25</v>
      </c>
      <c r="Q2" s="198">
        <v>90</v>
      </c>
      <c r="R2" s="197">
        <v>16.39</v>
      </c>
      <c r="T2">
        <v>0.5</v>
      </c>
    </row>
    <row r="3" spans="1:20" ht="16">
      <c r="A3" s="193" t="s">
        <v>292</v>
      </c>
      <c r="B3" s="3">
        <f>'Vessel Dish Type List (IGNORE!)'!$D$2</f>
        <v>1450</v>
      </c>
      <c r="D3" s="3" t="s">
        <v>305</v>
      </c>
      <c r="E3" s="93">
        <f>$B$6-SQRT(($B$6)^2-($B$9)^2)</f>
        <v>149.38097746819562</v>
      </c>
      <c r="L3" s="196" t="s">
        <v>19</v>
      </c>
      <c r="M3">
        <v>48</v>
      </c>
      <c r="N3">
        <v>27.5</v>
      </c>
      <c r="O3">
        <v>9</v>
      </c>
      <c r="P3" s="197">
        <v>61.75</v>
      </c>
      <c r="Q3" s="198">
        <v>90.5</v>
      </c>
      <c r="R3" s="197">
        <v>18.88</v>
      </c>
    </row>
    <row r="4" spans="1:20" ht="16">
      <c r="A4" s="193" t="s">
        <v>304</v>
      </c>
      <c r="B4" s="3">
        <f>$B$3/2</f>
        <v>725</v>
      </c>
      <c r="D4" s="3" t="s">
        <v>313</v>
      </c>
      <c r="E4" s="37">
        <f>ASIN(($B$9/2)/$B$6)*(180/PI())</f>
        <v>12.727807365404983</v>
      </c>
      <c r="L4" s="196"/>
      <c r="M4">
        <v>0</v>
      </c>
      <c r="N4">
        <v>0</v>
      </c>
      <c r="O4">
        <v>0</v>
      </c>
      <c r="P4" s="197"/>
      <c r="Q4" s="198"/>
      <c r="R4" s="197"/>
    </row>
    <row r="5" spans="1:20" ht="32">
      <c r="A5" s="193" t="s">
        <v>291</v>
      </c>
      <c r="B5" s="3">
        <f>'Vessel Dish Type List (IGNORE!)'!$C$2</f>
        <v>1460</v>
      </c>
      <c r="D5" s="3" t="s">
        <v>317</v>
      </c>
      <c r="E5" s="37" t="e">
        <f>ASIN($B$14/$B$6)*(180/PI())</f>
        <v>#N/A</v>
      </c>
      <c r="L5" s="196" t="s">
        <v>20</v>
      </c>
      <c r="M5">
        <v>58.5</v>
      </c>
      <c r="N5">
        <v>47</v>
      </c>
      <c r="O5">
        <v>16</v>
      </c>
      <c r="P5" s="198">
        <v>91</v>
      </c>
      <c r="Q5" s="198">
        <v>162.80000000000001</v>
      </c>
      <c r="R5" s="197">
        <v>19.37</v>
      </c>
    </row>
    <row r="6" spans="1:20" ht="16">
      <c r="A6" s="193" t="s">
        <v>279</v>
      </c>
      <c r="B6" s="3">
        <f>'Vessel Dish Type List (IGNORE!)'!$E$2</f>
        <v>1460</v>
      </c>
      <c r="D6" s="3" t="s">
        <v>314</v>
      </c>
      <c r="E6" s="37" t="e">
        <f>$B$6*(1-COS($E$5*PI()/180))</f>
        <v>#N/A</v>
      </c>
      <c r="L6" s="196" t="s">
        <v>21</v>
      </c>
      <c r="M6">
        <v>74</v>
      </c>
      <c r="N6">
        <v>47</v>
      </c>
      <c r="O6">
        <v>16</v>
      </c>
      <c r="P6" s="198">
        <v>101</v>
      </c>
      <c r="Q6" s="198">
        <v>172.8</v>
      </c>
      <c r="R6" s="197">
        <v>19.96</v>
      </c>
    </row>
    <row r="7" spans="1:20" ht="16">
      <c r="A7" s="193" t="s">
        <v>293</v>
      </c>
      <c r="B7" s="3">
        <f>'Vessel Dish Type List (IGNORE!)'!$F$2</f>
        <v>146</v>
      </c>
      <c r="D7" s="3" t="s">
        <v>306</v>
      </c>
      <c r="E7" s="3" t="e">
        <f>ATAN($B$15/($B$6-$E$6-$B$16))*(180/PI())</f>
        <v>#N/A</v>
      </c>
      <c r="F7" s="3" t="e">
        <f>ATAN($B$19/($B$6-$E$6-$B$18))*(180/PI())</f>
        <v>#N/A</v>
      </c>
      <c r="L7" s="196" t="s">
        <v>22</v>
      </c>
      <c r="M7">
        <v>80</v>
      </c>
      <c r="N7">
        <v>52</v>
      </c>
      <c r="O7">
        <v>16</v>
      </c>
      <c r="P7" s="198">
        <v>102.5</v>
      </c>
      <c r="Q7" s="198">
        <v>174.3</v>
      </c>
      <c r="R7" s="197">
        <v>19.59</v>
      </c>
    </row>
    <row r="8" spans="1:20" ht="16">
      <c r="A8" s="193" t="s">
        <v>294</v>
      </c>
      <c r="B8" s="93">
        <f>'Vessel Dish Type List (IGNORE!)'!$G$2</f>
        <v>280.23500000000001</v>
      </c>
      <c r="D8" s="3" t="s">
        <v>307</v>
      </c>
      <c r="E8" s="3" t="e">
        <f>SQRT(($B$6-$E$6-$B$16)^2+($B$15)^2)</f>
        <v>#N/A</v>
      </c>
      <c r="F8" s="3" t="e">
        <f>SQRT(($B$6-$E$6-$B$18)^2+($B$19)^2)</f>
        <v>#N/A</v>
      </c>
      <c r="L8" s="196" t="s">
        <v>23</v>
      </c>
      <c r="M8">
        <v>88.5</v>
      </c>
      <c r="N8">
        <v>64.75</v>
      </c>
      <c r="O8">
        <v>16</v>
      </c>
      <c r="P8" s="198">
        <v>106</v>
      </c>
      <c r="Q8" s="198">
        <v>177.8</v>
      </c>
      <c r="R8" s="197">
        <v>18.850000000000001</v>
      </c>
    </row>
    <row r="9" spans="1:20" ht="16">
      <c r="A9" s="193" t="s">
        <v>303</v>
      </c>
      <c r="B9" s="93">
        <f>($B$4-$B$7)*$B$6/($B$6-$B$7)</f>
        <v>643.33333333333337</v>
      </c>
      <c r="D9" s="3" t="s">
        <v>308</v>
      </c>
      <c r="E9" s="3" t="e">
        <f>$E$8*SIN(($E$4+$E$7)*(PI()/180))</f>
        <v>#N/A</v>
      </c>
      <c r="F9" s="3" t="e">
        <f>$F$8*SIN(($E$4+$F$7)*(PI()/180))</f>
        <v>#N/A</v>
      </c>
      <c r="L9" s="196" t="s">
        <v>24</v>
      </c>
      <c r="M9">
        <v>118</v>
      </c>
      <c r="N9">
        <v>79.75</v>
      </c>
      <c r="O9">
        <v>20</v>
      </c>
      <c r="P9" s="198">
        <v>107.6</v>
      </c>
      <c r="Q9" s="197">
        <f>194.94+4.6</f>
        <v>199.54</v>
      </c>
      <c r="R9" s="197">
        <v>19.09</v>
      </c>
    </row>
    <row r="10" spans="1:20">
      <c r="D10" s="3" t="s">
        <v>309</v>
      </c>
      <c r="E10" s="3" t="e">
        <f>$B$6-SQRT($E$8^2-$E$9^2)</f>
        <v>#N/A</v>
      </c>
      <c r="F10" s="3" t="e">
        <f>$B$6-SQRT($F$8^2-$F$9^2)</f>
        <v>#N/A</v>
      </c>
      <c r="L10" s="196" t="s">
        <v>25</v>
      </c>
      <c r="M10">
        <v>150</v>
      </c>
      <c r="N10">
        <v>99.75</v>
      </c>
      <c r="O10">
        <v>20</v>
      </c>
      <c r="P10" s="198">
        <v>119.6</v>
      </c>
      <c r="Q10" s="197">
        <v>211.09527947999999</v>
      </c>
      <c r="R10" s="197">
        <v>19.079999999999998</v>
      </c>
    </row>
    <row r="11" spans="1:20">
      <c r="L11" s="196" t="s">
        <v>26</v>
      </c>
      <c r="M11">
        <v>175</v>
      </c>
      <c r="N11">
        <v>114.75</v>
      </c>
      <c r="O11">
        <v>20</v>
      </c>
      <c r="P11" s="198">
        <v>125.5</v>
      </c>
      <c r="Q11" s="198">
        <v>217</v>
      </c>
      <c r="R11" s="197">
        <v>18.62</v>
      </c>
    </row>
    <row r="12" spans="1:20" ht="17" thickBot="1">
      <c r="A12" s="193" t="s">
        <v>296</v>
      </c>
      <c r="B12" s="3"/>
      <c r="D12" s="11" t="s">
        <v>318</v>
      </c>
      <c r="L12" t="s">
        <v>134</v>
      </c>
      <c r="M12">
        <v>200</v>
      </c>
      <c r="N12">
        <v>124.75</v>
      </c>
      <c r="O12">
        <v>0</v>
      </c>
    </row>
    <row r="13" spans="1:20" ht="16">
      <c r="A13" s="193" t="s">
        <v>179</v>
      </c>
      <c r="B13" s="3">
        <f>Input!$C$33</f>
        <v>0</v>
      </c>
      <c r="D13" t="s">
        <v>319</v>
      </c>
      <c r="E13" t="e">
        <f>1/3*PI()*$E$10^2*(3*$B$6-$E$10)/1000000</f>
        <v>#N/A</v>
      </c>
      <c r="F13" t="s">
        <v>12</v>
      </c>
      <c r="G13" s="199" t="s">
        <v>319</v>
      </c>
      <c r="H13" s="199" t="s">
        <v>353</v>
      </c>
      <c r="L13" t="s">
        <v>135</v>
      </c>
      <c r="M13">
        <v>225</v>
      </c>
      <c r="N13">
        <v>124.75</v>
      </c>
      <c r="O13">
        <v>0</v>
      </c>
    </row>
    <row r="14" spans="1:20" ht="17" thickBot="1">
      <c r="A14" s="193" t="s">
        <v>311</v>
      </c>
      <c r="B14" s="3" t="e">
        <f>VLOOKUP($B$13,Tabell3[],3,FALSE)</f>
        <v>#N/A</v>
      </c>
      <c r="G14" s="200" t="e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#N/A</v>
      </c>
      <c r="H14" s="200" t="e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#N/A</v>
      </c>
      <c r="L14" s="196" t="s">
        <v>30</v>
      </c>
      <c r="M14">
        <v>33</v>
      </c>
      <c r="N14">
        <v>40</v>
      </c>
      <c r="O14">
        <v>9</v>
      </c>
      <c r="P14" s="197">
        <v>89.75</v>
      </c>
      <c r="Q14" s="198">
        <f>2.27+135.93</f>
        <v>138.20000000000002</v>
      </c>
      <c r="R14" s="198">
        <v>42</v>
      </c>
    </row>
    <row r="15" spans="1:20" ht="32">
      <c r="A15" s="193" t="s">
        <v>315</v>
      </c>
      <c r="B15" s="3" t="e">
        <f>VLOOKUP($B$13,Tabell3[],4,FALSE)</f>
        <v>#N/A</v>
      </c>
      <c r="D15" s="11" t="s">
        <v>320</v>
      </c>
      <c r="L15" s="196" t="s">
        <v>31</v>
      </c>
      <c r="M15">
        <v>52.5</v>
      </c>
      <c r="N15">
        <v>57</v>
      </c>
      <c r="O15">
        <v>16</v>
      </c>
      <c r="P15" s="198">
        <v>131.5</v>
      </c>
      <c r="Q15" s="198">
        <f>207.14+4.16</f>
        <v>211.29999999999998</v>
      </c>
      <c r="R15" s="198">
        <v>47</v>
      </c>
    </row>
    <row r="16" spans="1:20" ht="32">
      <c r="A16" s="193" t="s">
        <v>316</v>
      </c>
      <c r="B16" s="3" t="e">
        <f>VLOOKUP($B$13,Tabell3[],5,FALSE)</f>
        <v>#N/A</v>
      </c>
      <c r="D16" t="s">
        <v>321</v>
      </c>
      <c r="E16">
        <f>1/3*PI()*$E$3^2*(3*$B$6-$E$3)/1000000</f>
        <v>98.860574428987221</v>
      </c>
      <c r="L16" s="196" t="s">
        <v>32</v>
      </c>
      <c r="M16">
        <v>69.5</v>
      </c>
      <c r="N16">
        <v>80</v>
      </c>
      <c r="O16">
        <v>20</v>
      </c>
      <c r="P16" s="198">
        <v>169</v>
      </c>
      <c r="Q16" s="198">
        <f>255.84+4.16</f>
        <v>260</v>
      </c>
      <c r="R16" s="198">
        <v>58</v>
      </c>
    </row>
    <row r="17" spans="1:18" ht="16">
      <c r="A17" s="193" t="s">
        <v>299</v>
      </c>
      <c r="B17" s="3" t="e">
        <f>VLOOKUP($B$13,Tabell3[],6,FALSE)</f>
        <v>#N/A</v>
      </c>
      <c r="D17" t="s">
        <v>322</v>
      </c>
      <c r="E17" s="44" t="s">
        <v>348</v>
      </c>
      <c r="L17" s="196" t="s">
        <v>27</v>
      </c>
      <c r="M17">
        <v>33</v>
      </c>
      <c r="N17">
        <v>27.5</v>
      </c>
      <c r="O17">
        <v>9</v>
      </c>
      <c r="P17" s="197">
        <f>3.5+58.13</f>
        <v>61.63</v>
      </c>
      <c r="Q17" s="197">
        <f>106.56+2.27</f>
        <v>108.83</v>
      </c>
      <c r="R17" s="197">
        <v>34.14</v>
      </c>
    </row>
    <row r="18" spans="1:18" ht="16">
      <c r="A18" s="193" t="s">
        <v>302</v>
      </c>
      <c r="B18" s="3" t="e">
        <f>VLOOKUP($B$13,Tabell3[],7,FALSE)</f>
        <v>#N/A</v>
      </c>
      <c r="D18" t="s">
        <v>346</v>
      </c>
      <c r="E18" t="e">
        <f>(($B$7^2*ASIN(($E$10-$B$8)/$B$7)/2-$B$7*$E$10+$B$4*$E$10+($E$10-$B$8)*SQRT($B$7^2-($E$10-$B$8)^2)/2)-($B$7^2*ASIN(($E$3-$B$8)/$B$7)/2-$B$7*$E$3+$B$4*$E$3+($E$3-$B$8)*SQRT($B$7^2-($E$3-$B$8)^2)/2))/1000000</f>
        <v>#N/A</v>
      </c>
      <c r="L18" s="196" t="s">
        <v>28</v>
      </c>
      <c r="M18">
        <v>51.5</v>
      </c>
      <c r="N18">
        <v>47</v>
      </c>
      <c r="O18">
        <v>16</v>
      </c>
      <c r="P18" s="197">
        <v>100.37</v>
      </c>
      <c r="Q18" s="197">
        <f>176.01+4.16</f>
        <v>180.17</v>
      </c>
      <c r="R18" s="197">
        <v>47.4</v>
      </c>
    </row>
    <row r="19" spans="1:18" ht="16">
      <c r="A19" s="53" t="s">
        <v>355</v>
      </c>
      <c r="B19" s="3" t="e">
        <f>VLOOKUP($B$13,Tabell3[],2,FALSE)</f>
        <v>#N/A</v>
      </c>
      <c r="D19" t="s">
        <v>347</v>
      </c>
      <c r="E19" t="e">
        <f>(($B$7^2*ASIN(($E$10-$B$8)/$B$7)*(180/PI())/2-$B$7*$E$10+$B$4*$E$10+($E$10-$B$8)*SQRT($B$7^2-($E$10-$B$8)^2)/2)-($B$7^2*ASIN(($E$3-$B$8)/$B$7)*(180/PI())/2-$B$7*$E$3+$B$4*$E$3+($E$3-$B$8)*SQRT($B$7^2-($E$3-$B$8)^2)/2))/1000000</f>
        <v>#N/A</v>
      </c>
      <c r="L19" s="196" t="s">
        <v>29</v>
      </c>
      <c r="M19">
        <v>68</v>
      </c>
      <c r="N19">
        <v>79.75</v>
      </c>
      <c r="O19">
        <v>20</v>
      </c>
      <c r="P19" s="198">
        <v>137</v>
      </c>
      <c r="Q19" s="197">
        <f>224.61+4.16</f>
        <v>228.77</v>
      </c>
      <c r="R19" s="198">
        <v>78</v>
      </c>
    </row>
    <row r="20" spans="1:18" ht="16" thickBot="1">
      <c r="L20" s="196" t="s">
        <v>79</v>
      </c>
      <c r="M20">
        <v>48</v>
      </c>
      <c r="N20">
        <v>27.5</v>
      </c>
      <c r="O20">
        <v>9</v>
      </c>
      <c r="P20" s="198"/>
      <c r="Q20" s="198"/>
      <c r="R20" s="198"/>
    </row>
    <row r="21" spans="1:18" ht="16" thickBot="1">
      <c r="D21" s="194" t="s">
        <v>323</v>
      </c>
      <c r="E21" s="172" t="e">
        <f>((PI()*(SQRT($B$7^2-($E$10-$B$8)^2)+$B$4-$B$7)^2*($E$10-$E$3)-$B$9^2*PI()*($E$10-$E$3))/1.4+$B$9^2*PI()*($E$10-$E$3))/1000000</f>
        <v>#N/A</v>
      </c>
      <c r="F21" t="s">
        <v>324</v>
      </c>
      <c r="L21" s="196" t="s">
        <v>80</v>
      </c>
      <c r="M21">
        <v>75</v>
      </c>
      <c r="N21">
        <v>47</v>
      </c>
      <c r="O21">
        <v>16</v>
      </c>
      <c r="P21" s="198">
        <v>101</v>
      </c>
      <c r="Q21" s="198">
        <v>179</v>
      </c>
      <c r="R21" s="198">
        <v>20</v>
      </c>
    </row>
    <row r="22" spans="1:18">
      <c r="L22" t="s">
        <v>119</v>
      </c>
      <c r="M22">
        <v>88.5</v>
      </c>
      <c r="N22">
        <v>64.75</v>
      </c>
      <c r="O22">
        <v>0</v>
      </c>
    </row>
    <row r="23" spans="1:18">
      <c r="D23" s="11" t="s">
        <v>349</v>
      </c>
      <c r="L23" s="196" t="s">
        <v>81</v>
      </c>
      <c r="M23">
        <v>118</v>
      </c>
      <c r="N23">
        <v>79.75</v>
      </c>
      <c r="O23">
        <v>20</v>
      </c>
      <c r="P23" s="198"/>
      <c r="Q23" s="198"/>
      <c r="R23" s="198"/>
    </row>
    <row r="24" spans="1:18">
      <c r="L24" s="196" t="s">
        <v>33</v>
      </c>
      <c r="M24">
        <v>70</v>
      </c>
      <c r="N24">
        <v>54.75</v>
      </c>
      <c r="O24">
        <v>54</v>
      </c>
      <c r="P24" s="198">
        <v>55</v>
      </c>
      <c r="Q24" s="198">
        <v>66.5</v>
      </c>
      <c r="R24" s="198">
        <v>31.1</v>
      </c>
    </row>
    <row r="25" spans="1:18">
      <c r="L25" s="196" t="s">
        <v>34</v>
      </c>
      <c r="M25">
        <v>110</v>
      </c>
      <c r="N25">
        <v>84</v>
      </c>
      <c r="O25">
        <v>83</v>
      </c>
      <c r="P25" s="198">
        <v>71.5</v>
      </c>
      <c r="Q25" s="198">
        <v>169.5</v>
      </c>
      <c r="R25" s="198">
        <v>41.5</v>
      </c>
    </row>
    <row r="29" spans="1:18">
      <c r="D29" t="s">
        <v>346</v>
      </c>
      <c r="E29" t="e">
        <f>(PI()*($B$7^2*ASIN(($E$10-$B$8)/$B$7)/2-$B$7*$E$10+$B$4*$E$10+($E$10-$B$8)*SQRT($B$7^2-($E$10-$B$8)^2)/2)-PI()*($B$7^2*ASIN(($E$3-$B$8)/$B$7)/2-$B$7*$E$3+$B$4*$E$3+($E$3-$B$8)*SQRT($B$7^2-($E$3-$B$8)^2)/2))/1000000</f>
        <v>#N/A</v>
      </c>
      <c r="G29" t="e">
        <f>(D37-I37)/1000000</f>
        <v>#N/A</v>
      </c>
    </row>
    <row r="30" spans="1:18">
      <c r="D30" t="s">
        <v>347</v>
      </c>
      <c r="E30" t="e">
        <f>(($B$7^2*ASIN(($E$10-$B$8)/$B$7)*(180/PI())/2-$B$7*$E$10+$B$4*$E$10+($E$10-$B$8)*SQRT($B$7^2-($E$10-$B$8)^2)/2)-($B$7^2*ASIN(($E$3-$B$8)/$B$7)*(180/PI())/2-$B$7*$E$3+$B$4*$E$3+($E$3-$B$8)*SQRT($B$7^2-($E$3-$B$8)^2)/2))/1000000</f>
        <v>#N/A</v>
      </c>
    </row>
    <row r="33" spans="1:9">
      <c r="A33" s="53">
        <v>1</v>
      </c>
      <c r="B33" t="e">
        <f>-(($B$7^2*($E$10-$B$8)*SQRT((-($E$10-$B$8)^2)/($B$7^2)+1)/$B$7))</f>
        <v>#N/A</v>
      </c>
      <c r="C33">
        <v>5</v>
      </c>
      <c r="D33" t="e">
        <f>($B$4*$B$7*($E$10-$B$8)*SQRT((-($E$10-$B$8)^2/($B$7)^2)+1)/$B$7)</f>
        <v>#N/A</v>
      </c>
      <c r="F33" s="53">
        <v>1</v>
      </c>
      <c r="G33">
        <f>-(($B$7^2*($E$3-$B$8)*SQRT((-($E$3-$B$8)^2)/($B$7^2)+1)/$B$7))</f>
        <v>25654.989912716112</v>
      </c>
      <c r="H33">
        <v>5</v>
      </c>
      <c r="I33">
        <f>($B$4*$B$7*($E$3-$B$8)*SQRT((-($E$3-$B$8)^2/($B$7)^2)+1)/$B$7)</f>
        <v>-127396.35401862454</v>
      </c>
    </row>
    <row r="34" spans="1:9">
      <c r="A34">
        <v>2</v>
      </c>
      <c r="B34" t="e">
        <f>7*$B$7*($E$10-$B$8)/(4*$B$7)</f>
        <v>#N/A</v>
      </c>
      <c r="C34">
        <v>6</v>
      </c>
      <c r="D34" t="e">
        <f>-(2*$B$4*$B$7*($E$10-$B$8)/$B$7)</f>
        <v>#N/A</v>
      </c>
      <c r="F34">
        <v>2</v>
      </c>
      <c r="G34">
        <f>7*$B$7*($E$3-$B$8)/(4*$B$7)</f>
        <v>-228.99453943065771</v>
      </c>
      <c r="H34">
        <v>6</v>
      </c>
      <c r="I34">
        <f>-(2*$B$4*$B$7*($E$3-$B$8)/$B$7)</f>
        <v>189738.33267111637</v>
      </c>
    </row>
    <row r="35" spans="1:9">
      <c r="A35">
        <v>3</v>
      </c>
      <c r="B35" t="e">
        <f>($B$7^2*SIN(3*SIN(($E$10-$B$8)/$B$7))/12)</f>
        <v>#N/A</v>
      </c>
      <c r="C35">
        <v>7</v>
      </c>
      <c r="D35" t="e">
        <f>$B$4*$B$7*ASIN(($E$10-$B$8)/$B$7)</f>
        <v>#N/A</v>
      </c>
      <c r="F35">
        <v>3</v>
      </c>
      <c r="G35">
        <f>($B$7^2*SIN(3*SIN(($E$3-$B$8)/$B$7))/12)</f>
        <v>-1272.532156284529</v>
      </c>
      <c r="H35">
        <v>7</v>
      </c>
      <c r="I35">
        <f>$B$4*$B$7*ASIN(($E$3-$B$8)/$B$7)</f>
        <v>-117627.39132693225</v>
      </c>
    </row>
    <row r="36" spans="1:9">
      <c r="A36" s="53">
        <v>4</v>
      </c>
      <c r="B36" t="e">
        <f>-($B$7^2*ASIN(($E$10-$B$8)/$B$7))</f>
        <v>#N/A</v>
      </c>
      <c r="C36">
        <v>8</v>
      </c>
      <c r="D36" t="e">
        <f>-($E$10-$B$8)/$B$7</f>
        <v>#N/A</v>
      </c>
      <c r="E36" s="82"/>
      <c r="F36" s="53">
        <v>4</v>
      </c>
      <c r="G36">
        <f>-($B$7^2*ASIN(($E$3-$B$8)/$B$7))</f>
        <v>23687.72294307877</v>
      </c>
      <c r="H36">
        <v>8</v>
      </c>
      <c r="I36">
        <f>-($E$3-$B$8)/$B$7</f>
        <v>0.89626042830003005</v>
      </c>
    </row>
    <row r="37" spans="1:9">
      <c r="D37" t="e">
        <f>(SUM(B33:B36,D33:D36))*PI()*$B$8*$B$7</f>
        <v>#N/A</v>
      </c>
      <c r="F37" s="53"/>
      <c r="I37">
        <f>(SUM(G33:G36,I33:I36))*PI()*$B$8*$B$7</f>
        <v>-956736610.01509261</v>
      </c>
    </row>
    <row r="39" spans="1:9">
      <c r="E39" t="e">
        <f>(D37-I37)/1000000</f>
        <v>#N/A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dimension ref="A1:R2049"/>
  <sheetViews>
    <sheetView workbookViewId="0">
      <selection activeCell="F5" sqref="F5"/>
    </sheetView>
  </sheetViews>
  <sheetFormatPr baseColWidth="10" defaultColWidth="8.83203125" defaultRowHeight="15"/>
  <cols>
    <col min="1" max="1" width="22.1640625" customWidth="1"/>
    <col min="2" max="3" width="14.1640625" bestFit="1" customWidth="1"/>
    <col min="5" max="5" width="18.5" customWidth="1"/>
    <col min="6" max="6" width="18.83203125" customWidth="1"/>
    <col min="7" max="7" width="12.6640625" bestFit="1" customWidth="1"/>
    <col min="14" max="14" width="12.1640625" customWidth="1"/>
    <col min="15" max="15" width="13.5" customWidth="1"/>
    <col min="17" max="17" width="15.83203125" customWidth="1"/>
    <col min="18" max="18" width="12.6640625" bestFit="1" customWidth="1"/>
  </cols>
  <sheetData>
    <row r="1" spans="1:18" ht="16" thickBot="1"/>
    <row r="2" spans="1:18" ht="16" thickBot="1">
      <c r="A2" t="s">
        <v>83</v>
      </c>
      <c r="B2" t="str">
        <f>ZG!$B$44</f>
        <v>N/A</v>
      </c>
      <c r="M2" s="282" t="s">
        <v>82</v>
      </c>
      <c r="N2" s="283"/>
      <c r="O2" s="283"/>
      <c r="P2" s="283"/>
      <c r="Q2" s="283"/>
      <c r="R2" s="284"/>
    </row>
    <row r="3" spans="1:18" ht="32">
      <c r="A3" s="285" t="s">
        <v>54</v>
      </c>
      <c r="B3" s="286"/>
      <c r="C3" s="286"/>
      <c r="D3" s="286"/>
      <c r="E3" s="286"/>
      <c r="F3" s="287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>
      <c r="A7" s="288" t="s">
        <v>55</v>
      </c>
      <c r="B7" s="252"/>
      <c r="C7" s="252"/>
      <c r="D7" s="252"/>
      <c r="E7" s="252"/>
      <c r="F7" s="289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>
      <c r="A9" s="26" t="s">
        <v>68</v>
      </c>
      <c r="B9" t="s">
        <v>56</v>
      </c>
      <c r="C9">
        <f>Input!$D$9+(2*$C$8)</f>
        <v>1450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>
      <c r="A10" s="26" t="s">
        <v>69</v>
      </c>
      <c r="B10" t="s">
        <v>50</v>
      </c>
      <c r="C10">
        <f>$C$9</f>
        <v>1450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>
      <c r="A11" s="26" t="s">
        <v>70</v>
      </c>
      <c r="B11" t="s">
        <v>51</v>
      </c>
      <c r="C11">
        <f>0.1*$C$10</f>
        <v>145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>
      <c r="A12" s="26"/>
      <c r="B12" t="s">
        <v>12</v>
      </c>
      <c r="C12" s="58">
        <f>($C$9/2-$C$11)*$C$10/($C$10-$C$11)</f>
        <v>644.44444444444446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2">
      <c r="A13" s="66" t="s">
        <v>93</v>
      </c>
      <c r="B13" t="s">
        <v>57</v>
      </c>
      <c r="C13" s="58">
        <f>$C$10-((($C$10-$C$11)^2)-(($C$9/2-$C$11)^2))^(0.5)</f>
        <v>280.97262649671029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2">
      <c r="A14" s="66" t="s">
        <v>94</v>
      </c>
      <c r="B14" t="s">
        <v>58</v>
      </c>
      <c r="C14" s="58">
        <f>$C$10*(1-(($C$10-$C$13)/($C$10-$C$11)))</f>
        <v>151.08069610745591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32">
      <c r="A15" s="66" t="s">
        <v>95</v>
      </c>
      <c r="B15" t="s">
        <v>59</v>
      </c>
      <c r="C15" s="58">
        <f>$C$13-$C$14</f>
        <v>129.89193038925438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6" thickBot="1">
      <c r="A16" s="78"/>
      <c r="B16" s="59" t="s">
        <v>115</v>
      </c>
      <c r="C16" s="60">
        <f>($C$9/2-$C$11)</f>
        <v>580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6" thickBot="1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6" thickBot="1">
      <c r="A18" s="282" t="s">
        <v>61</v>
      </c>
      <c r="B18" s="283"/>
      <c r="C18" s="283"/>
      <c r="D18" s="283"/>
      <c r="E18" s="283"/>
      <c r="F18" s="283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>
      <c r="A19" s="26" t="s">
        <v>73</v>
      </c>
      <c r="B19" s="54" t="s">
        <v>72</v>
      </c>
      <c r="C19" s="62">
        <f>IF($C$9&lt;1000,$C$12/2,$C$12*0.4)</f>
        <v>257.77777777777777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ht="16">
      <c r="A20" s="66" t="s">
        <v>62</v>
      </c>
      <c r="B20" t="s">
        <v>65</v>
      </c>
      <c r="C20" s="63">
        <f>ASIN($C$19/$C$10)</f>
        <v>0.17872779475577344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2">
      <c r="A21" s="66" t="s">
        <v>63</v>
      </c>
      <c r="B21" t="s">
        <v>66</v>
      </c>
      <c r="C21" s="64" t="e">
        <f>$C$10-(($C$10^2)-(VLOOKUP($B$2,$M$4:$R$23,2,FALSE)/2)^2)^0.5</f>
        <v>#N/A</v>
      </c>
      <c r="G21" s="27"/>
      <c r="M21" s="26" t="s">
        <v>81</v>
      </c>
      <c r="O21" s="40"/>
      <c r="Q21" s="40"/>
      <c r="R21" s="27">
        <v>40</v>
      </c>
    </row>
    <row r="22" spans="1:18" ht="33" thickBot="1">
      <c r="A22" s="66" t="s">
        <v>64</v>
      </c>
      <c r="B22" t="s">
        <v>67</v>
      </c>
      <c r="C22" s="65">
        <f>$C$10-(($C$10^2-$C$19^2)^0.5)</f>
        <v>23.097544579886062</v>
      </c>
      <c r="G22" s="27"/>
      <c r="M22" s="26" t="s">
        <v>33</v>
      </c>
      <c r="N22">
        <v>109.5</v>
      </c>
      <c r="O22" s="40"/>
      <c r="Q22" s="40"/>
      <c r="R22" s="27"/>
    </row>
    <row r="23" spans="1:18" ht="16" thickBot="1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>
      <c r="A24" s="290" t="s">
        <v>85</v>
      </c>
      <c r="B24" s="291"/>
      <c r="C24" s="291"/>
      <c r="E24" s="292" t="s">
        <v>86</v>
      </c>
      <c r="F24" s="292"/>
      <c r="G24" s="293"/>
      <c r="H24" s="61"/>
      <c r="I24" s="61"/>
      <c r="J24" s="61"/>
      <c r="K24" s="61"/>
    </row>
    <row r="25" spans="1:18" ht="32">
      <c r="A25" s="66" t="s">
        <v>84</v>
      </c>
      <c r="B25" t="s">
        <v>87</v>
      </c>
      <c r="C25" s="67" t="e">
        <f>VLOOKUP($B$2,$M$4:$R$23,3,FALSE)</f>
        <v>#N/A</v>
      </c>
      <c r="E25" s="53" t="s">
        <v>96</v>
      </c>
      <c r="F25" t="s">
        <v>90</v>
      </c>
      <c r="G25" s="67" t="e">
        <f>VLOOKUP($B$2,$M$4:$R$23,5,FALSE)</f>
        <v>#N/A</v>
      </c>
    </row>
    <row r="26" spans="1:18" ht="32">
      <c r="A26" s="26"/>
      <c r="B26" s="53" t="s">
        <v>88</v>
      </c>
      <c r="C26" s="68" t="e">
        <f>VLOOKUP($B$2,$M$4:$R$23,4,FALSE)*SIN($C$20)/2</f>
        <v>#N/A</v>
      </c>
      <c r="F26" s="53" t="s">
        <v>91</v>
      </c>
      <c r="G26" s="68" t="e">
        <f>VLOOKUP($B$2,$M$4:$R$23,6,FALSE)*SIN($C$20)/2</f>
        <v>#N/A</v>
      </c>
    </row>
    <row r="27" spans="1:18" ht="16" thickBot="1">
      <c r="A27" s="26" t="s">
        <v>85</v>
      </c>
      <c r="B27" s="44" t="s">
        <v>89</v>
      </c>
      <c r="C27" s="65" t="e">
        <f>($C$22+$C$21)*COS($C$20)+$C$25+$C$26</f>
        <v>#N/A</v>
      </c>
      <c r="E27" t="s">
        <v>86</v>
      </c>
      <c r="F27" t="s">
        <v>92</v>
      </c>
      <c r="G27" s="71" t="e">
        <f>($C$22+$C$21)*COS($C$20)+G25+G26</f>
        <v>#N/A</v>
      </c>
    </row>
    <row r="28" spans="1:18">
      <c r="B28" s="44" t="s">
        <v>117</v>
      </c>
      <c r="C28" s="79" t="e">
        <f>$C$10-$C$27</f>
        <v>#N/A</v>
      </c>
      <c r="F28" t="s">
        <v>118</v>
      </c>
      <c r="G28" s="27" t="e">
        <f>$C$10-$G$27</f>
        <v>#N/A</v>
      </c>
    </row>
    <row r="29" spans="1:18" ht="27" customHeight="1" thickBot="1">
      <c r="B29" s="291" t="s">
        <v>107</v>
      </c>
      <c r="C29" s="291"/>
      <c r="F29" s="292" t="s">
        <v>86</v>
      </c>
      <c r="G29" s="293"/>
      <c r="H29" s="44"/>
      <c r="I29" s="44"/>
      <c r="J29" s="44"/>
      <c r="K29" s="44"/>
    </row>
    <row r="30" spans="1:18">
      <c r="A30" s="26" t="s">
        <v>97</v>
      </c>
      <c r="B30" t="s">
        <v>98</v>
      </c>
      <c r="C30" s="67">
        <f>-$C$10</f>
        <v>-1450</v>
      </c>
      <c r="F30" t="s">
        <v>98</v>
      </c>
      <c r="G30" s="67">
        <f>-$C$10</f>
        <v>-1450</v>
      </c>
      <c r="L30" s="44"/>
    </row>
    <row r="31" spans="1:18">
      <c r="A31" s="26"/>
      <c r="B31" s="44" t="s">
        <v>99</v>
      </c>
      <c r="C31" s="70" t="e">
        <f>-$C$10+IF($C$27&lt;$C$14,$C$27,$C$14)</f>
        <v>#N/A</v>
      </c>
      <c r="F31" t="s">
        <v>99</v>
      </c>
      <c r="G31" s="70" t="e">
        <f>-$C$10+IF($G$27&lt;$C$14,$G$27,$C$14)</f>
        <v>#N/A</v>
      </c>
      <c r="L31" s="44"/>
    </row>
    <row r="32" spans="1:18">
      <c r="A32" s="26"/>
      <c r="B32" s="44" t="s">
        <v>100</v>
      </c>
      <c r="C32" s="70">
        <f>($C$10^2)*($C$30)-(($C$30)^3)/3</f>
        <v>-2032416666.6666665</v>
      </c>
      <c r="F32" t="s">
        <v>100</v>
      </c>
      <c r="G32" s="70">
        <f>($C$10^2)*($G$30)-(($G$30)^3)/3</f>
        <v>-2032416666.6666665</v>
      </c>
      <c r="L32" s="44"/>
    </row>
    <row r="33" spans="1:15">
      <c r="A33" s="26"/>
      <c r="B33" t="s">
        <v>101</v>
      </c>
      <c r="C33" s="70" t="e">
        <f>($C$10^2)*($C$31)-(($C$31)^3)/3</f>
        <v>#N/A</v>
      </c>
      <c r="F33" t="s">
        <v>101</v>
      </c>
      <c r="G33" s="70" t="e">
        <f>($C$10^2)*($G$31)-(($G$31)^3)/3</f>
        <v>#N/A</v>
      </c>
      <c r="L33" s="44"/>
    </row>
    <row r="34" spans="1:15" ht="16" thickBot="1">
      <c r="A34" s="26"/>
      <c r="B34" t="s">
        <v>13</v>
      </c>
      <c r="C34" s="71" t="e">
        <f>($C$33-$C$32)*PI()</f>
        <v>#N/A</v>
      </c>
      <c r="F34" t="s">
        <v>13</v>
      </c>
      <c r="G34" s="71" t="e">
        <f>($G$33-$G$32)*PI()</f>
        <v>#N/A</v>
      </c>
      <c r="L34" s="44"/>
    </row>
    <row r="35" spans="1:15" ht="16" thickBot="1">
      <c r="A35" s="26"/>
      <c r="G35" s="27"/>
    </row>
    <row r="36" spans="1:15">
      <c r="A36" s="26" t="s">
        <v>55</v>
      </c>
      <c r="B36" t="s">
        <v>98</v>
      </c>
      <c r="C36" s="67" t="e">
        <f>IF($C$27&gt;$C$14,$C$14,0)</f>
        <v>#N/A</v>
      </c>
      <c r="F36" t="s">
        <v>98</v>
      </c>
      <c r="G36" s="67" t="e">
        <f>IF($G$27&gt;$C$14,$C$14,0)</f>
        <v>#N/A</v>
      </c>
      <c r="L36" s="44"/>
    </row>
    <row r="37" spans="1:15">
      <c r="A37" s="26"/>
      <c r="B37" t="s">
        <v>99</v>
      </c>
      <c r="C37" s="70" t="e">
        <f>IF($C$27&gt;$C$14,IF($C$13&gt;$C$27,$C$27,$C$13),0)</f>
        <v>#N/A</v>
      </c>
      <c r="F37" t="s">
        <v>99</v>
      </c>
      <c r="G37" s="75" t="e">
        <f>IF($G$27&gt;$C$14,IF($C$13&gt;$G$27,$G$27,$C$13),0)</f>
        <v>#N/A</v>
      </c>
      <c r="O37" s="44"/>
    </row>
    <row r="38" spans="1:15" ht="16" thickBot="1">
      <c r="A38" s="26"/>
      <c r="B38" t="s">
        <v>13</v>
      </c>
      <c r="C38" s="69" t="e">
        <f>SUM($E$50:$E$2049)*PI()</f>
        <v>#N/A</v>
      </c>
      <c r="F38" t="s">
        <v>13</v>
      </c>
      <c r="G38" s="69" t="e">
        <f>SUM($K$50:$K$2048)*PI()</f>
        <v>#N/A</v>
      </c>
      <c r="L38" s="44"/>
    </row>
    <row r="39" spans="1:15" ht="16" thickBot="1">
      <c r="A39" s="26"/>
      <c r="G39" s="27"/>
    </row>
    <row r="40" spans="1:15">
      <c r="A40" s="26" t="s">
        <v>102</v>
      </c>
      <c r="B40" t="s">
        <v>98</v>
      </c>
      <c r="C40" s="67" t="e">
        <f>IF($C$33&gt;$G$25,0,0)</f>
        <v>#N/A</v>
      </c>
      <c r="F40" t="s">
        <v>98</v>
      </c>
      <c r="G40" s="67" t="e">
        <f>IF($G$33&gt;$G$25,0,0)</f>
        <v>#N/A</v>
      </c>
      <c r="O40" s="44"/>
    </row>
    <row r="41" spans="1:15">
      <c r="A41" s="26"/>
      <c r="B41" t="s">
        <v>99</v>
      </c>
      <c r="C41" s="70" t="e">
        <f>IF($C$27&gt;$C$13,$C$27-$C$13,D41)</f>
        <v>#N/A</v>
      </c>
      <c r="F41" t="s">
        <v>99</v>
      </c>
      <c r="G41" s="70" t="e">
        <f>IF($G$27&gt;$C$13,$G$27-$C$13,0)</f>
        <v>#N/A</v>
      </c>
      <c r="L41" s="44"/>
      <c r="O41" s="44"/>
    </row>
    <row r="42" spans="1:15" ht="16" thickBot="1">
      <c r="A42" s="26"/>
      <c r="B42" t="s">
        <v>13</v>
      </c>
      <c r="C42" s="71" t="e">
        <f>PI()*($C$9^2)*$C$41/4</f>
        <v>#N/A</v>
      </c>
      <c r="F42" t="s">
        <v>13</v>
      </c>
      <c r="G42" s="69" t="e">
        <f>PI()*($C$9^2)*$G$41/4</f>
        <v>#N/A</v>
      </c>
      <c r="L42" s="44"/>
      <c r="O42" s="44"/>
    </row>
    <row r="43" spans="1:15" ht="16" thickBot="1">
      <c r="A43" s="26"/>
      <c r="G43" s="27"/>
    </row>
    <row r="44" spans="1:15" ht="32">
      <c r="A44" s="72" t="s">
        <v>103</v>
      </c>
      <c r="C44" s="67" t="e">
        <f>$C$34+$C$38+$C$42</f>
        <v>#N/A</v>
      </c>
      <c r="F44" s="7" t="s">
        <v>105</v>
      </c>
      <c r="G44" s="67" t="e">
        <f>$G$34+$G$38+$G$42</f>
        <v>#N/A</v>
      </c>
    </row>
    <row r="45" spans="1:15" ht="33" thickBot="1">
      <c r="A45" s="73" t="s">
        <v>104</v>
      </c>
      <c r="B45" s="59"/>
      <c r="C45" s="76" t="e">
        <f>$C$44/10^6</f>
        <v>#N/A</v>
      </c>
      <c r="D45" s="59"/>
      <c r="E45" s="59"/>
      <c r="F45" s="74" t="s">
        <v>106</v>
      </c>
      <c r="G45" s="76" t="e">
        <f>$G$44/10^6</f>
        <v>#N/A</v>
      </c>
    </row>
    <row r="46" spans="1:1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>
      <c r="A47" s="294" t="s">
        <v>108</v>
      </c>
      <c r="B47" s="292"/>
      <c r="C47" s="292"/>
      <c r="D47" s="292"/>
      <c r="E47" s="292"/>
      <c r="F47" s="292"/>
      <c r="G47" s="292"/>
      <c r="H47" s="292"/>
      <c r="I47" s="292"/>
      <c r="J47" s="292"/>
      <c r="K47" s="293"/>
    </row>
    <row r="48" spans="1:15">
      <c r="A48" s="294" t="s">
        <v>109</v>
      </c>
      <c r="B48" s="292"/>
      <c r="C48" s="292"/>
      <c r="D48" s="292"/>
      <c r="E48" s="292"/>
      <c r="G48" s="292" t="s">
        <v>114</v>
      </c>
      <c r="H48" s="292"/>
      <c r="I48" s="292"/>
      <c r="J48" s="292"/>
      <c r="K48" s="293"/>
    </row>
    <row r="49" spans="1:14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>
      <c r="A50" s="26">
        <v>0</v>
      </c>
      <c r="B50" s="82">
        <v>0</v>
      </c>
      <c r="C50" s="58">
        <f>$C$14</f>
        <v>151.08069610745591</v>
      </c>
      <c r="D50" s="83" t="e">
        <f>IF($G$28&lt;$C$14,0,((($C$11^2)-((C50-$C$13)^2))^0.5)+$C$16)</f>
        <v>#N/A</v>
      </c>
      <c r="E50" t="e">
        <f>((D50^2)+(D50*D51)+(D51^2))*B51/3</f>
        <v>#N/A</v>
      </c>
      <c r="G50">
        <v>0</v>
      </c>
      <c r="H50">
        <v>0</v>
      </c>
      <c r="I50" s="58">
        <f>$C$14</f>
        <v>151.08069610745591</v>
      </c>
      <c r="J50" t="e">
        <f>IF($G$28&lt;$C$14,0,((($C$11^2)-((I50-$C$13)^2))^0.5)+$C$16)</f>
        <v>#N/A</v>
      </c>
      <c r="K50" s="27" t="e">
        <f>((J50^2)+(J50*J51)+(J51^2))*H51/3</f>
        <v>#N/A</v>
      </c>
      <c r="M50" s="44"/>
      <c r="N50" s="44"/>
    </row>
    <row r="51" spans="1:14">
      <c r="A51" s="26">
        <v>1</v>
      </c>
      <c r="B51" s="82" t="e">
        <f>C51-C50</f>
        <v>#N/A</v>
      </c>
      <c r="C51" s="58" t="e">
        <f>($C$37-$C$36)/2000+C50</f>
        <v>#N/A</v>
      </c>
      <c r="D51" s="83" t="e">
        <f>IF($G$28&lt;$C$14,0,((($C$11^2)-((C51-$C$13)^2))^0.5)+$C$16)</f>
        <v>#N/A</v>
      </c>
      <c r="E51" t="e">
        <f t="shared" ref="E51:E114" si="0">((D51^2)+(D51*D52)+(D52^2))*B52/3</f>
        <v>#N/A</v>
      </c>
      <c r="G51">
        <v>1</v>
      </c>
      <c r="H51" s="13" t="e">
        <f>I51-I50</f>
        <v>#N/A</v>
      </c>
      <c r="I51" t="e">
        <f>($G$27-$C$14)/2000+I50</f>
        <v>#N/A</v>
      </c>
      <c r="J51" t="e">
        <f t="shared" ref="J51:J114" si="1">IF($G$28&lt;$C$14,0,((($C$11^2)-((I51-$C$13)^2))^0.5)+$C$16)</f>
        <v>#N/A</v>
      </c>
      <c r="K51" s="27" t="e">
        <f t="shared" ref="K51:K114" si="2">((J51^2)+(J51*J52)+(J52^2))*H52/3</f>
        <v>#N/A</v>
      </c>
      <c r="M51" s="44"/>
    </row>
    <row r="52" spans="1:14">
      <c r="A52" s="26">
        <v>2</v>
      </c>
      <c r="B52" s="82" t="e">
        <f t="shared" ref="B52:B115" si="3">C52-C51</f>
        <v>#N/A</v>
      </c>
      <c r="C52" s="58" t="e">
        <f t="shared" ref="C52:C58" si="4">($C$37-$C$36)/2000+C51</f>
        <v>#N/A</v>
      </c>
      <c r="D52" s="83" t="e">
        <f t="shared" ref="D52:D115" si="5">IF($G$28&lt;$C$14,0,((($C$11^2)-((C52-$C$13)^2))^0.5)+$C$16)</f>
        <v>#N/A</v>
      </c>
      <c r="E52" t="e">
        <f t="shared" si="0"/>
        <v>#N/A</v>
      </c>
      <c r="G52">
        <v>2</v>
      </c>
      <c r="H52" s="13" t="e">
        <f t="shared" ref="H52:H115" si="6">I52-I51</f>
        <v>#N/A</v>
      </c>
      <c r="I52" t="e">
        <f t="shared" ref="I52:I115" si="7">($G$27-$C$14)/2000+I51</f>
        <v>#N/A</v>
      </c>
      <c r="J52" t="e">
        <f t="shared" si="1"/>
        <v>#N/A</v>
      </c>
      <c r="K52" s="27" t="e">
        <f t="shared" si="2"/>
        <v>#N/A</v>
      </c>
      <c r="M52" s="44"/>
    </row>
    <row r="53" spans="1:14">
      <c r="A53" s="26">
        <v>3</v>
      </c>
      <c r="B53" s="82" t="e">
        <f t="shared" si="3"/>
        <v>#N/A</v>
      </c>
      <c r="C53" s="58" t="e">
        <f t="shared" si="4"/>
        <v>#N/A</v>
      </c>
      <c r="D53" s="83" t="e">
        <f t="shared" si="5"/>
        <v>#N/A</v>
      </c>
      <c r="E53" t="e">
        <f t="shared" si="0"/>
        <v>#N/A</v>
      </c>
      <c r="G53">
        <v>3</v>
      </c>
      <c r="H53" s="13" t="e">
        <f t="shared" si="6"/>
        <v>#N/A</v>
      </c>
      <c r="I53" t="e">
        <f t="shared" si="7"/>
        <v>#N/A</v>
      </c>
      <c r="J53" t="e">
        <f t="shared" si="1"/>
        <v>#N/A</v>
      </c>
      <c r="K53" s="27" t="e">
        <f t="shared" si="2"/>
        <v>#N/A</v>
      </c>
    </row>
    <row r="54" spans="1:14">
      <c r="A54" s="26">
        <v>4</v>
      </c>
      <c r="B54" s="82" t="e">
        <f t="shared" si="3"/>
        <v>#N/A</v>
      </c>
      <c r="C54" s="58" t="e">
        <f t="shared" si="4"/>
        <v>#N/A</v>
      </c>
      <c r="D54" s="83" t="e">
        <f t="shared" si="5"/>
        <v>#N/A</v>
      </c>
      <c r="E54" t="e">
        <f t="shared" si="0"/>
        <v>#N/A</v>
      </c>
      <c r="G54">
        <v>4</v>
      </c>
      <c r="H54" s="13" t="e">
        <f t="shared" si="6"/>
        <v>#N/A</v>
      </c>
      <c r="I54" t="e">
        <f t="shared" si="7"/>
        <v>#N/A</v>
      </c>
      <c r="J54" t="e">
        <f t="shared" si="1"/>
        <v>#N/A</v>
      </c>
      <c r="K54" s="27" t="e">
        <f t="shared" si="2"/>
        <v>#N/A</v>
      </c>
    </row>
    <row r="55" spans="1:14">
      <c r="A55" s="26">
        <v>5</v>
      </c>
      <c r="B55" s="82" t="e">
        <f t="shared" si="3"/>
        <v>#N/A</v>
      </c>
      <c r="C55" s="58" t="e">
        <f t="shared" si="4"/>
        <v>#N/A</v>
      </c>
      <c r="D55" s="83" t="e">
        <f t="shared" si="5"/>
        <v>#N/A</v>
      </c>
      <c r="E55" t="e">
        <f t="shared" si="0"/>
        <v>#N/A</v>
      </c>
      <c r="G55">
        <v>5</v>
      </c>
      <c r="H55" s="13" t="e">
        <f t="shared" si="6"/>
        <v>#N/A</v>
      </c>
      <c r="I55" t="e">
        <f t="shared" si="7"/>
        <v>#N/A</v>
      </c>
      <c r="J55" t="e">
        <f t="shared" si="1"/>
        <v>#N/A</v>
      </c>
      <c r="K55" s="27" t="e">
        <f t="shared" si="2"/>
        <v>#N/A</v>
      </c>
    </row>
    <row r="56" spans="1:14">
      <c r="A56" s="26">
        <v>6</v>
      </c>
      <c r="B56" s="82" t="e">
        <f t="shared" si="3"/>
        <v>#N/A</v>
      </c>
      <c r="C56" s="58" t="e">
        <f t="shared" si="4"/>
        <v>#N/A</v>
      </c>
      <c r="D56" s="83" t="e">
        <f t="shared" si="5"/>
        <v>#N/A</v>
      </c>
      <c r="E56" t="e">
        <f t="shared" si="0"/>
        <v>#N/A</v>
      </c>
      <c r="G56">
        <v>6</v>
      </c>
      <c r="H56" s="13" t="e">
        <f t="shared" si="6"/>
        <v>#N/A</v>
      </c>
      <c r="I56" t="e">
        <f t="shared" si="7"/>
        <v>#N/A</v>
      </c>
      <c r="J56" t="e">
        <f t="shared" si="1"/>
        <v>#N/A</v>
      </c>
      <c r="K56" s="27" t="e">
        <f t="shared" si="2"/>
        <v>#N/A</v>
      </c>
    </row>
    <row r="57" spans="1:14">
      <c r="A57" s="26">
        <v>7</v>
      </c>
      <c r="B57" s="82" t="e">
        <f t="shared" si="3"/>
        <v>#N/A</v>
      </c>
      <c r="C57" s="58" t="e">
        <f t="shared" si="4"/>
        <v>#N/A</v>
      </c>
      <c r="D57" s="83" t="e">
        <f t="shared" si="5"/>
        <v>#N/A</v>
      </c>
      <c r="E57" t="e">
        <f t="shared" si="0"/>
        <v>#N/A</v>
      </c>
      <c r="G57">
        <v>7</v>
      </c>
      <c r="H57" s="13" t="e">
        <f t="shared" si="6"/>
        <v>#N/A</v>
      </c>
      <c r="I57" t="e">
        <f t="shared" si="7"/>
        <v>#N/A</v>
      </c>
      <c r="J57" t="e">
        <f t="shared" si="1"/>
        <v>#N/A</v>
      </c>
      <c r="K57" s="27" t="e">
        <f t="shared" si="2"/>
        <v>#N/A</v>
      </c>
    </row>
    <row r="58" spans="1:14">
      <c r="A58" s="26">
        <v>8</v>
      </c>
      <c r="B58" s="82" t="e">
        <f t="shared" si="3"/>
        <v>#N/A</v>
      </c>
      <c r="C58" s="58" t="e">
        <f t="shared" si="4"/>
        <v>#N/A</v>
      </c>
      <c r="D58" s="83" t="e">
        <f t="shared" si="5"/>
        <v>#N/A</v>
      </c>
      <c r="E58" t="e">
        <f t="shared" si="0"/>
        <v>#N/A</v>
      </c>
      <c r="G58">
        <v>8</v>
      </c>
      <c r="H58" s="13" t="e">
        <f t="shared" si="6"/>
        <v>#N/A</v>
      </c>
      <c r="I58" t="e">
        <f t="shared" si="7"/>
        <v>#N/A</v>
      </c>
      <c r="J58" t="e">
        <f t="shared" si="1"/>
        <v>#N/A</v>
      </c>
      <c r="K58" s="27" t="e">
        <f t="shared" si="2"/>
        <v>#N/A</v>
      </c>
    </row>
    <row r="59" spans="1:14">
      <c r="A59" s="26">
        <v>9</v>
      </c>
      <c r="B59" s="82" t="e">
        <f t="shared" si="3"/>
        <v>#N/A</v>
      </c>
      <c r="C59" s="58" t="e">
        <f t="shared" ref="C59:C64" si="8">($C$37-$C$36)/2000+C58</f>
        <v>#N/A</v>
      </c>
      <c r="D59" s="83" t="e">
        <f t="shared" si="5"/>
        <v>#N/A</v>
      </c>
      <c r="E59" t="e">
        <f t="shared" si="0"/>
        <v>#N/A</v>
      </c>
      <c r="G59">
        <v>9</v>
      </c>
      <c r="H59" s="13" t="e">
        <f t="shared" si="6"/>
        <v>#N/A</v>
      </c>
      <c r="I59" t="e">
        <f t="shared" si="7"/>
        <v>#N/A</v>
      </c>
      <c r="J59" t="e">
        <f t="shared" si="1"/>
        <v>#N/A</v>
      </c>
      <c r="K59" s="27" t="e">
        <f t="shared" si="2"/>
        <v>#N/A</v>
      </c>
    </row>
    <row r="60" spans="1:14">
      <c r="A60" s="26">
        <v>10</v>
      </c>
      <c r="B60" s="82" t="e">
        <f t="shared" si="3"/>
        <v>#N/A</v>
      </c>
      <c r="C60" s="58" t="e">
        <f t="shared" si="8"/>
        <v>#N/A</v>
      </c>
      <c r="D60" s="83" t="e">
        <f t="shared" si="5"/>
        <v>#N/A</v>
      </c>
      <c r="E60" t="e">
        <f t="shared" si="0"/>
        <v>#N/A</v>
      </c>
      <c r="G60">
        <v>10</v>
      </c>
      <c r="H60" s="13" t="e">
        <f t="shared" si="6"/>
        <v>#N/A</v>
      </c>
      <c r="I60" t="e">
        <f t="shared" si="7"/>
        <v>#N/A</v>
      </c>
      <c r="J60" t="e">
        <f t="shared" si="1"/>
        <v>#N/A</v>
      </c>
      <c r="K60" s="27" t="e">
        <f t="shared" si="2"/>
        <v>#N/A</v>
      </c>
    </row>
    <row r="61" spans="1:14">
      <c r="A61" s="26">
        <v>11</v>
      </c>
      <c r="B61" s="82" t="e">
        <f t="shared" si="3"/>
        <v>#N/A</v>
      </c>
      <c r="C61" s="58" t="e">
        <f t="shared" si="8"/>
        <v>#N/A</v>
      </c>
      <c r="D61" s="83" t="e">
        <f t="shared" si="5"/>
        <v>#N/A</v>
      </c>
      <c r="E61" t="e">
        <f t="shared" si="0"/>
        <v>#N/A</v>
      </c>
      <c r="G61">
        <v>11</v>
      </c>
      <c r="H61" s="13" t="e">
        <f t="shared" si="6"/>
        <v>#N/A</v>
      </c>
      <c r="I61" t="e">
        <f t="shared" si="7"/>
        <v>#N/A</v>
      </c>
      <c r="J61" t="e">
        <f t="shared" si="1"/>
        <v>#N/A</v>
      </c>
      <c r="K61" s="27" t="e">
        <f t="shared" si="2"/>
        <v>#N/A</v>
      </c>
    </row>
    <row r="62" spans="1:14">
      <c r="A62" s="26">
        <v>12</v>
      </c>
      <c r="B62" s="82" t="e">
        <f t="shared" si="3"/>
        <v>#N/A</v>
      </c>
      <c r="C62" s="58" t="e">
        <f t="shared" si="8"/>
        <v>#N/A</v>
      </c>
      <c r="D62" s="83" t="e">
        <f t="shared" si="5"/>
        <v>#N/A</v>
      </c>
      <c r="E62" t="e">
        <f t="shared" si="0"/>
        <v>#N/A</v>
      </c>
      <c r="G62">
        <v>12</v>
      </c>
      <c r="H62" s="13" t="e">
        <f t="shared" si="6"/>
        <v>#N/A</v>
      </c>
      <c r="I62" t="e">
        <f t="shared" si="7"/>
        <v>#N/A</v>
      </c>
      <c r="J62" t="e">
        <f t="shared" si="1"/>
        <v>#N/A</v>
      </c>
      <c r="K62" s="27" t="e">
        <f t="shared" si="2"/>
        <v>#N/A</v>
      </c>
    </row>
    <row r="63" spans="1:14">
      <c r="A63" s="26">
        <v>13</v>
      </c>
      <c r="B63" s="82" t="e">
        <f t="shared" si="3"/>
        <v>#N/A</v>
      </c>
      <c r="C63" s="58" t="e">
        <f t="shared" si="8"/>
        <v>#N/A</v>
      </c>
      <c r="D63" s="83" t="e">
        <f t="shared" si="5"/>
        <v>#N/A</v>
      </c>
      <c r="E63" t="e">
        <f t="shared" si="0"/>
        <v>#N/A</v>
      </c>
      <c r="G63">
        <v>13</v>
      </c>
      <c r="H63" s="13" t="e">
        <f t="shared" si="6"/>
        <v>#N/A</v>
      </c>
      <c r="I63" t="e">
        <f t="shared" si="7"/>
        <v>#N/A</v>
      </c>
      <c r="J63" t="e">
        <f t="shared" si="1"/>
        <v>#N/A</v>
      </c>
      <c r="K63" s="27" t="e">
        <f t="shared" si="2"/>
        <v>#N/A</v>
      </c>
    </row>
    <row r="64" spans="1:14">
      <c r="A64" s="26">
        <v>14</v>
      </c>
      <c r="B64" s="82" t="e">
        <f t="shared" si="3"/>
        <v>#N/A</v>
      </c>
      <c r="C64" s="58" t="e">
        <f t="shared" si="8"/>
        <v>#N/A</v>
      </c>
      <c r="D64" s="83" t="e">
        <f t="shared" si="5"/>
        <v>#N/A</v>
      </c>
      <c r="E64" t="e">
        <f t="shared" si="0"/>
        <v>#N/A</v>
      </c>
      <c r="G64">
        <v>14</v>
      </c>
      <c r="H64" s="13" t="e">
        <f t="shared" si="6"/>
        <v>#N/A</v>
      </c>
      <c r="I64" t="e">
        <f t="shared" si="7"/>
        <v>#N/A</v>
      </c>
      <c r="J64" t="e">
        <f t="shared" si="1"/>
        <v>#N/A</v>
      </c>
      <c r="K64" s="27" t="e">
        <f t="shared" si="2"/>
        <v>#N/A</v>
      </c>
    </row>
    <row r="65" spans="1:11">
      <c r="A65" s="26">
        <v>15</v>
      </c>
      <c r="B65" s="82" t="e">
        <f t="shared" si="3"/>
        <v>#N/A</v>
      </c>
      <c r="C65" s="58" t="e">
        <f t="shared" ref="C65:C79" si="9">($C$37-$C$36)/2000+C64</f>
        <v>#N/A</v>
      </c>
      <c r="D65" s="83" t="e">
        <f t="shared" si="5"/>
        <v>#N/A</v>
      </c>
      <c r="E65" t="e">
        <f t="shared" si="0"/>
        <v>#N/A</v>
      </c>
      <c r="G65">
        <v>15</v>
      </c>
      <c r="H65" s="13" t="e">
        <f t="shared" si="6"/>
        <v>#N/A</v>
      </c>
      <c r="I65" t="e">
        <f t="shared" si="7"/>
        <v>#N/A</v>
      </c>
      <c r="J65" t="e">
        <f t="shared" si="1"/>
        <v>#N/A</v>
      </c>
      <c r="K65" s="27" t="e">
        <f t="shared" si="2"/>
        <v>#N/A</v>
      </c>
    </row>
    <row r="66" spans="1:11">
      <c r="A66" s="26">
        <v>16</v>
      </c>
      <c r="B66" s="82" t="e">
        <f t="shared" si="3"/>
        <v>#N/A</v>
      </c>
      <c r="C66" s="58" t="e">
        <f t="shared" si="9"/>
        <v>#N/A</v>
      </c>
      <c r="D66" s="83" t="e">
        <f t="shared" si="5"/>
        <v>#N/A</v>
      </c>
      <c r="E66" t="e">
        <f t="shared" si="0"/>
        <v>#N/A</v>
      </c>
      <c r="G66">
        <v>16</v>
      </c>
      <c r="H66" s="13" t="e">
        <f t="shared" si="6"/>
        <v>#N/A</v>
      </c>
      <c r="I66" t="e">
        <f t="shared" si="7"/>
        <v>#N/A</v>
      </c>
      <c r="J66" t="e">
        <f t="shared" si="1"/>
        <v>#N/A</v>
      </c>
      <c r="K66" s="27" t="e">
        <f t="shared" si="2"/>
        <v>#N/A</v>
      </c>
    </row>
    <row r="67" spans="1:11">
      <c r="A67" s="26">
        <v>17</v>
      </c>
      <c r="B67" s="82" t="e">
        <f t="shared" si="3"/>
        <v>#N/A</v>
      </c>
      <c r="C67" s="58" t="e">
        <f t="shared" si="9"/>
        <v>#N/A</v>
      </c>
      <c r="D67" s="83" t="e">
        <f t="shared" si="5"/>
        <v>#N/A</v>
      </c>
      <c r="E67" t="e">
        <f t="shared" si="0"/>
        <v>#N/A</v>
      </c>
      <c r="G67">
        <v>17</v>
      </c>
      <c r="H67" s="13" t="e">
        <f t="shared" si="6"/>
        <v>#N/A</v>
      </c>
      <c r="I67" t="e">
        <f t="shared" si="7"/>
        <v>#N/A</v>
      </c>
      <c r="J67" t="e">
        <f t="shared" si="1"/>
        <v>#N/A</v>
      </c>
      <c r="K67" s="27" t="e">
        <f t="shared" si="2"/>
        <v>#N/A</v>
      </c>
    </row>
    <row r="68" spans="1:11">
      <c r="A68" s="26">
        <v>18</v>
      </c>
      <c r="B68" s="82" t="e">
        <f t="shared" si="3"/>
        <v>#N/A</v>
      </c>
      <c r="C68" s="58" t="e">
        <f t="shared" si="9"/>
        <v>#N/A</v>
      </c>
      <c r="D68" s="83" t="e">
        <f t="shared" si="5"/>
        <v>#N/A</v>
      </c>
      <c r="E68" t="e">
        <f t="shared" si="0"/>
        <v>#N/A</v>
      </c>
      <c r="G68">
        <v>18</v>
      </c>
      <c r="H68" s="13" t="e">
        <f t="shared" si="6"/>
        <v>#N/A</v>
      </c>
      <c r="I68" t="e">
        <f t="shared" si="7"/>
        <v>#N/A</v>
      </c>
      <c r="J68" t="e">
        <f t="shared" si="1"/>
        <v>#N/A</v>
      </c>
      <c r="K68" s="27" t="e">
        <f t="shared" si="2"/>
        <v>#N/A</v>
      </c>
    </row>
    <row r="69" spans="1:11">
      <c r="A69" s="26">
        <v>19</v>
      </c>
      <c r="B69" s="82" t="e">
        <f t="shared" si="3"/>
        <v>#N/A</v>
      </c>
      <c r="C69" s="58" t="e">
        <f t="shared" si="9"/>
        <v>#N/A</v>
      </c>
      <c r="D69" s="83" t="e">
        <f t="shared" si="5"/>
        <v>#N/A</v>
      </c>
      <c r="E69" t="e">
        <f t="shared" si="0"/>
        <v>#N/A</v>
      </c>
      <c r="G69">
        <v>19</v>
      </c>
      <c r="H69" s="13" t="e">
        <f t="shared" si="6"/>
        <v>#N/A</v>
      </c>
      <c r="I69" t="e">
        <f t="shared" si="7"/>
        <v>#N/A</v>
      </c>
      <c r="J69" t="e">
        <f t="shared" si="1"/>
        <v>#N/A</v>
      </c>
      <c r="K69" s="27" t="e">
        <f t="shared" si="2"/>
        <v>#N/A</v>
      </c>
    </row>
    <row r="70" spans="1:11">
      <c r="A70" s="26">
        <v>20</v>
      </c>
      <c r="B70" s="82" t="e">
        <f t="shared" si="3"/>
        <v>#N/A</v>
      </c>
      <c r="C70" s="58" t="e">
        <f t="shared" si="9"/>
        <v>#N/A</v>
      </c>
      <c r="D70" s="83" t="e">
        <f t="shared" si="5"/>
        <v>#N/A</v>
      </c>
      <c r="E70" t="e">
        <f t="shared" si="0"/>
        <v>#N/A</v>
      </c>
      <c r="G70">
        <v>20</v>
      </c>
      <c r="H70" s="13" t="e">
        <f t="shared" si="6"/>
        <v>#N/A</v>
      </c>
      <c r="I70" t="e">
        <f t="shared" si="7"/>
        <v>#N/A</v>
      </c>
      <c r="J70" t="e">
        <f t="shared" si="1"/>
        <v>#N/A</v>
      </c>
      <c r="K70" s="27" t="e">
        <f t="shared" si="2"/>
        <v>#N/A</v>
      </c>
    </row>
    <row r="71" spans="1:11">
      <c r="A71" s="26">
        <v>21</v>
      </c>
      <c r="B71" s="82" t="e">
        <f t="shared" si="3"/>
        <v>#N/A</v>
      </c>
      <c r="C71" s="58" t="e">
        <f t="shared" si="9"/>
        <v>#N/A</v>
      </c>
      <c r="D71" s="83" t="e">
        <f t="shared" si="5"/>
        <v>#N/A</v>
      </c>
      <c r="E71" t="e">
        <f t="shared" si="0"/>
        <v>#N/A</v>
      </c>
      <c r="G71">
        <v>21</v>
      </c>
      <c r="H71" s="13" t="e">
        <f t="shared" si="6"/>
        <v>#N/A</v>
      </c>
      <c r="I71" t="e">
        <f t="shared" si="7"/>
        <v>#N/A</v>
      </c>
      <c r="J71" t="e">
        <f t="shared" si="1"/>
        <v>#N/A</v>
      </c>
      <c r="K71" s="27" t="e">
        <f t="shared" si="2"/>
        <v>#N/A</v>
      </c>
    </row>
    <row r="72" spans="1:11">
      <c r="A72" s="26">
        <v>22</v>
      </c>
      <c r="B72" s="82" t="e">
        <f t="shared" si="3"/>
        <v>#N/A</v>
      </c>
      <c r="C72" s="58" t="e">
        <f t="shared" si="9"/>
        <v>#N/A</v>
      </c>
      <c r="D72" s="83" t="e">
        <f t="shared" si="5"/>
        <v>#N/A</v>
      </c>
      <c r="E72" t="e">
        <f t="shared" si="0"/>
        <v>#N/A</v>
      </c>
      <c r="G72">
        <v>22</v>
      </c>
      <c r="H72" s="13" t="e">
        <f t="shared" si="6"/>
        <v>#N/A</v>
      </c>
      <c r="I72" t="e">
        <f t="shared" si="7"/>
        <v>#N/A</v>
      </c>
      <c r="J72" t="e">
        <f t="shared" si="1"/>
        <v>#N/A</v>
      </c>
      <c r="K72" s="27" t="e">
        <f t="shared" si="2"/>
        <v>#N/A</v>
      </c>
    </row>
    <row r="73" spans="1:11">
      <c r="A73" s="26">
        <v>23</v>
      </c>
      <c r="B73" s="82" t="e">
        <f t="shared" si="3"/>
        <v>#N/A</v>
      </c>
      <c r="C73" s="58" t="e">
        <f t="shared" si="9"/>
        <v>#N/A</v>
      </c>
      <c r="D73" s="83" t="e">
        <f t="shared" si="5"/>
        <v>#N/A</v>
      </c>
      <c r="E73" t="e">
        <f t="shared" si="0"/>
        <v>#N/A</v>
      </c>
      <c r="G73">
        <v>23</v>
      </c>
      <c r="H73" s="13" t="e">
        <f t="shared" si="6"/>
        <v>#N/A</v>
      </c>
      <c r="I73" t="e">
        <f t="shared" si="7"/>
        <v>#N/A</v>
      </c>
      <c r="J73" t="e">
        <f t="shared" si="1"/>
        <v>#N/A</v>
      </c>
      <c r="K73" s="27" t="e">
        <f t="shared" si="2"/>
        <v>#N/A</v>
      </c>
    </row>
    <row r="74" spans="1:11">
      <c r="A74" s="26">
        <v>24</v>
      </c>
      <c r="B74" s="82" t="e">
        <f t="shared" si="3"/>
        <v>#N/A</v>
      </c>
      <c r="C74" s="58" t="e">
        <f t="shared" si="9"/>
        <v>#N/A</v>
      </c>
      <c r="D74" s="83" t="e">
        <f t="shared" si="5"/>
        <v>#N/A</v>
      </c>
      <c r="E74" t="e">
        <f t="shared" si="0"/>
        <v>#N/A</v>
      </c>
      <c r="G74">
        <v>24</v>
      </c>
      <c r="H74" s="13" t="e">
        <f t="shared" si="6"/>
        <v>#N/A</v>
      </c>
      <c r="I74" t="e">
        <f t="shared" si="7"/>
        <v>#N/A</v>
      </c>
      <c r="J74" t="e">
        <f t="shared" si="1"/>
        <v>#N/A</v>
      </c>
      <c r="K74" s="27" t="e">
        <f t="shared" si="2"/>
        <v>#N/A</v>
      </c>
    </row>
    <row r="75" spans="1:11">
      <c r="A75" s="26">
        <v>25</v>
      </c>
      <c r="B75" s="82" t="e">
        <f t="shared" si="3"/>
        <v>#N/A</v>
      </c>
      <c r="C75" s="58" t="e">
        <f t="shared" si="9"/>
        <v>#N/A</v>
      </c>
      <c r="D75" s="83" t="e">
        <f t="shared" si="5"/>
        <v>#N/A</v>
      </c>
      <c r="E75" t="e">
        <f t="shared" si="0"/>
        <v>#N/A</v>
      </c>
      <c r="G75">
        <v>25</v>
      </c>
      <c r="H75" s="13" t="e">
        <f t="shared" si="6"/>
        <v>#N/A</v>
      </c>
      <c r="I75" t="e">
        <f t="shared" si="7"/>
        <v>#N/A</v>
      </c>
      <c r="J75" t="e">
        <f t="shared" si="1"/>
        <v>#N/A</v>
      </c>
      <c r="K75" s="27" t="e">
        <f t="shared" si="2"/>
        <v>#N/A</v>
      </c>
    </row>
    <row r="76" spans="1:11">
      <c r="A76" s="26">
        <v>26</v>
      </c>
      <c r="B76" s="82" t="e">
        <f t="shared" si="3"/>
        <v>#N/A</v>
      </c>
      <c r="C76" s="58" t="e">
        <f t="shared" si="9"/>
        <v>#N/A</v>
      </c>
      <c r="D76" s="83" t="e">
        <f t="shared" si="5"/>
        <v>#N/A</v>
      </c>
      <c r="E76" t="e">
        <f t="shared" si="0"/>
        <v>#N/A</v>
      </c>
      <c r="G76">
        <v>26</v>
      </c>
      <c r="H76" s="13" t="e">
        <f t="shared" si="6"/>
        <v>#N/A</v>
      </c>
      <c r="I76" t="e">
        <f t="shared" si="7"/>
        <v>#N/A</v>
      </c>
      <c r="J76" t="e">
        <f t="shared" si="1"/>
        <v>#N/A</v>
      </c>
      <c r="K76" s="27" t="e">
        <f t="shared" si="2"/>
        <v>#N/A</v>
      </c>
    </row>
    <row r="77" spans="1:11">
      <c r="A77" s="26">
        <v>27</v>
      </c>
      <c r="B77" s="82" t="e">
        <f t="shared" si="3"/>
        <v>#N/A</v>
      </c>
      <c r="C77" s="58" t="e">
        <f t="shared" si="9"/>
        <v>#N/A</v>
      </c>
      <c r="D77" s="83" t="e">
        <f t="shared" si="5"/>
        <v>#N/A</v>
      </c>
      <c r="E77" t="e">
        <f t="shared" si="0"/>
        <v>#N/A</v>
      </c>
      <c r="G77">
        <v>27</v>
      </c>
      <c r="H77" s="13" t="e">
        <f t="shared" si="6"/>
        <v>#N/A</v>
      </c>
      <c r="I77" t="e">
        <f t="shared" si="7"/>
        <v>#N/A</v>
      </c>
      <c r="J77" t="e">
        <f t="shared" si="1"/>
        <v>#N/A</v>
      </c>
      <c r="K77" s="27" t="e">
        <f t="shared" si="2"/>
        <v>#N/A</v>
      </c>
    </row>
    <row r="78" spans="1:11">
      <c r="A78" s="26">
        <v>28</v>
      </c>
      <c r="B78" s="82" t="e">
        <f t="shared" si="3"/>
        <v>#N/A</v>
      </c>
      <c r="C78" s="58" t="e">
        <f t="shared" si="9"/>
        <v>#N/A</v>
      </c>
      <c r="D78" s="83" t="e">
        <f t="shared" si="5"/>
        <v>#N/A</v>
      </c>
      <c r="E78" t="e">
        <f t="shared" si="0"/>
        <v>#N/A</v>
      </c>
      <c r="G78">
        <v>28</v>
      </c>
      <c r="H78" s="13" t="e">
        <f t="shared" si="6"/>
        <v>#N/A</v>
      </c>
      <c r="I78" t="e">
        <f t="shared" si="7"/>
        <v>#N/A</v>
      </c>
      <c r="J78" t="e">
        <f t="shared" si="1"/>
        <v>#N/A</v>
      </c>
      <c r="K78" s="27" t="e">
        <f t="shared" si="2"/>
        <v>#N/A</v>
      </c>
    </row>
    <row r="79" spans="1:11">
      <c r="A79" s="26">
        <v>29</v>
      </c>
      <c r="B79" s="82" t="e">
        <f t="shared" si="3"/>
        <v>#N/A</v>
      </c>
      <c r="C79" s="58" t="e">
        <f t="shared" si="9"/>
        <v>#N/A</v>
      </c>
      <c r="D79" s="83" t="e">
        <f t="shared" si="5"/>
        <v>#N/A</v>
      </c>
      <c r="E79" t="e">
        <f t="shared" si="0"/>
        <v>#N/A</v>
      </c>
      <c r="G79">
        <v>29</v>
      </c>
      <c r="H79" s="13" t="e">
        <f t="shared" si="6"/>
        <v>#N/A</v>
      </c>
      <c r="I79" t="e">
        <f t="shared" si="7"/>
        <v>#N/A</v>
      </c>
      <c r="J79" t="e">
        <f t="shared" si="1"/>
        <v>#N/A</v>
      </c>
      <c r="K79" s="27" t="e">
        <f t="shared" si="2"/>
        <v>#N/A</v>
      </c>
    </row>
    <row r="80" spans="1:11">
      <c r="A80" s="26">
        <v>30</v>
      </c>
      <c r="B80" s="82" t="e">
        <f t="shared" si="3"/>
        <v>#N/A</v>
      </c>
      <c r="C80" s="58" t="e">
        <f t="shared" ref="C80:C143" si="10">($C$37-$C$36)/2000+C79</f>
        <v>#N/A</v>
      </c>
      <c r="D80" s="83" t="e">
        <f t="shared" si="5"/>
        <v>#N/A</v>
      </c>
      <c r="E80" t="e">
        <f t="shared" si="0"/>
        <v>#N/A</v>
      </c>
      <c r="G80">
        <v>30</v>
      </c>
      <c r="H80" s="13" t="e">
        <f t="shared" si="6"/>
        <v>#N/A</v>
      </c>
      <c r="I80" t="e">
        <f t="shared" si="7"/>
        <v>#N/A</v>
      </c>
      <c r="J80" t="e">
        <f t="shared" si="1"/>
        <v>#N/A</v>
      </c>
      <c r="K80" s="27" t="e">
        <f t="shared" si="2"/>
        <v>#N/A</v>
      </c>
    </row>
    <row r="81" spans="1:11">
      <c r="A81" s="26">
        <v>31</v>
      </c>
      <c r="B81" s="82" t="e">
        <f t="shared" si="3"/>
        <v>#N/A</v>
      </c>
      <c r="C81" s="58" t="e">
        <f t="shared" si="10"/>
        <v>#N/A</v>
      </c>
      <c r="D81" s="83" t="e">
        <f t="shared" si="5"/>
        <v>#N/A</v>
      </c>
      <c r="E81" t="e">
        <f t="shared" si="0"/>
        <v>#N/A</v>
      </c>
      <c r="G81">
        <v>31</v>
      </c>
      <c r="H81" s="13" t="e">
        <f t="shared" si="6"/>
        <v>#N/A</v>
      </c>
      <c r="I81" t="e">
        <f t="shared" si="7"/>
        <v>#N/A</v>
      </c>
      <c r="J81" t="e">
        <f t="shared" si="1"/>
        <v>#N/A</v>
      </c>
      <c r="K81" s="27" t="e">
        <f t="shared" si="2"/>
        <v>#N/A</v>
      </c>
    </row>
    <row r="82" spans="1:11">
      <c r="A82" s="26">
        <v>32</v>
      </c>
      <c r="B82" s="82" t="e">
        <f t="shared" si="3"/>
        <v>#N/A</v>
      </c>
      <c r="C82" s="58" t="e">
        <f t="shared" si="10"/>
        <v>#N/A</v>
      </c>
      <c r="D82" s="83" t="e">
        <f t="shared" si="5"/>
        <v>#N/A</v>
      </c>
      <c r="E82" t="e">
        <f t="shared" si="0"/>
        <v>#N/A</v>
      </c>
      <c r="G82">
        <v>32</v>
      </c>
      <c r="H82" s="13" t="e">
        <f t="shared" si="6"/>
        <v>#N/A</v>
      </c>
      <c r="I82" t="e">
        <f t="shared" si="7"/>
        <v>#N/A</v>
      </c>
      <c r="J82" t="e">
        <f t="shared" si="1"/>
        <v>#N/A</v>
      </c>
      <c r="K82" s="27" t="e">
        <f t="shared" si="2"/>
        <v>#N/A</v>
      </c>
    </row>
    <row r="83" spans="1:11">
      <c r="A83" s="26">
        <v>33</v>
      </c>
      <c r="B83" s="82" t="e">
        <f t="shared" si="3"/>
        <v>#N/A</v>
      </c>
      <c r="C83" s="58" t="e">
        <f t="shared" si="10"/>
        <v>#N/A</v>
      </c>
      <c r="D83" s="83" t="e">
        <f t="shared" si="5"/>
        <v>#N/A</v>
      </c>
      <c r="E83" t="e">
        <f t="shared" si="0"/>
        <v>#N/A</v>
      </c>
      <c r="G83">
        <v>33</v>
      </c>
      <c r="H83" s="13" t="e">
        <f t="shared" si="6"/>
        <v>#N/A</v>
      </c>
      <c r="I83" t="e">
        <f t="shared" si="7"/>
        <v>#N/A</v>
      </c>
      <c r="J83" t="e">
        <f t="shared" si="1"/>
        <v>#N/A</v>
      </c>
      <c r="K83" s="27" t="e">
        <f t="shared" si="2"/>
        <v>#N/A</v>
      </c>
    </row>
    <row r="84" spans="1:11">
      <c r="A84" s="26">
        <v>34</v>
      </c>
      <c r="B84" s="82" t="e">
        <f t="shared" si="3"/>
        <v>#N/A</v>
      </c>
      <c r="C84" s="58" t="e">
        <f t="shared" si="10"/>
        <v>#N/A</v>
      </c>
      <c r="D84" s="83" t="e">
        <f t="shared" si="5"/>
        <v>#N/A</v>
      </c>
      <c r="E84" t="e">
        <f t="shared" si="0"/>
        <v>#N/A</v>
      </c>
      <c r="G84">
        <v>34</v>
      </c>
      <c r="H84" s="13" t="e">
        <f t="shared" si="6"/>
        <v>#N/A</v>
      </c>
      <c r="I84" t="e">
        <f t="shared" si="7"/>
        <v>#N/A</v>
      </c>
      <c r="J84" t="e">
        <f t="shared" si="1"/>
        <v>#N/A</v>
      </c>
      <c r="K84" s="27" t="e">
        <f t="shared" si="2"/>
        <v>#N/A</v>
      </c>
    </row>
    <row r="85" spans="1:11">
      <c r="A85" s="26">
        <v>35</v>
      </c>
      <c r="B85" s="82" t="e">
        <f t="shared" si="3"/>
        <v>#N/A</v>
      </c>
      <c r="C85" s="58" t="e">
        <f t="shared" si="10"/>
        <v>#N/A</v>
      </c>
      <c r="D85" s="83" t="e">
        <f t="shared" si="5"/>
        <v>#N/A</v>
      </c>
      <c r="E85" t="e">
        <f t="shared" si="0"/>
        <v>#N/A</v>
      </c>
      <c r="G85">
        <v>35</v>
      </c>
      <c r="H85" s="13" t="e">
        <f t="shared" si="6"/>
        <v>#N/A</v>
      </c>
      <c r="I85" t="e">
        <f t="shared" si="7"/>
        <v>#N/A</v>
      </c>
      <c r="J85" t="e">
        <f t="shared" si="1"/>
        <v>#N/A</v>
      </c>
      <c r="K85" s="27" t="e">
        <f t="shared" si="2"/>
        <v>#N/A</v>
      </c>
    </row>
    <row r="86" spans="1:11">
      <c r="A86" s="26">
        <v>36</v>
      </c>
      <c r="B86" s="82" t="e">
        <f t="shared" si="3"/>
        <v>#N/A</v>
      </c>
      <c r="C86" s="58" t="e">
        <f t="shared" si="10"/>
        <v>#N/A</v>
      </c>
      <c r="D86" s="83" t="e">
        <f t="shared" si="5"/>
        <v>#N/A</v>
      </c>
      <c r="E86" t="e">
        <f t="shared" si="0"/>
        <v>#N/A</v>
      </c>
      <c r="G86">
        <v>36</v>
      </c>
      <c r="H86" s="13" t="e">
        <f t="shared" si="6"/>
        <v>#N/A</v>
      </c>
      <c r="I86" t="e">
        <f t="shared" si="7"/>
        <v>#N/A</v>
      </c>
      <c r="J86" t="e">
        <f t="shared" si="1"/>
        <v>#N/A</v>
      </c>
      <c r="K86" s="27" t="e">
        <f t="shared" si="2"/>
        <v>#N/A</v>
      </c>
    </row>
    <row r="87" spans="1:11">
      <c r="A87" s="26">
        <v>37</v>
      </c>
      <c r="B87" s="82" t="e">
        <f t="shared" si="3"/>
        <v>#N/A</v>
      </c>
      <c r="C87" s="58" t="e">
        <f t="shared" si="10"/>
        <v>#N/A</v>
      </c>
      <c r="D87" s="83" t="e">
        <f t="shared" si="5"/>
        <v>#N/A</v>
      </c>
      <c r="E87" t="e">
        <f t="shared" si="0"/>
        <v>#N/A</v>
      </c>
      <c r="G87">
        <v>37</v>
      </c>
      <c r="H87" s="13" t="e">
        <f t="shared" si="6"/>
        <v>#N/A</v>
      </c>
      <c r="I87" t="e">
        <f t="shared" si="7"/>
        <v>#N/A</v>
      </c>
      <c r="J87" t="e">
        <f t="shared" si="1"/>
        <v>#N/A</v>
      </c>
      <c r="K87" s="27" t="e">
        <f t="shared" si="2"/>
        <v>#N/A</v>
      </c>
    </row>
    <row r="88" spans="1:11">
      <c r="A88" s="26">
        <v>38</v>
      </c>
      <c r="B88" s="82" t="e">
        <f t="shared" si="3"/>
        <v>#N/A</v>
      </c>
      <c r="C88" s="58" t="e">
        <f t="shared" si="10"/>
        <v>#N/A</v>
      </c>
      <c r="D88" s="83" t="e">
        <f t="shared" si="5"/>
        <v>#N/A</v>
      </c>
      <c r="E88" t="e">
        <f t="shared" si="0"/>
        <v>#N/A</v>
      </c>
      <c r="G88">
        <v>38</v>
      </c>
      <c r="H88" s="13" t="e">
        <f t="shared" si="6"/>
        <v>#N/A</v>
      </c>
      <c r="I88" t="e">
        <f t="shared" si="7"/>
        <v>#N/A</v>
      </c>
      <c r="J88" t="e">
        <f t="shared" si="1"/>
        <v>#N/A</v>
      </c>
      <c r="K88" s="27" t="e">
        <f t="shared" si="2"/>
        <v>#N/A</v>
      </c>
    </row>
    <row r="89" spans="1:11">
      <c r="A89" s="26">
        <v>39</v>
      </c>
      <c r="B89" s="82" t="e">
        <f t="shared" si="3"/>
        <v>#N/A</v>
      </c>
      <c r="C89" s="58" t="e">
        <f t="shared" si="10"/>
        <v>#N/A</v>
      </c>
      <c r="D89" s="83" t="e">
        <f t="shared" si="5"/>
        <v>#N/A</v>
      </c>
      <c r="E89" t="e">
        <f t="shared" si="0"/>
        <v>#N/A</v>
      </c>
      <c r="G89">
        <v>39</v>
      </c>
      <c r="H89" s="13" t="e">
        <f t="shared" si="6"/>
        <v>#N/A</v>
      </c>
      <c r="I89" t="e">
        <f t="shared" si="7"/>
        <v>#N/A</v>
      </c>
      <c r="J89" t="e">
        <f t="shared" si="1"/>
        <v>#N/A</v>
      </c>
      <c r="K89" s="27" t="e">
        <f t="shared" si="2"/>
        <v>#N/A</v>
      </c>
    </row>
    <row r="90" spans="1:11">
      <c r="A90" s="26">
        <v>40</v>
      </c>
      <c r="B90" s="82" t="e">
        <f t="shared" si="3"/>
        <v>#N/A</v>
      </c>
      <c r="C90" s="58" t="e">
        <f t="shared" si="10"/>
        <v>#N/A</v>
      </c>
      <c r="D90" s="83" t="e">
        <f t="shared" si="5"/>
        <v>#N/A</v>
      </c>
      <c r="E90" t="e">
        <f t="shared" si="0"/>
        <v>#N/A</v>
      </c>
      <c r="G90">
        <v>40</v>
      </c>
      <c r="H90" s="13" t="e">
        <f t="shared" si="6"/>
        <v>#N/A</v>
      </c>
      <c r="I90" t="e">
        <f t="shared" si="7"/>
        <v>#N/A</v>
      </c>
      <c r="J90" t="e">
        <f t="shared" si="1"/>
        <v>#N/A</v>
      </c>
      <c r="K90" s="27" t="e">
        <f t="shared" si="2"/>
        <v>#N/A</v>
      </c>
    </row>
    <row r="91" spans="1:11">
      <c r="A91" s="26">
        <v>41</v>
      </c>
      <c r="B91" s="82" t="e">
        <f t="shared" si="3"/>
        <v>#N/A</v>
      </c>
      <c r="C91" s="58" t="e">
        <f t="shared" si="10"/>
        <v>#N/A</v>
      </c>
      <c r="D91" s="83" t="e">
        <f t="shared" si="5"/>
        <v>#N/A</v>
      </c>
      <c r="E91" t="e">
        <f t="shared" si="0"/>
        <v>#N/A</v>
      </c>
      <c r="G91">
        <v>41</v>
      </c>
      <c r="H91" s="13" t="e">
        <f t="shared" si="6"/>
        <v>#N/A</v>
      </c>
      <c r="I91" t="e">
        <f t="shared" si="7"/>
        <v>#N/A</v>
      </c>
      <c r="J91" t="e">
        <f t="shared" si="1"/>
        <v>#N/A</v>
      </c>
      <c r="K91" s="27" t="e">
        <f t="shared" si="2"/>
        <v>#N/A</v>
      </c>
    </row>
    <row r="92" spans="1:11">
      <c r="A92" s="26">
        <v>42</v>
      </c>
      <c r="B92" s="82" t="e">
        <f t="shared" si="3"/>
        <v>#N/A</v>
      </c>
      <c r="C92" s="58" t="e">
        <f t="shared" si="10"/>
        <v>#N/A</v>
      </c>
      <c r="D92" s="83" t="e">
        <f t="shared" si="5"/>
        <v>#N/A</v>
      </c>
      <c r="E92" t="e">
        <f t="shared" si="0"/>
        <v>#N/A</v>
      </c>
      <c r="G92">
        <v>42</v>
      </c>
      <c r="H92" s="13" t="e">
        <f t="shared" si="6"/>
        <v>#N/A</v>
      </c>
      <c r="I92" t="e">
        <f t="shared" si="7"/>
        <v>#N/A</v>
      </c>
      <c r="J92" t="e">
        <f t="shared" si="1"/>
        <v>#N/A</v>
      </c>
      <c r="K92" s="27" t="e">
        <f t="shared" si="2"/>
        <v>#N/A</v>
      </c>
    </row>
    <row r="93" spans="1:11">
      <c r="A93" s="26">
        <v>43</v>
      </c>
      <c r="B93" s="82" t="e">
        <f t="shared" si="3"/>
        <v>#N/A</v>
      </c>
      <c r="C93" s="58" t="e">
        <f t="shared" si="10"/>
        <v>#N/A</v>
      </c>
      <c r="D93" s="83" t="e">
        <f t="shared" si="5"/>
        <v>#N/A</v>
      </c>
      <c r="E93" t="e">
        <f t="shared" si="0"/>
        <v>#N/A</v>
      </c>
      <c r="G93">
        <v>43</v>
      </c>
      <c r="H93" s="13" t="e">
        <f t="shared" si="6"/>
        <v>#N/A</v>
      </c>
      <c r="I93" t="e">
        <f t="shared" si="7"/>
        <v>#N/A</v>
      </c>
      <c r="J93" t="e">
        <f t="shared" si="1"/>
        <v>#N/A</v>
      </c>
      <c r="K93" s="27" t="e">
        <f t="shared" si="2"/>
        <v>#N/A</v>
      </c>
    </row>
    <row r="94" spans="1:11">
      <c r="A94" s="26">
        <v>44</v>
      </c>
      <c r="B94" s="82" t="e">
        <f t="shared" si="3"/>
        <v>#N/A</v>
      </c>
      <c r="C94" s="58" t="e">
        <f t="shared" si="10"/>
        <v>#N/A</v>
      </c>
      <c r="D94" s="83" t="e">
        <f t="shared" si="5"/>
        <v>#N/A</v>
      </c>
      <c r="E94" t="e">
        <f t="shared" si="0"/>
        <v>#N/A</v>
      </c>
      <c r="G94">
        <v>44</v>
      </c>
      <c r="H94" s="13" t="e">
        <f t="shared" si="6"/>
        <v>#N/A</v>
      </c>
      <c r="I94" t="e">
        <f t="shared" si="7"/>
        <v>#N/A</v>
      </c>
      <c r="J94" t="e">
        <f t="shared" si="1"/>
        <v>#N/A</v>
      </c>
      <c r="K94" s="27" t="e">
        <f t="shared" si="2"/>
        <v>#N/A</v>
      </c>
    </row>
    <row r="95" spans="1:11">
      <c r="A95" s="26">
        <v>45</v>
      </c>
      <c r="B95" s="82" t="e">
        <f t="shared" si="3"/>
        <v>#N/A</v>
      </c>
      <c r="C95" s="58" t="e">
        <f t="shared" si="10"/>
        <v>#N/A</v>
      </c>
      <c r="D95" s="83" t="e">
        <f t="shared" si="5"/>
        <v>#N/A</v>
      </c>
      <c r="E95" t="e">
        <f t="shared" si="0"/>
        <v>#N/A</v>
      </c>
      <c r="G95">
        <v>45</v>
      </c>
      <c r="H95" s="13" t="e">
        <f t="shared" si="6"/>
        <v>#N/A</v>
      </c>
      <c r="I95" t="e">
        <f t="shared" si="7"/>
        <v>#N/A</v>
      </c>
      <c r="J95" t="e">
        <f t="shared" si="1"/>
        <v>#N/A</v>
      </c>
      <c r="K95" s="27" t="e">
        <f t="shared" si="2"/>
        <v>#N/A</v>
      </c>
    </row>
    <row r="96" spans="1:11">
      <c r="A96" s="26">
        <v>46</v>
      </c>
      <c r="B96" s="82" t="e">
        <f t="shared" si="3"/>
        <v>#N/A</v>
      </c>
      <c r="C96" s="58" t="e">
        <f t="shared" si="10"/>
        <v>#N/A</v>
      </c>
      <c r="D96" s="83" t="e">
        <f t="shared" si="5"/>
        <v>#N/A</v>
      </c>
      <c r="E96" t="e">
        <f t="shared" si="0"/>
        <v>#N/A</v>
      </c>
      <c r="G96">
        <v>46</v>
      </c>
      <c r="H96" s="13" t="e">
        <f t="shared" si="6"/>
        <v>#N/A</v>
      </c>
      <c r="I96" t="e">
        <f t="shared" si="7"/>
        <v>#N/A</v>
      </c>
      <c r="J96" t="e">
        <f t="shared" si="1"/>
        <v>#N/A</v>
      </c>
      <c r="K96" s="27" t="e">
        <f t="shared" si="2"/>
        <v>#N/A</v>
      </c>
    </row>
    <row r="97" spans="1:11">
      <c r="A97" s="26">
        <v>47</v>
      </c>
      <c r="B97" s="82" t="e">
        <f t="shared" si="3"/>
        <v>#N/A</v>
      </c>
      <c r="C97" s="58" t="e">
        <f t="shared" si="10"/>
        <v>#N/A</v>
      </c>
      <c r="D97" s="83" t="e">
        <f t="shared" si="5"/>
        <v>#N/A</v>
      </c>
      <c r="E97" t="e">
        <f t="shared" si="0"/>
        <v>#N/A</v>
      </c>
      <c r="G97">
        <v>47</v>
      </c>
      <c r="H97" s="13" t="e">
        <f t="shared" si="6"/>
        <v>#N/A</v>
      </c>
      <c r="I97" t="e">
        <f t="shared" si="7"/>
        <v>#N/A</v>
      </c>
      <c r="J97" t="e">
        <f t="shared" si="1"/>
        <v>#N/A</v>
      </c>
      <c r="K97" s="27" t="e">
        <f t="shared" si="2"/>
        <v>#N/A</v>
      </c>
    </row>
    <row r="98" spans="1:11">
      <c r="A98" s="26">
        <v>48</v>
      </c>
      <c r="B98" s="82" t="e">
        <f t="shared" si="3"/>
        <v>#N/A</v>
      </c>
      <c r="C98" s="58" t="e">
        <f t="shared" si="10"/>
        <v>#N/A</v>
      </c>
      <c r="D98" s="83" t="e">
        <f t="shared" si="5"/>
        <v>#N/A</v>
      </c>
      <c r="E98" t="e">
        <f t="shared" si="0"/>
        <v>#N/A</v>
      </c>
      <c r="G98">
        <v>48</v>
      </c>
      <c r="H98" s="13" t="e">
        <f t="shared" si="6"/>
        <v>#N/A</v>
      </c>
      <c r="I98" t="e">
        <f t="shared" si="7"/>
        <v>#N/A</v>
      </c>
      <c r="J98" t="e">
        <f t="shared" si="1"/>
        <v>#N/A</v>
      </c>
      <c r="K98" s="27" t="e">
        <f t="shared" si="2"/>
        <v>#N/A</v>
      </c>
    </row>
    <row r="99" spans="1:11">
      <c r="A99" s="26">
        <v>49</v>
      </c>
      <c r="B99" s="82" t="e">
        <f t="shared" si="3"/>
        <v>#N/A</v>
      </c>
      <c r="C99" s="58" t="e">
        <f t="shared" si="10"/>
        <v>#N/A</v>
      </c>
      <c r="D99" s="83" t="e">
        <f t="shared" si="5"/>
        <v>#N/A</v>
      </c>
      <c r="E99" t="e">
        <f t="shared" si="0"/>
        <v>#N/A</v>
      </c>
      <c r="G99">
        <v>49</v>
      </c>
      <c r="H99" s="13" t="e">
        <f t="shared" si="6"/>
        <v>#N/A</v>
      </c>
      <c r="I99" t="e">
        <f t="shared" si="7"/>
        <v>#N/A</v>
      </c>
      <c r="J99" t="e">
        <f t="shared" si="1"/>
        <v>#N/A</v>
      </c>
      <c r="K99" s="27" t="e">
        <f t="shared" si="2"/>
        <v>#N/A</v>
      </c>
    </row>
    <row r="100" spans="1:11">
      <c r="A100" s="26">
        <v>50</v>
      </c>
      <c r="B100" s="82" t="e">
        <f t="shared" si="3"/>
        <v>#N/A</v>
      </c>
      <c r="C100" s="58" t="e">
        <f t="shared" si="10"/>
        <v>#N/A</v>
      </c>
      <c r="D100" s="83" t="e">
        <f t="shared" si="5"/>
        <v>#N/A</v>
      </c>
      <c r="E100" t="e">
        <f t="shared" si="0"/>
        <v>#N/A</v>
      </c>
      <c r="G100">
        <v>50</v>
      </c>
      <c r="H100" s="13" t="e">
        <f t="shared" si="6"/>
        <v>#N/A</v>
      </c>
      <c r="I100" t="e">
        <f t="shared" si="7"/>
        <v>#N/A</v>
      </c>
      <c r="J100" t="e">
        <f t="shared" si="1"/>
        <v>#N/A</v>
      </c>
      <c r="K100" s="27" t="e">
        <f t="shared" si="2"/>
        <v>#N/A</v>
      </c>
    </row>
    <row r="101" spans="1:11">
      <c r="A101" s="26">
        <v>51</v>
      </c>
      <c r="B101" s="82" t="e">
        <f t="shared" si="3"/>
        <v>#N/A</v>
      </c>
      <c r="C101" s="58" t="e">
        <f t="shared" si="10"/>
        <v>#N/A</v>
      </c>
      <c r="D101" s="83" t="e">
        <f t="shared" si="5"/>
        <v>#N/A</v>
      </c>
      <c r="E101" t="e">
        <f t="shared" si="0"/>
        <v>#N/A</v>
      </c>
      <c r="G101">
        <v>51</v>
      </c>
      <c r="H101" s="13" t="e">
        <f t="shared" si="6"/>
        <v>#N/A</v>
      </c>
      <c r="I101" t="e">
        <f t="shared" si="7"/>
        <v>#N/A</v>
      </c>
      <c r="J101" t="e">
        <f t="shared" si="1"/>
        <v>#N/A</v>
      </c>
      <c r="K101" s="27" t="e">
        <f t="shared" si="2"/>
        <v>#N/A</v>
      </c>
    </row>
    <row r="102" spans="1:11">
      <c r="A102" s="26">
        <v>52</v>
      </c>
      <c r="B102" s="82" t="e">
        <f t="shared" si="3"/>
        <v>#N/A</v>
      </c>
      <c r="C102" s="58" t="e">
        <f t="shared" si="10"/>
        <v>#N/A</v>
      </c>
      <c r="D102" s="83" t="e">
        <f t="shared" si="5"/>
        <v>#N/A</v>
      </c>
      <c r="E102" t="e">
        <f t="shared" si="0"/>
        <v>#N/A</v>
      </c>
      <c r="G102">
        <v>52</v>
      </c>
      <c r="H102" s="13" t="e">
        <f t="shared" si="6"/>
        <v>#N/A</v>
      </c>
      <c r="I102" t="e">
        <f t="shared" si="7"/>
        <v>#N/A</v>
      </c>
      <c r="J102" t="e">
        <f t="shared" si="1"/>
        <v>#N/A</v>
      </c>
      <c r="K102" s="27" t="e">
        <f t="shared" si="2"/>
        <v>#N/A</v>
      </c>
    </row>
    <row r="103" spans="1:11">
      <c r="A103" s="26">
        <v>53</v>
      </c>
      <c r="B103" s="82" t="e">
        <f t="shared" si="3"/>
        <v>#N/A</v>
      </c>
      <c r="C103" s="58" t="e">
        <f t="shared" si="10"/>
        <v>#N/A</v>
      </c>
      <c r="D103" s="83" t="e">
        <f t="shared" si="5"/>
        <v>#N/A</v>
      </c>
      <c r="E103" t="e">
        <f t="shared" si="0"/>
        <v>#N/A</v>
      </c>
      <c r="G103">
        <v>53</v>
      </c>
      <c r="H103" s="13" t="e">
        <f t="shared" si="6"/>
        <v>#N/A</v>
      </c>
      <c r="I103" t="e">
        <f t="shared" si="7"/>
        <v>#N/A</v>
      </c>
      <c r="J103" t="e">
        <f t="shared" si="1"/>
        <v>#N/A</v>
      </c>
      <c r="K103" s="27" t="e">
        <f t="shared" si="2"/>
        <v>#N/A</v>
      </c>
    </row>
    <row r="104" spans="1:11">
      <c r="A104" s="26">
        <v>54</v>
      </c>
      <c r="B104" s="82" t="e">
        <f t="shared" si="3"/>
        <v>#N/A</v>
      </c>
      <c r="C104" s="58" t="e">
        <f t="shared" si="10"/>
        <v>#N/A</v>
      </c>
      <c r="D104" s="83" t="e">
        <f t="shared" si="5"/>
        <v>#N/A</v>
      </c>
      <c r="E104" t="e">
        <f t="shared" si="0"/>
        <v>#N/A</v>
      </c>
      <c r="G104">
        <v>54</v>
      </c>
      <c r="H104" s="13" t="e">
        <f t="shared" si="6"/>
        <v>#N/A</v>
      </c>
      <c r="I104" t="e">
        <f t="shared" si="7"/>
        <v>#N/A</v>
      </c>
      <c r="J104" t="e">
        <f t="shared" si="1"/>
        <v>#N/A</v>
      </c>
      <c r="K104" s="27" t="e">
        <f t="shared" si="2"/>
        <v>#N/A</v>
      </c>
    </row>
    <row r="105" spans="1:11">
      <c r="A105" s="26">
        <v>55</v>
      </c>
      <c r="B105" s="82" t="e">
        <f t="shared" si="3"/>
        <v>#N/A</v>
      </c>
      <c r="C105" s="58" t="e">
        <f t="shared" si="10"/>
        <v>#N/A</v>
      </c>
      <c r="D105" s="83" t="e">
        <f t="shared" si="5"/>
        <v>#N/A</v>
      </c>
      <c r="E105" t="e">
        <f t="shared" si="0"/>
        <v>#N/A</v>
      </c>
      <c r="G105">
        <v>55</v>
      </c>
      <c r="H105" s="13" t="e">
        <f t="shared" si="6"/>
        <v>#N/A</v>
      </c>
      <c r="I105" t="e">
        <f t="shared" si="7"/>
        <v>#N/A</v>
      </c>
      <c r="J105" t="e">
        <f t="shared" si="1"/>
        <v>#N/A</v>
      </c>
      <c r="K105" s="27" t="e">
        <f t="shared" si="2"/>
        <v>#N/A</v>
      </c>
    </row>
    <row r="106" spans="1:11">
      <c r="A106" s="26">
        <v>56</v>
      </c>
      <c r="B106" s="82" t="e">
        <f t="shared" si="3"/>
        <v>#N/A</v>
      </c>
      <c r="C106" s="58" t="e">
        <f t="shared" si="10"/>
        <v>#N/A</v>
      </c>
      <c r="D106" s="83" t="e">
        <f t="shared" si="5"/>
        <v>#N/A</v>
      </c>
      <c r="E106" t="e">
        <f t="shared" si="0"/>
        <v>#N/A</v>
      </c>
      <c r="G106">
        <v>56</v>
      </c>
      <c r="H106" s="13" t="e">
        <f t="shared" si="6"/>
        <v>#N/A</v>
      </c>
      <c r="I106" t="e">
        <f t="shared" si="7"/>
        <v>#N/A</v>
      </c>
      <c r="J106" t="e">
        <f t="shared" si="1"/>
        <v>#N/A</v>
      </c>
      <c r="K106" s="27" t="e">
        <f t="shared" si="2"/>
        <v>#N/A</v>
      </c>
    </row>
    <row r="107" spans="1:11">
      <c r="A107" s="26">
        <v>57</v>
      </c>
      <c r="B107" s="82" t="e">
        <f t="shared" si="3"/>
        <v>#N/A</v>
      </c>
      <c r="C107" s="58" t="e">
        <f t="shared" si="10"/>
        <v>#N/A</v>
      </c>
      <c r="D107" s="83" t="e">
        <f t="shared" si="5"/>
        <v>#N/A</v>
      </c>
      <c r="E107" t="e">
        <f t="shared" si="0"/>
        <v>#N/A</v>
      </c>
      <c r="G107">
        <v>57</v>
      </c>
      <c r="H107" s="13" t="e">
        <f t="shared" si="6"/>
        <v>#N/A</v>
      </c>
      <c r="I107" t="e">
        <f t="shared" si="7"/>
        <v>#N/A</v>
      </c>
      <c r="J107" t="e">
        <f t="shared" si="1"/>
        <v>#N/A</v>
      </c>
      <c r="K107" s="27" t="e">
        <f t="shared" si="2"/>
        <v>#N/A</v>
      </c>
    </row>
    <row r="108" spans="1:11">
      <c r="A108" s="26">
        <v>58</v>
      </c>
      <c r="B108" s="82" t="e">
        <f t="shared" si="3"/>
        <v>#N/A</v>
      </c>
      <c r="C108" s="58" t="e">
        <f t="shared" si="10"/>
        <v>#N/A</v>
      </c>
      <c r="D108" s="83" t="e">
        <f t="shared" si="5"/>
        <v>#N/A</v>
      </c>
      <c r="E108" t="e">
        <f t="shared" si="0"/>
        <v>#N/A</v>
      </c>
      <c r="G108">
        <v>58</v>
      </c>
      <c r="H108" s="13" t="e">
        <f t="shared" si="6"/>
        <v>#N/A</v>
      </c>
      <c r="I108" t="e">
        <f t="shared" si="7"/>
        <v>#N/A</v>
      </c>
      <c r="J108" t="e">
        <f t="shared" si="1"/>
        <v>#N/A</v>
      </c>
      <c r="K108" s="27" t="e">
        <f t="shared" si="2"/>
        <v>#N/A</v>
      </c>
    </row>
    <row r="109" spans="1:11">
      <c r="A109" s="26">
        <v>59</v>
      </c>
      <c r="B109" s="82" t="e">
        <f t="shared" si="3"/>
        <v>#N/A</v>
      </c>
      <c r="C109" s="58" t="e">
        <f t="shared" si="10"/>
        <v>#N/A</v>
      </c>
      <c r="D109" s="83" t="e">
        <f t="shared" si="5"/>
        <v>#N/A</v>
      </c>
      <c r="E109" t="e">
        <f t="shared" si="0"/>
        <v>#N/A</v>
      </c>
      <c r="G109">
        <v>59</v>
      </c>
      <c r="H109" s="13" t="e">
        <f t="shared" si="6"/>
        <v>#N/A</v>
      </c>
      <c r="I109" t="e">
        <f t="shared" si="7"/>
        <v>#N/A</v>
      </c>
      <c r="J109" t="e">
        <f t="shared" si="1"/>
        <v>#N/A</v>
      </c>
      <c r="K109" s="27" t="e">
        <f t="shared" si="2"/>
        <v>#N/A</v>
      </c>
    </row>
    <row r="110" spans="1:11">
      <c r="A110" s="26">
        <v>60</v>
      </c>
      <c r="B110" s="82" t="e">
        <f t="shared" si="3"/>
        <v>#N/A</v>
      </c>
      <c r="C110" s="58" t="e">
        <f t="shared" si="10"/>
        <v>#N/A</v>
      </c>
      <c r="D110" s="83" t="e">
        <f t="shared" si="5"/>
        <v>#N/A</v>
      </c>
      <c r="E110" t="e">
        <f t="shared" si="0"/>
        <v>#N/A</v>
      </c>
      <c r="G110">
        <v>60</v>
      </c>
      <c r="H110" s="13" t="e">
        <f t="shared" si="6"/>
        <v>#N/A</v>
      </c>
      <c r="I110" t="e">
        <f t="shared" si="7"/>
        <v>#N/A</v>
      </c>
      <c r="J110" t="e">
        <f t="shared" si="1"/>
        <v>#N/A</v>
      </c>
      <c r="K110" s="27" t="e">
        <f t="shared" si="2"/>
        <v>#N/A</v>
      </c>
    </row>
    <row r="111" spans="1:11">
      <c r="A111" s="26">
        <v>61</v>
      </c>
      <c r="B111" s="82" t="e">
        <f t="shared" si="3"/>
        <v>#N/A</v>
      </c>
      <c r="C111" s="58" t="e">
        <f t="shared" si="10"/>
        <v>#N/A</v>
      </c>
      <c r="D111" s="83" t="e">
        <f t="shared" si="5"/>
        <v>#N/A</v>
      </c>
      <c r="E111" t="e">
        <f t="shared" si="0"/>
        <v>#N/A</v>
      </c>
      <c r="G111">
        <v>61</v>
      </c>
      <c r="H111" s="13" t="e">
        <f t="shared" si="6"/>
        <v>#N/A</v>
      </c>
      <c r="I111" t="e">
        <f t="shared" si="7"/>
        <v>#N/A</v>
      </c>
      <c r="J111" t="e">
        <f t="shared" si="1"/>
        <v>#N/A</v>
      </c>
      <c r="K111" s="27" t="e">
        <f t="shared" si="2"/>
        <v>#N/A</v>
      </c>
    </row>
    <row r="112" spans="1:11">
      <c r="A112" s="26">
        <v>62</v>
      </c>
      <c r="B112" s="82" t="e">
        <f t="shared" si="3"/>
        <v>#N/A</v>
      </c>
      <c r="C112" s="58" t="e">
        <f t="shared" si="10"/>
        <v>#N/A</v>
      </c>
      <c r="D112" s="83" t="e">
        <f t="shared" si="5"/>
        <v>#N/A</v>
      </c>
      <c r="E112" t="e">
        <f t="shared" si="0"/>
        <v>#N/A</v>
      </c>
      <c r="G112">
        <v>62</v>
      </c>
      <c r="H112" s="13" t="e">
        <f t="shared" si="6"/>
        <v>#N/A</v>
      </c>
      <c r="I112" t="e">
        <f t="shared" si="7"/>
        <v>#N/A</v>
      </c>
      <c r="J112" t="e">
        <f t="shared" si="1"/>
        <v>#N/A</v>
      </c>
      <c r="K112" s="27" t="e">
        <f t="shared" si="2"/>
        <v>#N/A</v>
      </c>
    </row>
    <row r="113" spans="1:11">
      <c r="A113" s="26">
        <v>63</v>
      </c>
      <c r="B113" s="82" t="e">
        <f t="shared" si="3"/>
        <v>#N/A</v>
      </c>
      <c r="C113" s="58" t="e">
        <f t="shared" si="10"/>
        <v>#N/A</v>
      </c>
      <c r="D113" s="83" t="e">
        <f t="shared" si="5"/>
        <v>#N/A</v>
      </c>
      <c r="E113" t="e">
        <f t="shared" si="0"/>
        <v>#N/A</v>
      </c>
      <c r="G113">
        <v>63</v>
      </c>
      <c r="H113" s="13" t="e">
        <f t="shared" si="6"/>
        <v>#N/A</v>
      </c>
      <c r="I113" t="e">
        <f t="shared" si="7"/>
        <v>#N/A</v>
      </c>
      <c r="J113" t="e">
        <f t="shared" si="1"/>
        <v>#N/A</v>
      </c>
      <c r="K113" s="27" t="e">
        <f t="shared" si="2"/>
        <v>#N/A</v>
      </c>
    </row>
    <row r="114" spans="1:11">
      <c r="A114" s="26">
        <v>64</v>
      </c>
      <c r="B114" s="82" t="e">
        <f t="shared" si="3"/>
        <v>#N/A</v>
      </c>
      <c r="C114" s="58" t="e">
        <f t="shared" si="10"/>
        <v>#N/A</v>
      </c>
      <c r="D114" s="83" t="e">
        <f t="shared" si="5"/>
        <v>#N/A</v>
      </c>
      <c r="E114" t="e">
        <f t="shared" si="0"/>
        <v>#N/A</v>
      </c>
      <c r="G114">
        <v>64</v>
      </c>
      <c r="H114" s="13" t="e">
        <f t="shared" si="6"/>
        <v>#N/A</v>
      </c>
      <c r="I114" t="e">
        <f t="shared" si="7"/>
        <v>#N/A</v>
      </c>
      <c r="J114" t="e">
        <f t="shared" si="1"/>
        <v>#N/A</v>
      </c>
      <c r="K114" s="27" t="e">
        <f t="shared" si="2"/>
        <v>#N/A</v>
      </c>
    </row>
    <row r="115" spans="1:11">
      <c r="A115" s="26">
        <v>65</v>
      </c>
      <c r="B115" s="82" t="e">
        <f t="shared" si="3"/>
        <v>#N/A</v>
      </c>
      <c r="C115" s="58" t="e">
        <f t="shared" si="10"/>
        <v>#N/A</v>
      </c>
      <c r="D115" s="83" t="e">
        <f t="shared" si="5"/>
        <v>#N/A</v>
      </c>
      <c r="E115" t="e">
        <f t="shared" ref="E115:E178" si="11">((D115^2)+(D115*D116)+(D116^2))*B116/3</f>
        <v>#N/A</v>
      </c>
      <c r="G115">
        <v>65</v>
      </c>
      <c r="H115" s="13" t="e">
        <f t="shared" si="6"/>
        <v>#N/A</v>
      </c>
      <c r="I115" t="e">
        <f t="shared" si="7"/>
        <v>#N/A</v>
      </c>
      <c r="J115" t="e">
        <f t="shared" ref="J115:J178" si="12">IF($G$28&lt;$C$14,0,((($C$11^2)-((I115-$C$13)^2))^0.5)+$C$16)</f>
        <v>#N/A</v>
      </c>
      <c r="K115" s="27" t="e">
        <f t="shared" ref="K115:K178" si="13">((J115^2)+(J115*J116)+(J116^2))*H116/3</f>
        <v>#N/A</v>
      </c>
    </row>
    <row r="116" spans="1:11">
      <c r="A116" s="26">
        <v>66</v>
      </c>
      <c r="B116" s="82" t="e">
        <f t="shared" ref="B116:B179" si="14">C116-C115</f>
        <v>#N/A</v>
      </c>
      <c r="C116" s="58" t="e">
        <f t="shared" si="10"/>
        <v>#N/A</v>
      </c>
      <c r="D116" s="83" t="e">
        <f t="shared" ref="D116:D179" si="15">IF($G$28&lt;$C$14,0,((($C$11^2)-((C116-$C$13)^2))^0.5)+$C$16)</f>
        <v>#N/A</v>
      </c>
      <c r="E116" t="e">
        <f t="shared" si="11"/>
        <v>#N/A</v>
      </c>
      <c r="G116">
        <v>66</v>
      </c>
      <c r="H116" s="13" t="e">
        <f t="shared" ref="H116:H179" si="16">I116-I115</f>
        <v>#N/A</v>
      </c>
      <c r="I116" t="e">
        <f t="shared" ref="I116:I179" si="17">($G$27-$C$14)/2000+I115</f>
        <v>#N/A</v>
      </c>
      <c r="J116" t="e">
        <f t="shared" si="12"/>
        <v>#N/A</v>
      </c>
      <c r="K116" s="27" t="e">
        <f t="shared" si="13"/>
        <v>#N/A</v>
      </c>
    </row>
    <row r="117" spans="1:11">
      <c r="A117" s="26">
        <v>67</v>
      </c>
      <c r="B117" s="82" t="e">
        <f t="shared" si="14"/>
        <v>#N/A</v>
      </c>
      <c r="C117" s="58" t="e">
        <f t="shared" si="10"/>
        <v>#N/A</v>
      </c>
      <c r="D117" s="83" t="e">
        <f t="shared" si="15"/>
        <v>#N/A</v>
      </c>
      <c r="E117" t="e">
        <f t="shared" si="11"/>
        <v>#N/A</v>
      </c>
      <c r="G117">
        <v>67</v>
      </c>
      <c r="H117" s="13" t="e">
        <f t="shared" si="16"/>
        <v>#N/A</v>
      </c>
      <c r="I117" t="e">
        <f t="shared" si="17"/>
        <v>#N/A</v>
      </c>
      <c r="J117" t="e">
        <f t="shared" si="12"/>
        <v>#N/A</v>
      </c>
      <c r="K117" s="27" t="e">
        <f t="shared" si="13"/>
        <v>#N/A</v>
      </c>
    </row>
    <row r="118" spans="1:11">
      <c r="A118" s="26">
        <v>68</v>
      </c>
      <c r="B118" s="82" t="e">
        <f t="shared" si="14"/>
        <v>#N/A</v>
      </c>
      <c r="C118" s="58" t="e">
        <f t="shared" si="10"/>
        <v>#N/A</v>
      </c>
      <c r="D118" s="83" t="e">
        <f t="shared" si="15"/>
        <v>#N/A</v>
      </c>
      <c r="E118" t="e">
        <f t="shared" si="11"/>
        <v>#N/A</v>
      </c>
      <c r="G118">
        <v>68</v>
      </c>
      <c r="H118" s="13" t="e">
        <f t="shared" si="16"/>
        <v>#N/A</v>
      </c>
      <c r="I118" t="e">
        <f t="shared" si="17"/>
        <v>#N/A</v>
      </c>
      <c r="J118" t="e">
        <f t="shared" si="12"/>
        <v>#N/A</v>
      </c>
      <c r="K118" s="27" t="e">
        <f t="shared" si="13"/>
        <v>#N/A</v>
      </c>
    </row>
    <row r="119" spans="1:11">
      <c r="A119" s="26">
        <v>69</v>
      </c>
      <c r="B119" s="82" t="e">
        <f t="shared" si="14"/>
        <v>#N/A</v>
      </c>
      <c r="C119" s="58" t="e">
        <f t="shared" si="10"/>
        <v>#N/A</v>
      </c>
      <c r="D119" s="83" t="e">
        <f t="shared" si="15"/>
        <v>#N/A</v>
      </c>
      <c r="E119" t="e">
        <f t="shared" si="11"/>
        <v>#N/A</v>
      </c>
      <c r="G119">
        <v>69</v>
      </c>
      <c r="H119" s="13" t="e">
        <f t="shared" si="16"/>
        <v>#N/A</v>
      </c>
      <c r="I119" t="e">
        <f t="shared" si="17"/>
        <v>#N/A</v>
      </c>
      <c r="J119" t="e">
        <f t="shared" si="12"/>
        <v>#N/A</v>
      </c>
      <c r="K119" s="27" t="e">
        <f t="shared" si="13"/>
        <v>#N/A</v>
      </c>
    </row>
    <row r="120" spans="1:11">
      <c r="A120" s="26">
        <v>70</v>
      </c>
      <c r="B120" s="82" t="e">
        <f t="shared" si="14"/>
        <v>#N/A</v>
      </c>
      <c r="C120" s="58" t="e">
        <f t="shared" si="10"/>
        <v>#N/A</v>
      </c>
      <c r="D120" s="83" t="e">
        <f t="shared" si="15"/>
        <v>#N/A</v>
      </c>
      <c r="E120" t="e">
        <f t="shared" si="11"/>
        <v>#N/A</v>
      </c>
      <c r="G120">
        <v>70</v>
      </c>
      <c r="H120" s="13" t="e">
        <f t="shared" si="16"/>
        <v>#N/A</v>
      </c>
      <c r="I120" t="e">
        <f t="shared" si="17"/>
        <v>#N/A</v>
      </c>
      <c r="J120" t="e">
        <f t="shared" si="12"/>
        <v>#N/A</v>
      </c>
      <c r="K120" s="27" t="e">
        <f t="shared" si="13"/>
        <v>#N/A</v>
      </c>
    </row>
    <row r="121" spans="1:11">
      <c r="A121" s="26">
        <v>71</v>
      </c>
      <c r="B121" s="82" t="e">
        <f t="shared" si="14"/>
        <v>#N/A</v>
      </c>
      <c r="C121" s="58" t="e">
        <f t="shared" si="10"/>
        <v>#N/A</v>
      </c>
      <c r="D121" s="83" t="e">
        <f t="shared" si="15"/>
        <v>#N/A</v>
      </c>
      <c r="E121" t="e">
        <f t="shared" si="11"/>
        <v>#N/A</v>
      </c>
      <c r="G121">
        <v>71</v>
      </c>
      <c r="H121" s="13" t="e">
        <f t="shared" si="16"/>
        <v>#N/A</v>
      </c>
      <c r="I121" t="e">
        <f t="shared" si="17"/>
        <v>#N/A</v>
      </c>
      <c r="J121" t="e">
        <f t="shared" si="12"/>
        <v>#N/A</v>
      </c>
      <c r="K121" s="27" t="e">
        <f t="shared" si="13"/>
        <v>#N/A</v>
      </c>
    </row>
    <row r="122" spans="1:11">
      <c r="A122" s="26">
        <v>72</v>
      </c>
      <c r="B122" s="82" t="e">
        <f t="shared" si="14"/>
        <v>#N/A</v>
      </c>
      <c r="C122" s="58" t="e">
        <f t="shared" si="10"/>
        <v>#N/A</v>
      </c>
      <c r="D122" s="83" t="e">
        <f t="shared" si="15"/>
        <v>#N/A</v>
      </c>
      <c r="E122" t="e">
        <f t="shared" si="11"/>
        <v>#N/A</v>
      </c>
      <c r="G122">
        <v>72</v>
      </c>
      <c r="H122" s="13" t="e">
        <f t="shared" si="16"/>
        <v>#N/A</v>
      </c>
      <c r="I122" t="e">
        <f t="shared" si="17"/>
        <v>#N/A</v>
      </c>
      <c r="J122" t="e">
        <f t="shared" si="12"/>
        <v>#N/A</v>
      </c>
      <c r="K122" s="27" t="e">
        <f t="shared" si="13"/>
        <v>#N/A</v>
      </c>
    </row>
    <row r="123" spans="1:11">
      <c r="A123" s="26">
        <v>73</v>
      </c>
      <c r="B123" s="82" t="e">
        <f t="shared" si="14"/>
        <v>#N/A</v>
      </c>
      <c r="C123" s="58" t="e">
        <f t="shared" si="10"/>
        <v>#N/A</v>
      </c>
      <c r="D123" s="83" t="e">
        <f t="shared" si="15"/>
        <v>#N/A</v>
      </c>
      <c r="E123" t="e">
        <f t="shared" si="11"/>
        <v>#N/A</v>
      </c>
      <c r="G123">
        <v>73</v>
      </c>
      <c r="H123" s="13" t="e">
        <f t="shared" si="16"/>
        <v>#N/A</v>
      </c>
      <c r="I123" t="e">
        <f t="shared" si="17"/>
        <v>#N/A</v>
      </c>
      <c r="J123" t="e">
        <f t="shared" si="12"/>
        <v>#N/A</v>
      </c>
      <c r="K123" s="27" t="e">
        <f t="shared" si="13"/>
        <v>#N/A</v>
      </c>
    </row>
    <row r="124" spans="1:11">
      <c r="A124" s="26">
        <v>74</v>
      </c>
      <c r="B124" s="82" t="e">
        <f t="shared" si="14"/>
        <v>#N/A</v>
      </c>
      <c r="C124" s="58" t="e">
        <f t="shared" si="10"/>
        <v>#N/A</v>
      </c>
      <c r="D124" s="83" t="e">
        <f t="shared" si="15"/>
        <v>#N/A</v>
      </c>
      <c r="E124" t="e">
        <f t="shared" si="11"/>
        <v>#N/A</v>
      </c>
      <c r="G124">
        <v>74</v>
      </c>
      <c r="H124" s="13" t="e">
        <f t="shared" si="16"/>
        <v>#N/A</v>
      </c>
      <c r="I124" t="e">
        <f t="shared" si="17"/>
        <v>#N/A</v>
      </c>
      <c r="J124" t="e">
        <f t="shared" si="12"/>
        <v>#N/A</v>
      </c>
      <c r="K124" s="27" t="e">
        <f t="shared" si="13"/>
        <v>#N/A</v>
      </c>
    </row>
    <row r="125" spans="1:11">
      <c r="A125" s="26">
        <v>75</v>
      </c>
      <c r="B125" s="82" t="e">
        <f t="shared" si="14"/>
        <v>#N/A</v>
      </c>
      <c r="C125" s="58" t="e">
        <f t="shared" si="10"/>
        <v>#N/A</v>
      </c>
      <c r="D125" s="83" t="e">
        <f t="shared" si="15"/>
        <v>#N/A</v>
      </c>
      <c r="E125" t="e">
        <f t="shared" si="11"/>
        <v>#N/A</v>
      </c>
      <c r="G125">
        <v>75</v>
      </c>
      <c r="H125" s="13" t="e">
        <f t="shared" si="16"/>
        <v>#N/A</v>
      </c>
      <c r="I125" t="e">
        <f t="shared" si="17"/>
        <v>#N/A</v>
      </c>
      <c r="J125" t="e">
        <f t="shared" si="12"/>
        <v>#N/A</v>
      </c>
      <c r="K125" s="27" t="e">
        <f t="shared" si="13"/>
        <v>#N/A</v>
      </c>
    </row>
    <row r="126" spans="1:11">
      <c r="A126" s="26">
        <v>76</v>
      </c>
      <c r="B126" s="82" t="e">
        <f t="shared" si="14"/>
        <v>#N/A</v>
      </c>
      <c r="C126" s="58" t="e">
        <f t="shared" si="10"/>
        <v>#N/A</v>
      </c>
      <c r="D126" s="83" t="e">
        <f t="shared" si="15"/>
        <v>#N/A</v>
      </c>
      <c r="E126" t="e">
        <f t="shared" si="11"/>
        <v>#N/A</v>
      </c>
      <c r="G126">
        <v>76</v>
      </c>
      <c r="H126" s="13" t="e">
        <f t="shared" si="16"/>
        <v>#N/A</v>
      </c>
      <c r="I126" t="e">
        <f t="shared" si="17"/>
        <v>#N/A</v>
      </c>
      <c r="J126" t="e">
        <f t="shared" si="12"/>
        <v>#N/A</v>
      </c>
      <c r="K126" s="27" t="e">
        <f t="shared" si="13"/>
        <v>#N/A</v>
      </c>
    </row>
    <row r="127" spans="1:11">
      <c r="A127" s="26">
        <v>77</v>
      </c>
      <c r="B127" s="82" t="e">
        <f t="shared" si="14"/>
        <v>#N/A</v>
      </c>
      <c r="C127" s="58" t="e">
        <f t="shared" si="10"/>
        <v>#N/A</v>
      </c>
      <c r="D127" s="83" t="e">
        <f t="shared" si="15"/>
        <v>#N/A</v>
      </c>
      <c r="E127" t="e">
        <f t="shared" si="11"/>
        <v>#N/A</v>
      </c>
      <c r="G127">
        <v>77</v>
      </c>
      <c r="H127" s="13" t="e">
        <f t="shared" si="16"/>
        <v>#N/A</v>
      </c>
      <c r="I127" t="e">
        <f t="shared" si="17"/>
        <v>#N/A</v>
      </c>
      <c r="J127" t="e">
        <f t="shared" si="12"/>
        <v>#N/A</v>
      </c>
      <c r="K127" s="27" t="e">
        <f t="shared" si="13"/>
        <v>#N/A</v>
      </c>
    </row>
    <row r="128" spans="1:11">
      <c r="A128" s="26">
        <v>78</v>
      </c>
      <c r="B128" s="82" t="e">
        <f t="shared" si="14"/>
        <v>#N/A</v>
      </c>
      <c r="C128" s="58" t="e">
        <f t="shared" si="10"/>
        <v>#N/A</v>
      </c>
      <c r="D128" s="83" t="e">
        <f t="shared" si="15"/>
        <v>#N/A</v>
      </c>
      <c r="E128" t="e">
        <f t="shared" si="11"/>
        <v>#N/A</v>
      </c>
      <c r="G128">
        <v>78</v>
      </c>
      <c r="H128" s="13" t="e">
        <f t="shared" si="16"/>
        <v>#N/A</v>
      </c>
      <c r="I128" t="e">
        <f t="shared" si="17"/>
        <v>#N/A</v>
      </c>
      <c r="J128" t="e">
        <f t="shared" si="12"/>
        <v>#N/A</v>
      </c>
      <c r="K128" s="27" t="e">
        <f t="shared" si="13"/>
        <v>#N/A</v>
      </c>
    </row>
    <row r="129" spans="1:11">
      <c r="A129" s="26">
        <v>79</v>
      </c>
      <c r="B129" s="82" t="e">
        <f t="shared" si="14"/>
        <v>#N/A</v>
      </c>
      <c r="C129" s="58" t="e">
        <f t="shared" si="10"/>
        <v>#N/A</v>
      </c>
      <c r="D129" s="83" t="e">
        <f t="shared" si="15"/>
        <v>#N/A</v>
      </c>
      <c r="E129" t="e">
        <f t="shared" si="11"/>
        <v>#N/A</v>
      </c>
      <c r="G129">
        <v>79</v>
      </c>
      <c r="H129" s="13" t="e">
        <f t="shared" si="16"/>
        <v>#N/A</v>
      </c>
      <c r="I129" t="e">
        <f t="shared" si="17"/>
        <v>#N/A</v>
      </c>
      <c r="J129" t="e">
        <f t="shared" si="12"/>
        <v>#N/A</v>
      </c>
      <c r="K129" s="27" t="e">
        <f t="shared" si="13"/>
        <v>#N/A</v>
      </c>
    </row>
    <row r="130" spans="1:11">
      <c r="A130" s="26">
        <v>80</v>
      </c>
      <c r="B130" s="82" t="e">
        <f t="shared" si="14"/>
        <v>#N/A</v>
      </c>
      <c r="C130" s="58" t="e">
        <f t="shared" si="10"/>
        <v>#N/A</v>
      </c>
      <c r="D130" s="83" t="e">
        <f t="shared" si="15"/>
        <v>#N/A</v>
      </c>
      <c r="E130" t="e">
        <f t="shared" si="11"/>
        <v>#N/A</v>
      </c>
      <c r="G130">
        <v>80</v>
      </c>
      <c r="H130" s="13" t="e">
        <f t="shared" si="16"/>
        <v>#N/A</v>
      </c>
      <c r="I130" t="e">
        <f t="shared" si="17"/>
        <v>#N/A</v>
      </c>
      <c r="J130" t="e">
        <f t="shared" si="12"/>
        <v>#N/A</v>
      </c>
      <c r="K130" s="27" t="e">
        <f t="shared" si="13"/>
        <v>#N/A</v>
      </c>
    </row>
    <row r="131" spans="1:11">
      <c r="A131" s="26">
        <v>81</v>
      </c>
      <c r="B131" s="82" t="e">
        <f t="shared" si="14"/>
        <v>#N/A</v>
      </c>
      <c r="C131" s="58" t="e">
        <f t="shared" si="10"/>
        <v>#N/A</v>
      </c>
      <c r="D131" s="83" t="e">
        <f t="shared" si="15"/>
        <v>#N/A</v>
      </c>
      <c r="E131" t="e">
        <f t="shared" si="11"/>
        <v>#N/A</v>
      </c>
      <c r="G131">
        <v>81</v>
      </c>
      <c r="H131" s="13" t="e">
        <f t="shared" si="16"/>
        <v>#N/A</v>
      </c>
      <c r="I131" t="e">
        <f t="shared" si="17"/>
        <v>#N/A</v>
      </c>
      <c r="J131" t="e">
        <f t="shared" si="12"/>
        <v>#N/A</v>
      </c>
      <c r="K131" s="27" t="e">
        <f t="shared" si="13"/>
        <v>#N/A</v>
      </c>
    </row>
    <row r="132" spans="1:11">
      <c r="A132" s="26">
        <v>82</v>
      </c>
      <c r="B132" s="82" t="e">
        <f t="shared" si="14"/>
        <v>#N/A</v>
      </c>
      <c r="C132" s="58" t="e">
        <f t="shared" si="10"/>
        <v>#N/A</v>
      </c>
      <c r="D132" s="83" t="e">
        <f t="shared" si="15"/>
        <v>#N/A</v>
      </c>
      <c r="E132" t="e">
        <f t="shared" si="11"/>
        <v>#N/A</v>
      </c>
      <c r="G132">
        <v>82</v>
      </c>
      <c r="H132" s="13" t="e">
        <f t="shared" si="16"/>
        <v>#N/A</v>
      </c>
      <c r="I132" t="e">
        <f t="shared" si="17"/>
        <v>#N/A</v>
      </c>
      <c r="J132" t="e">
        <f t="shared" si="12"/>
        <v>#N/A</v>
      </c>
      <c r="K132" s="27" t="e">
        <f t="shared" si="13"/>
        <v>#N/A</v>
      </c>
    </row>
    <row r="133" spans="1:11">
      <c r="A133" s="26">
        <v>83</v>
      </c>
      <c r="B133" s="82" t="e">
        <f t="shared" si="14"/>
        <v>#N/A</v>
      </c>
      <c r="C133" s="58" t="e">
        <f t="shared" si="10"/>
        <v>#N/A</v>
      </c>
      <c r="D133" s="83" t="e">
        <f t="shared" si="15"/>
        <v>#N/A</v>
      </c>
      <c r="E133" t="e">
        <f t="shared" si="11"/>
        <v>#N/A</v>
      </c>
      <c r="G133">
        <v>83</v>
      </c>
      <c r="H133" s="13" t="e">
        <f t="shared" si="16"/>
        <v>#N/A</v>
      </c>
      <c r="I133" t="e">
        <f t="shared" si="17"/>
        <v>#N/A</v>
      </c>
      <c r="J133" t="e">
        <f t="shared" si="12"/>
        <v>#N/A</v>
      </c>
      <c r="K133" s="27" t="e">
        <f t="shared" si="13"/>
        <v>#N/A</v>
      </c>
    </row>
    <row r="134" spans="1:11">
      <c r="A134" s="26">
        <v>84</v>
      </c>
      <c r="B134" s="82" t="e">
        <f t="shared" si="14"/>
        <v>#N/A</v>
      </c>
      <c r="C134" s="58" t="e">
        <f t="shared" si="10"/>
        <v>#N/A</v>
      </c>
      <c r="D134" s="83" t="e">
        <f t="shared" si="15"/>
        <v>#N/A</v>
      </c>
      <c r="E134" t="e">
        <f t="shared" si="11"/>
        <v>#N/A</v>
      </c>
      <c r="G134">
        <v>84</v>
      </c>
      <c r="H134" s="13" t="e">
        <f t="shared" si="16"/>
        <v>#N/A</v>
      </c>
      <c r="I134" t="e">
        <f t="shared" si="17"/>
        <v>#N/A</v>
      </c>
      <c r="J134" t="e">
        <f t="shared" si="12"/>
        <v>#N/A</v>
      </c>
      <c r="K134" s="27" t="e">
        <f t="shared" si="13"/>
        <v>#N/A</v>
      </c>
    </row>
    <row r="135" spans="1:11">
      <c r="A135" s="26">
        <v>85</v>
      </c>
      <c r="B135" s="82" t="e">
        <f t="shared" si="14"/>
        <v>#N/A</v>
      </c>
      <c r="C135" s="58" t="e">
        <f t="shared" si="10"/>
        <v>#N/A</v>
      </c>
      <c r="D135" s="83" t="e">
        <f t="shared" si="15"/>
        <v>#N/A</v>
      </c>
      <c r="E135" t="e">
        <f t="shared" si="11"/>
        <v>#N/A</v>
      </c>
      <c r="G135">
        <v>85</v>
      </c>
      <c r="H135" s="13" t="e">
        <f t="shared" si="16"/>
        <v>#N/A</v>
      </c>
      <c r="I135" t="e">
        <f t="shared" si="17"/>
        <v>#N/A</v>
      </c>
      <c r="J135" t="e">
        <f t="shared" si="12"/>
        <v>#N/A</v>
      </c>
      <c r="K135" s="27" t="e">
        <f t="shared" si="13"/>
        <v>#N/A</v>
      </c>
    </row>
    <row r="136" spans="1:11">
      <c r="A136" s="26">
        <v>86</v>
      </c>
      <c r="B136" s="82" t="e">
        <f t="shared" si="14"/>
        <v>#N/A</v>
      </c>
      <c r="C136" s="58" t="e">
        <f t="shared" si="10"/>
        <v>#N/A</v>
      </c>
      <c r="D136" s="83" t="e">
        <f t="shared" si="15"/>
        <v>#N/A</v>
      </c>
      <c r="E136" t="e">
        <f t="shared" si="11"/>
        <v>#N/A</v>
      </c>
      <c r="G136">
        <v>86</v>
      </c>
      <c r="H136" s="13" t="e">
        <f t="shared" si="16"/>
        <v>#N/A</v>
      </c>
      <c r="I136" t="e">
        <f t="shared" si="17"/>
        <v>#N/A</v>
      </c>
      <c r="J136" t="e">
        <f t="shared" si="12"/>
        <v>#N/A</v>
      </c>
      <c r="K136" s="27" t="e">
        <f t="shared" si="13"/>
        <v>#N/A</v>
      </c>
    </row>
    <row r="137" spans="1:11">
      <c r="A137" s="26">
        <v>87</v>
      </c>
      <c r="B137" s="82" t="e">
        <f t="shared" si="14"/>
        <v>#N/A</v>
      </c>
      <c r="C137" s="58" t="e">
        <f t="shared" si="10"/>
        <v>#N/A</v>
      </c>
      <c r="D137" s="83" t="e">
        <f t="shared" si="15"/>
        <v>#N/A</v>
      </c>
      <c r="E137" t="e">
        <f t="shared" si="11"/>
        <v>#N/A</v>
      </c>
      <c r="G137">
        <v>87</v>
      </c>
      <c r="H137" s="13" t="e">
        <f t="shared" si="16"/>
        <v>#N/A</v>
      </c>
      <c r="I137" t="e">
        <f t="shared" si="17"/>
        <v>#N/A</v>
      </c>
      <c r="J137" t="e">
        <f t="shared" si="12"/>
        <v>#N/A</v>
      </c>
      <c r="K137" s="27" t="e">
        <f t="shared" si="13"/>
        <v>#N/A</v>
      </c>
    </row>
    <row r="138" spans="1:11">
      <c r="A138" s="26">
        <v>88</v>
      </c>
      <c r="B138" s="82" t="e">
        <f t="shared" si="14"/>
        <v>#N/A</v>
      </c>
      <c r="C138" s="58" t="e">
        <f t="shared" si="10"/>
        <v>#N/A</v>
      </c>
      <c r="D138" s="83" t="e">
        <f t="shared" si="15"/>
        <v>#N/A</v>
      </c>
      <c r="E138" t="e">
        <f t="shared" si="11"/>
        <v>#N/A</v>
      </c>
      <c r="G138">
        <v>88</v>
      </c>
      <c r="H138" s="13" t="e">
        <f t="shared" si="16"/>
        <v>#N/A</v>
      </c>
      <c r="I138" t="e">
        <f t="shared" si="17"/>
        <v>#N/A</v>
      </c>
      <c r="J138" t="e">
        <f t="shared" si="12"/>
        <v>#N/A</v>
      </c>
      <c r="K138" s="27" t="e">
        <f t="shared" si="13"/>
        <v>#N/A</v>
      </c>
    </row>
    <row r="139" spans="1:11">
      <c r="A139" s="26">
        <v>89</v>
      </c>
      <c r="B139" s="82" t="e">
        <f t="shared" si="14"/>
        <v>#N/A</v>
      </c>
      <c r="C139" s="58" t="e">
        <f t="shared" si="10"/>
        <v>#N/A</v>
      </c>
      <c r="D139" s="83" t="e">
        <f t="shared" si="15"/>
        <v>#N/A</v>
      </c>
      <c r="E139" t="e">
        <f t="shared" si="11"/>
        <v>#N/A</v>
      </c>
      <c r="G139">
        <v>89</v>
      </c>
      <c r="H139" s="13" t="e">
        <f t="shared" si="16"/>
        <v>#N/A</v>
      </c>
      <c r="I139" t="e">
        <f t="shared" si="17"/>
        <v>#N/A</v>
      </c>
      <c r="J139" t="e">
        <f t="shared" si="12"/>
        <v>#N/A</v>
      </c>
      <c r="K139" s="27" t="e">
        <f t="shared" si="13"/>
        <v>#N/A</v>
      </c>
    </row>
    <row r="140" spans="1:11">
      <c r="A140" s="26">
        <v>90</v>
      </c>
      <c r="B140" s="82" t="e">
        <f t="shared" si="14"/>
        <v>#N/A</v>
      </c>
      <c r="C140" s="58" t="e">
        <f t="shared" si="10"/>
        <v>#N/A</v>
      </c>
      <c r="D140" s="83" t="e">
        <f t="shared" si="15"/>
        <v>#N/A</v>
      </c>
      <c r="E140" t="e">
        <f t="shared" si="11"/>
        <v>#N/A</v>
      </c>
      <c r="G140">
        <v>90</v>
      </c>
      <c r="H140" s="13" t="e">
        <f t="shared" si="16"/>
        <v>#N/A</v>
      </c>
      <c r="I140" t="e">
        <f t="shared" si="17"/>
        <v>#N/A</v>
      </c>
      <c r="J140" t="e">
        <f t="shared" si="12"/>
        <v>#N/A</v>
      </c>
      <c r="K140" s="27" t="e">
        <f t="shared" si="13"/>
        <v>#N/A</v>
      </c>
    </row>
    <row r="141" spans="1:11">
      <c r="A141" s="26">
        <v>91</v>
      </c>
      <c r="B141" s="82" t="e">
        <f t="shared" si="14"/>
        <v>#N/A</v>
      </c>
      <c r="C141" s="58" t="e">
        <f t="shared" si="10"/>
        <v>#N/A</v>
      </c>
      <c r="D141" s="83" t="e">
        <f t="shared" si="15"/>
        <v>#N/A</v>
      </c>
      <c r="E141" t="e">
        <f t="shared" si="11"/>
        <v>#N/A</v>
      </c>
      <c r="G141">
        <v>91</v>
      </c>
      <c r="H141" s="13" t="e">
        <f t="shared" si="16"/>
        <v>#N/A</v>
      </c>
      <c r="I141" t="e">
        <f t="shared" si="17"/>
        <v>#N/A</v>
      </c>
      <c r="J141" t="e">
        <f t="shared" si="12"/>
        <v>#N/A</v>
      </c>
      <c r="K141" s="27" t="e">
        <f t="shared" si="13"/>
        <v>#N/A</v>
      </c>
    </row>
    <row r="142" spans="1:11">
      <c r="A142" s="26">
        <v>92</v>
      </c>
      <c r="B142" s="82" t="e">
        <f t="shared" si="14"/>
        <v>#N/A</v>
      </c>
      <c r="C142" s="58" t="e">
        <f t="shared" si="10"/>
        <v>#N/A</v>
      </c>
      <c r="D142" s="83" t="e">
        <f t="shared" si="15"/>
        <v>#N/A</v>
      </c>
      <c r="E142" t="e">
        <f t="shared" si="11"/>
        <v>#N/A</v>
      </c>
      <c r="G142">
        <v>92</v>
      </c>
      <c r="H142" s="13" t="e">
        <f t="shared" si="16"/>
        <v>#N/A</v>
      </c>
      <c r="I142" t="e">
        <f t="shared" si="17"/>
        <v>#N/A</v>
      </c>
      <c r="J142" t="e">
        <f t="shared" si="12"/>
        <v>#N/A</v>
      </c>
      <c r="K142" s="27" t="e">
        <f t="shared" si="13"/>
        <v>#N/A</v>
      </c>
    </row>
    <row r="143" spans="1:11">
      <c r="A143" s="26">
        <v>93</v>
      </c>
      <c r="B143" s="82" t="e">
        <f t="shared" si="14"/>
        <v>#N/A</v>
      </c>
      <c r="C143" s="58" t="e">
        <f t="shared" si="10"/>
        <v>#N/A</v>
      </c>
      <c r="D143" s="83" t="e">
        <f t="shared" si="15"/>
        <v>#N/A</v>
      </c>
      <c r="E143" t="e">
        <f t="shared" si="11"/>
        <v>#N/A</v>
      </c>
      <c r="G143">
        <v>93</v>
      </c>
      <c r="H143" s="13" t="e">
        <f t="shared" si="16"/>
        <v>#N/A</v>
      </c>
      <c r="I143" t="e">
        <f t="shared" si="17"/>
        <v>#N/A</v>
      </c>
      <c r="J143" t="e">
        <f t="shared" si="12"/>
        <v>#N/A</v>
      </c>
      <c r="K143" s="27" t="e">
        <f t="shared" si="13"/>
        <v>#N/A</v>
      </c>
    </row>
    <row r="144" spans="1:11">
      <c r="A144" s="26">
        <v>94</v>
      </c>
      <c r="B144" s="82" t="e">
        <f t="shared" si="14"/>
        <v>#N/A</v>
      </c>
      <c r="C144" s="58" t="e">
        <f t="shared" ref="C144:C207" si="18">($C$37-$C$36)/2000+C143</f>
        <v>#N/A</v>
      </c>
      <c r="D144" s="83" t="e">
        <f t="shared" si="15"/>
        <v>#N/A</v>
      </c>
      <c r="E144" t="e">
        <f t="shared" si="11"/>
        <v>#N/A</v>
      </c>
      <c r="G144">
        <v>94</v>
      </c>
      <c r="H144" s="13" t="e">
        <f t="shared" si="16"/>
        <v>#N/A</v>
      </c>
      <c r="I144" t="e">
        <f t="shared" si="17"/>
        <v>#N/A</v>
      </c>
      <c r="J144" t="e">
        <f t="shared" si="12"/>
        <v>#N/A</v>
      </c>
      <c r="K144" s="27" t="e">
        <f t="shared" si="13"/>
        <v>#N/A</v>
      </c>
    </row>
    <row r="145" spans="1:11">
      <c r="A145" s="26">
        <v>95</v>
      </c>
      <c r="B145" s="82" t="e">
        <f t="shared" si="14"/>
        <v>#N/A</v>
      </c>
      <c r="C145" s="58" t="e">
        <f t="shared" si="18"/>
        <v>#N/A</v>
      </c>
      <c r="D145" s="83" t="e">
        <f t="shared" si="15"/>
        <v>#N/A</v>
      </c>
      <c r="E145" t="e">
        <f t="shared" si="11"/>
        <v>#N/A</v>
      </c>
      <c r="G145">
        <v>95</v>
      </c>
      <c r="H145" s="13" t="e">
        <f t="shared" si="16"/>
        <v>#N/A</v>
      </c>
      <c r="I145" t="e">
        <f t="shared" si="17"/>
        <v>#N/A</v>
      </c>
      <c r="J145" t="e">
        <f t="shared" si="12"/>
        <v>#N/A</v>
      </c>
      <c r="K145" s="27" t="e">
        <f t="shared" si="13"/>
        <v>#N/A</v>
      </c>
    </row>
    <row r="146" spans="1:11">
      <c r="A146" s="26">
        <v>96</v>
      </c>
      <c r="B146" s="82" t="e">
        <f t="shared" si="14"/>
        <v>#N/A</v>
      </c>
      <c r="C146" s="58" t="e">
        <f t="shared" si="18"/>
        <v>#N/A</v>
      </c>
      <c r="D146" s="83" t="e">
        <f t="shared" si="15"/>
        <v>#N/A</v>
      </c>
      <c r="E146" t="e">
        <f t="shared" si="11"/>
        <v>#N/A</v>
      </c>
      <c r="G146">
        <v>96</v>
      </c>
      <c r="H146" s="13" t="e">
        <f t="shared" si="16"/>
        <v>#N/A</v>
      </c>
      <c r="I146" t="e">
        <f t="shared" si="17"/>
        <v>#N/A</v>
      </c>
      <c r="J146" t="e">
        <f t="shared" si="12"/>
        <v>#N/A</v>
      </c>
      <c r="K146" s="27" t="e">
        <f t="shared" si="13"/>
        <v>#N/A</v>
      </c>
    </row>
    <row r="147" spans="1:11">
      <c r="A147" s="26">
        <v>97</v>
      </c>
      <c r="B147" s="82" t="e">
        <f t="shared" si="14"/>
        <v>#N/A</v>
      </c>
      <c r="C147" s="58" t="e">
        <f t="shared" si="18"/>
        <v>#N/A</v>
      </c>
      <c r="D147" s="83" t="e">
        <f t="shared" si="15"/>
        <v>#N/A</v>
      </c>
      <c r="E147" t="e">
        <f t="shared" si="11"/>
        <v>#N/A</v>
      </c>
      <c r="G147">
        <v>97</v>
      </c>
      <c r="H147" s="13" t="e">
        <f t="shared" si="16"/>
        <v>#N/A</v>
      </c>
      <c r="I147" t="e">
        <f t="shared" si="17"/>
        <v>#N/A</v>
      </c>
      <c r="J147" t="e">
        <f t="shared" si="12"/>
        <v>#N/A</v>
      </c>
      <c r="K147" s="27" t="e">
        <f t="shared" si="13"/>
        <v>#N/A</v>
      </c>
    </row>
    <row r="148" spans="1:11">
      <c r="A148" s="26">
        <v>98</v>
      </c>
      <c r="B148" s="82" t="e">
        <f t="shared" si="14"/>
        <v>#N/A</v>
      </c>
      <c r="C148" s="58" t="e">
        <f t="shared" si="18"/>
        <v>#N/A</v>
      </c>
      <c r="D148" s="83" t="e">
        <f t="shared" si="15"/>
        <v>#N/A</v>
      </c>
      <c r="E148" t="e">
        <f t="shared" si="11"/>
        <v>#N/A</v>
      </c>
      <c r="G148">
        <v>98</v>
      </c>
      <c r="H148" s="13" t="e">
        <f t="shared" si="16"/>
        <v>#N/A</v>
      </c>
      <c r="I148" t="e">
        <f t="shared" si="17"/>
        <v>#N/A</v>
      </c>
      <c r="J148" t="e">
        <f t="shared" si="12"/>
        <v>#N/A</v>
      </c>
      <c r="K148" s="27" t="e">
        <f t="shared" si="13"/>
        <v>#N/A</v>
      </c>
    </row>
    <row r="149" spans="1:11">
      <c r="A149" s="26">
        <v>99</v>
      </c>
      <c r="B149" s="82" t="e">
        <f t="shared" si="14"/>
        <v>#N/A</v>
      </c>
      <c r="C149" s="58" t="e">
        <f t="shared" si="18"/>
        <v>#N/A</v>
      </c>
      <c r="D149" s="83" t="e">
        <f t="shared" si="15"/>
        <v>#N/A</v>
      </c>
      <c r="E149" t="e">
        <f t="shared" si="11"/>
        <v>#N/A</v>
      </c>
      <c r="G149">
        <v>99</v>
      </c>
      <c r="H149" s="13" t="e">
        <f t="shared" si="16"/>
        <v>#N/A</v>
      </c>
      <c r="I149" t="e">
        <f t="shared" si="17"/>
        <v>#N/A</v>
      </c>
      <c r="J149" t="e">
        <f t="shared" si="12"/>
        <v>#N/A</v>
      </c>
      <c r="K149" s="27" t="e">
        <f t="shared" si="13"/>
        <v>#N/A</v>
      </c>
    </row>
    <row r="150" spans="1:11">
      <c r="A150" s="26">
        <v>100</v>
      </c>
      <c r="B150" s="82" t="e">
        <f t="shared" si="14"/>
        <v>#N/A</v>
      </c>
      <c r="C150" s="58" t="e">
        <f t="shared" si="18"/>
        <v>#N/A</v>
      </c>
      <c r="D150" s="83" t="e">
        <f t="shared" si="15"/>
        <v>#N/A</v>
      </c>
      <c r="E150" t="e">
        <f t="shared" si="11"/>
        <v>#N/A</v>
      </c>
      <c r="G150">
        <v>100</v>
      </c>
      <c r="H150" s="13" t="e">
        <f t="shared" si="16"/>
        <v>#N/A</v>
      </c>
      <c r="I150" t="e">
        <f t="shared" si="17"/>
        <v>#N/A</v>
      </c>
      <c r="J150" t="e">
        <f t="shared" si="12"/>
        <v>#N/A</v>
      </c>
      <c r="K150" s="27" t="e">
        <f t="shared" si="13"/>
        <v>#N/A</v>
      </c>
    </row>
    <row r="151" spans="1:11">
      <c r="A151" s="26">
        <v>101</v>
      </c>
      <c r="B151" s="82" t="e">
        <f t="shared" si="14"/>
        <v>#N/A</v>
      </c>
      <c r="C151" s="58" t="e">
        <f t="shared" si="18"/>
        <v>#N/A</v>
      </c>
      <c r="D151" s="83" t="e">
        <f t="shared" si="15"/>
        <v>#N/A</v>
      </c>
      <c r="E151" t="e">
        <f t="shared" si="11"/>
        <v>#N/A</v>
      </c>
      <c r="G151">
        <v>101</v>
      </c>
      <c r="H151" s="13" t="e">
        <f t="shared" si="16"/>
        <v>#N/A</v>
      </c>
      <c r="I151" t="e">
        <f t="shared" si="17"/>
        <v>#N/A</v>
      </c>
      <c r="J151" t="e">
        <f t="shared" si="12"/>
        <v>#N/A</v>
      </c>
      <c r="K151" s="27" t="e">
        <f t="shared" si="13"/>
        <v>#N/A</v>
      </c>
    </row>
    <row r="152" spans="1:11">
      <c r="A152" s="26">
        <v>102</v>
      </c>
      <c r="B152" s="82" t="e">
        <f t="shared" si="14"/>
        <v>#N/A</v>
      </c>
      <c r="C152" s="58" t="e">
        <f t="shared" si="18"/>
        <v>#N/A</v>
      </c>
      <c r="D152" s="83" t="e">
        <f t="shared" si="15"/>
        <v>#N/A</v>
      </c>
      <c r="E152" t="e">
        <f t="shared" si="11"/>
        <v>#N/A</v>
      </c>
      <c r="G152">
        <v>102</v>
      </c>
      <c r="H152" s="13" t="e">
        <f t="shared" si="16"/>
        <v>#N/A</v>
      </c>
      <c r="I152" t="e">
        <f t="shared" si="17"/>
        <v>#N/A</v>
      </c>
      <c r="J152" t="e">
        <f t="shared" si="12"/>
        <v>#N/A</v>
      </c>
      <c r="K152" s="27" t="e">
        <f t="shared" si="13"/>
        <v>#N/A</v>
      </c>
    </row>
    <row r="153" spans="1:11">
      <c r="A153" s="26">
        <v>103</v>
      </c>
      <c r="B153" s="82" t="e">
        <f t="shared" si="14"/>
        <v>#N/A</v>
      </c>
      <c r="C153" s="58" t="e">
        <f t="shared" si="18"/>
        <v>#N/A</v>
      </c>
      <c r="D153" s="83" t="e">
        <f t="shared" si="15"/>
        <v>#N/A</v>
      </c>
      <c r="E153" t="e">
        <f t="shared" si="11"/>
        <v>#N/A</v>
      </c>
      <c r="G153">
        <v>103</v>
      </c>
      <c r="H153" s="13" t="e">
        <f t="shared" si="16"/>
        <v>#N/A</v>
      </c>
      <c r="I153" t="e">
        <f t="shared" si="17"/>
        <v>#N/A</v>
      </c>
      <c r="J153" t="e">
        <f t="shared" si="12"/>
        <v>#N/A</v>
      </c>
      <c r="K153" s="27" t="e">
        <f t="shared" si="13"/>
        <v>#N/A</v>
      </c>
    </row>
    <row r="154" spans="1:11">
      <c r="A154" s="26">
        <v>104</v>
      </c>
      <c r="B154" s="82" t="e">
        <f t="shared" si="14"/>
        <v>#N/A</v>
      </c>
      <c r="C154" s="58" t="e">
        <f t="shared" si="18"/>
        <v>#N/A</v>
      </c>
      <c r="D154" s="83" t="e">
        <f t="shared" si="15"/>
        <v>#N/A</v>
      </c>
      <c r="E154" t="e">
        <f t="shared" si="11"/>
        <v>#N/A</v>
      </c>
      <c r="G154">
        <v>104</v>
      </c>
      <c r="H154" s="13" t="e">
        <f t="shared" si="16"/>
        <v>#N/A</v>
      </c>
      <c r="I154" t="e">
        <f t="shared" si="17"/>
        <v>#N/A</v>
      </c>
      <c r="J154" t="e">
        <f t="shared" si="12"/>
        <v>#N/A</v>
      </c>
      <c r="K154" s="27" t="e">
        <f t="shared" si="13"/>
        <v>#N/A</v>
      </c>
    </row>
    <row r="155" spans="1:11">
      <c r="A155" s="26">
        <v>105</v>
      </c>
      <c r="B155" s="82" t="e">
        <f t="shared" si="14"/>
        <v>#N/A</v>
      </c>
      <c r="C155" s="58" t="e">
        <f t="shared" si="18"/>
        <v>#N/A</v>
      </c>
      <c r="D155" s="83" t="e">
        <f t="shared" si="15"/>
        <v>#N/A</v>
      </c>
      <c r="E155" t="e">
        <f t="shared" si="11"/>
        <v>#N/A</v>
      </c>
      <c r="G155">
        <v>105</v>
      </c>
      <c r="H155" s="13" t="e">
        <f t="shared" si="16"/>
        <v>#N/A</v>
      </c>
      <c r="I155" t="e">
        <f t="shared" si="17"/>
        <v>#N/A</v>
      </c>
      <c r="J155" t="e">
        <f t="shared" si="12"/>
        <v>#N/A</v>
      </c>
      <c r="K155" s="27" t="e">
        <f t="shared" si="13"/>
        <v>#N/A</v>
      </c>
    </row>
    <row r="156" spans="1:11">
      <c r="A156" s="26">
        <v>106</v>
      </c>
      <c r="B156" s="82" t="e">
        <f t="shared" si="14"/>
        <v>#N/A</v>
      </c>
      <c r="C156" s="58" t="e">
        <f t="shared" si="18"/>
        <v>#N/A</v>
      </c>
      <c r="D156" s="83" t="e">
        <f t="shared" si="15"/>
        <v>#N/A</v>
      </c>
      <c r="E156" t="e">
        <f t="shared" si="11"/>
        <v>#N/A</v>
      </c>
      <c r="G156">
        <v>106</v>
      </c>
      <c r="H156" s="13" t="e">
        <f t="shared" si="16"/>
        <v>#N/A</v>
      </c>
      <c r="I156" t="e">
        <f t="shared" si="17"/>
        <v>#N/A</v>
      </c>
      <c r="J156" t="e">
        <f t="shared" si="12"/>
        <v>#N/A</v>
      </c>
      <c r="K156" s="27" t="e">
        <f t="shared" si="13"/>
        <v>#N/A</v>
      </c>
    </row>
    <row r="157" spans="1:11">
      <c r="A157" s="26">
        <v>107</v>
      </c>
      <c r="B157" s="82" t="e">
        <f t="shared" si="14"/>
        <v>#N/A</v>
      </c>
      <c r="C157" s="58" t="e">
        <f t="shared" si="18"/>
        <v>#N/A</v>
      </c>
      <c r="D157" s="83" t="e">
        <f t="shared" si="15"/>
        <v>#N/A</v>
      </c>
      <c r="E157" t="e">
        <f t="shared" si="11"/>
        <v>#N/A</v>
      </c>
      <c r="G157">
        <v>107</v>
      </c>
      <c r="H157" s="13" t="e">
        <f t="shared" si="16"/>
        <v>#N/A</v>
      </c>
      <c r="I157" t="e">
        <f t="shared" si="17"/>
        <v>#N/A</v>
      </c>
      <c r="J157" t="e">
        <f t="shared" si="12"/>
        <v>#N/A</v>
      </c>
      <c r="K157" s="27" t="e">
        <f t="shared" si="13"/>
        <v>#N/A</v>
      </c>
    </row>
    <row r="158" spans="1:11">
      <c r="A158" s="26">
        <v>108</v>
      </c>
      <c r="B158" s="82" t="e">
        <f t="shared" si="14"/>
        <v>#N/A</v>
      </c>
      <c r="C158" s="58" t="e">
        <f t="shared" si="18"/>
        <v>#N/A</v>
      </c>
      <c r="D158" s="83" t="e">
        <f t="shared" si="15"/>
        <v>#N/A</v>
      </c>
      <c r="E158" t="e">
        <f t="shared" si="11"/>
        <v>#N/A</v>
      </c>
      <c r="G158">
        <v>108</v>
      </c>
      <c r="H158" s="13" t="e">
        <f t="shared" si="16"/>
        <v>#N/A</v>
      </c>
      <c r="I158" t="e">
        <f t="shared" si="17"/>
        <v>#N/A</v>
      </c>
      <c r="J158" t="e">
        <f t="shared" si="12"/>
        <v>#N/A</v>
      </c>
      <c r="K158" s="27" t="e">
        <f t="shared" si="13"/>
        <v>#N/A</v>
      </c>
    </row>
    <row r="159" spans="1:11">
      <c r="A159" s="26">
        <v>109</v>
      </c>
      <c r="B159" s="82" t="e">
        <f t="shared" si="14"/>
        <v>#N/A</v>
      </c>
      <c r="C159" s="58" t="e">
        <f t="shared" si="18"/>
        <v>#N/A</v>
      </c>
      <c r="D159" s="83" t="e">
        <f t="shared" si="15"/>
        <v>#N/A</v>
      </c>
      <c r="E159" t="e">
        <f t="shared" si="11"/>
        <v>#N/A</v>
      </c>
      <c r="G159">
        <v>109</v>
      </c>
      <c r="H159" s="13" t="e">
        <f t="shared" si="16"/>
        <v>#N/A</v>
      </c>
      <c r="I159" t="e">
        <f t="shared" si="17"/>
        <v>#N/A</v>
      </c>
      <c r="J159" t="e">
        <f t="shared" si="12"/>
        <v>#N/A</v>
      </c>
      <c r="K159" s="27" t="e">
        <f t="shared" si="13"/>
        <v>#N/A</v>
      </c>
    </row>
    <row r="160" spans="1:11">
      <c r="A160" s="26">
        <v>110</v>
      </c>
      <c r="B160" s="82" t="e">
        <f t="shared" si="14"/>
        <v>#N/A</v>
      </c>
      <c r="C160" s="58" t="e">
        <f t="shared" si="18"/>
        <v>#N/A</v>
      </c>
      <c r="D160" s="83" t="e">
        <f t="shared" si="15"/>
        <v>#N/A</v>
      </c>
      <c r="E160" t="e">
        <f t="shared" si="11"/>
        <v>#N/A</v>
      </c>
      <c r="G160">
        <v>110</v>
      </c>
      <c r="H160" s="13" t="e">
        <f t="shared" si="16"/>
        <v>#N/A</v>
      </c>
      <c r="I160" t="e">
        <f t="shared" si="17"/>
        <v>#N/A</v>
      </c>
      <c r="J160" t="e">
        <f t="shared" si="12"/>
        <v>#N/A</v>
      </c>
      <c r="K160" s="27" t="e">
        <f t="shared" si="13"/>
        <v>#N/A</v>
      </c>
    </row>
    <row r="161" spans="1:11">
      <c r="A161" s="26">
        <v>111</v>
      </c>
      <c r="B161" s="82" t="e">
        <f t="shared" si="14"/>
        <v>#N/A</v>
      </c>
      <c r="C161" s="58" t="e">
        <f t="shared" si="18"/>
        <v>#N/A</v>
      </c>
      <c r="D161" s="83" t="e">
        <f t="shared" si="15"/>
        <v>#N/A</v>
      </c>
      <c r="E161" t="e">
        <f t="shared" si="11"/>
        <v>#N/A</v>
      </c>
      <c r="G161">
        <v>111</v>
      </c>
      <c r="H161" s="13" t="e">
        <f t="shared" si="16"/>
        <v>#N/A</v>
      </c>
      <c r="I161" t="e">
        <f t="shared" si="17"/>
        <v>#N/A</v>
      </c>
      <c r="J161" t="e">
        <f t="shared" si="12"/>
        <v>#N/A</v>
      </c>
      <c r="K161" s="27" t="e">
        <f t="shared" si="13"/>
        <v>#N/A</v>
      </c>
    </row>
    <row r="162" spans="1:11">
      <c r="A162" s="26">
        <v>112</v>
      </c>
      <c r="B162" s="82" t="e">
        <f t="shared" si="14"/>
        <v>#N/A</v>
      </c>
      <c r="C162" s="58" t="e">
        <f t="shared" si="18"/>
        <v>#N/A</v>
      </c>
      <c r="D162" s="83" t="e">
        <f t="shared" si="15"/>
        <v>#N/A</v>
      </c>
      <c r="E162" t="e">
        <f t="shared" si="11"/>
        <v>#N/A</v>
      </c>
      <c r="G162">
        <v>112</v>
      </c>
      <c r="H162" s="13" t="e">
        <f t="shared" si="16"/>
        <v>#N/A</v>
      </c>
      <c r="I162" t="e">
        <f t="shared" si="17"/>
        <v>#N/A</v>
      </c>
      <c r="J162" t="e">
        <f t="shared" si="12"/>
        <v>#N/A</v>
      </c>
      <c r="K162" s="27" t="e">
        <f t="shared" si="13"/>
        <v>#N/A</v>
      </c>
    </row>
    <row r="163" spans="1:11">
      <c r="A163" s="26">
        <v>113</v>
      </c>
      <c r="B163" s="82" t="e">
        <f t="shared" si="14"/>
        <v>#N/A</v>
      </c>
      <c r="C163" s="58" t="e">
        <f t="shared" si="18"/>
        <v>#N/A</v>
      </c>
      <c r="D163" s="83" t="e">
        <f t="shared" si="15"/>
        <v>#N/A</v>
      </c>
      <c r="E163" t="e">
        <f t="shared" si="11"/>
        <v>#N/A</v>
      </c>
      <c r="G163">
        <v>113</v>
      </c>
      <c r="H163" s="13" t="e">
        <f t="shared" si="16"/>
        <v>#N/A</v>
      </c>
      <c r="I163" t="e">
        <f t="shared" si="17"/>
        <v>#N/A</v>
      </c>
      <c r="J163" t="e">
        <f t="shared" si="12"/>
        <v>#N/A</v>
      </c>
      <c r="K163" s="27" t="e">
        <f t="shared" si="13"/>
        <v>#N/A</v>
      </c>
    </row>
    <row r="164" spans="1:11">
      <c r="A164" s="26">
        <v>114</v>
      </c>
      <c r="B164" s="82" t="e">
        <f t="shared" si="14"/>
        <v>#N/A</v>
      </c>
      <c r="C164" s="58" t="e">
        <f t="shared" si="18"/>
        <v>#N/A</v>
      </c>
      <c r="D164" s="83" t="e">
        <f t="shared" si="15"/>
        <v>#N/A</v>
      </c>
      <c r="E164" t="e">
        <f t="shared" si="11"/>
        <v>#N/A</v>
      </c>
      <c r="G164">
        <v>114</v>
      </c>
      <c r="H164" s="13" t="e">
        <f t="shared" si="16"/>
        <v>#N/A</v>
      </c>
      <c r="I164" t="e">
        <f t="shared" si="17"/>
        <v>#N/A</v>
      </c>
      <c r="J164" t="e">
        <f t="shared" si="12"/>
        <v>#N/A</v>
      </c>
      <c r="K164" s="27" t="e">
        <f t="shared" si="13"/>
        <v>#N/A</v>
      </c>
    </row>
    <row r="165" spans="1:11">
      <c r="A165" s="26">
        <v>115</v>
      </c>
      <c r="B165" s="82" t="e">
        <f t="shared" si="14"/>
        <v>#N/A</v>
      </c>
      <c r="C165" s="58" t="e">
        <f t="shared" si="18"/>
        <v>#N/A</v>
      </c>
      <c r="D165" s="83" t="e">
        <f t="shared" si="15"/>
        <v>#N/A</v>
      </c>
      <c r="E165" t="e">
        <f t="shared" si="11"/>
        <v>#N/A</v>
      </c>
      <c r="G165">
        <v>115</v>
      </c>
      <c r="H165" s="13" t="e">
        <f t="shared" si="16"/>
        <v>#N/A</v>
      </c>
      <c r="I165" t="e">
        <f t="shared" si="17"/>
        <v>#N/A</v>
      </c>
      <c r="J165" t="e">
        <f t="shared" si="12"/>
        <v>#N/A</v>
      </c>
      <c r="K165" s="27" t="e">
        <f t="shared" si="13"/>
        <v>#N/A</v>
      </c>
    </row>
    <row r="166" spans="1:11">
      <c r="A166" s="26">
        <v>116</v>
      </c>
      <c r="B166" s="82" t="e">
        <f t="shared" si="14"/>
        <v>#N/A</v>
      </c>
      <c r="C166" s="58" t="e">
        <f t="shared" si="18"/>
        <v>#N/A</v>
      </c>
      <c r="D166" s="83" t="e">
        <f t="shared" si="15"/>
        <v>#N/A</v>
      </c>
      <c r="E166" t="e">
        <f t="shared" si="11"/>
        <v>#N/A</v>
      </c>
      <c r="G166">
        <v>116</v>
      </c>
      <c r="H166" s="13" t="e">
        <f t="shared" si="16"/>
        <v>#N/A</v>
      </c>
      <c r="I166" t="e">
        <f t="shared" si="17"/>
        <v>#N/A</v>
      </c>
      <c r="J166" t="e">
        <f t="shared" si="12"/>
        <v>#N/A</v>
      </c>
      <c r="K166" s="27" t="e">
        <f t="shared" si="13"/>
        <v>#N/A</v>
      </c>
    </row>
    <row r="167" spans="1:11">
      <c r="A167" s="26">
        <v>117</v>
      </c>
      <c r="B167" s="82" t="e">
        <f t="shared" si="14"/>
        <v>#N/A</v>
      </c>
      <c r="C167" s="58" t="e">
        <f t="shared" si="18"/>
        <v>#N/A</v>
      </c>
      <c r="D167" s="83" t="e">
        <f t="shared" si="15"/>
        <v>#N/A</v>
      </c>
      <c r="E167" t="e">
        <f t="shared" si="11"/>
        <v>#N/A</v>
      </c>
      <c r="G167">
        <v>117</v>
      </c>
      <c r="H167" s="13" t="e">
        <f t="shared" si="16"/>
        <v>#N/A</v>
      </c>
      <c r="I167" t="e">
        <f t="shared" si="17"/>
        <v>#N/A</v>
      </c>
      <c r="J167" t="e">
        <f t="shared" si="12"/>
        <v>#N/A</v>
      </c>
      <c r="K167" s="27" t="e">
        <f t="shared" si="13"/>
        <v>#N/A</v>
      </c>
    </row>
    <row r="168" spans="1:11">
      <c r="A168" s="26">
        <v>118</v>
      </c>
      <c r="B168" s="82" t="e">
        <f t="shared" si="14"/>
        <v>#N/A</v>
      </c>
      <c r="C168" s="58" t="e">
        <f t="shared" si="18"/>
        <v>#N/A</v>
      </c>
      <c r="D168" s="83" t="e">
        <f t="shared" si="15"/>
        <v>#N/A</v>
      </c>
      <c r="E168" t="e">
        <f t="shared" si="11"/>
        <v>#N/A</v>
      </c>
      <c r="G168">
        <v>118</v>
      </c>
      <c r="H168" s="13" t="e">
        <f t="shared" si="16"/>
        <v>#N/A</v>
      </c>
      <c r="I168" t="e">
        <f t="shared" si="17"/>
        <v>#N/A</v>
      </c>
      <c r="J168" t="e">
        <f t="shared" si="12"/>
        <v>#N/A</v>
      </c>
      <c r="K168" s="27" t="e">
        <f t="shared" si="13"/>
        <v>#N/A</v>
      </c>
    </row>
    <row r="169" spans="1:11">
      <c r="A169" s="26">
        <v>119</v>
      </c>
      <c r="B169" s="82" t="e">
        <f t="shared" si="14"/>
        <v>#N/A</v>
      </c>
      <c r="C169" s="58" t="e">
        <f t="shared" si="18"/>
        <v>#N/A</v>
      </c>
      <c r="D169" s="83" t="e">
        <f t="shared" si="15"/>
        <v>#N/A</v>
      </c>
      <c r="E169" t="e">
        <f t="shared" si="11"/>
        <v>#N/A</v>
      </c>
      <c r="G169">
        <v>119</v>
      </c>
      <c r="H169" s="13" t="e">
        <f t="shared" si="16"/>
        <v>#N/A</v>
      </c>
      <c r="I169" t="e">
        <f t="shared" si="17"/>
        <v>#N/A</v>
      </c>
      <c r="J169" t="e">
        <f t="shared" si="12"/>
        <v>#N/A</v>
      </c>
      <c r="K169" s="27" t="e">
        <f t="shared" si="13"/>
        <v>#N/A</v>
      </c>
    </row>
    <row r="170" spans="1:11">
      <c r="A170" s="26">
        <v>120</v>
      </c>
      <c r="B170" s="82" t="e">
        <f t="shared" si="14"/>
        <v>#N/A</v>
      </c>
      <c r="C170" s="58" t="e">
        <f t="shared" si="18"/>
        <v>#N/A</v>
      </c>
      <c r="D170" s="83" t="e">
        <f t="shared" si="15"/>
        <v>#N/A</v>
      </c>
      <c r="E170" t="e">
        <f t="shared" si="11"/>
        <v>#N/A</v>
      </c>
      <c r="G170">
        <v>120</v>
      </c>
      <c r="H170" s="13" t="e">
        <f t="shared" si="16"/>
        <v>#N/A</v>
      </c>
      <c r="I170" t="e">
        <f t="shared" si="17"/>
        <v>#N/A</v>
      </c>
      <c r="J170" t="e">
        <f t="shared" si="12"/>
        <v>#N/A</v>
      </c>
      <c r="K170" s="27" t="e">
        <f t="shared" si="13"/>
        <v>#N/A</v>
      </c>
    </row>
    <row r="171" spans="1:11">
      <c r="A171" s="26">
        <v>121</v>
      </c>
      <c r="B171" s="82" t="e">
        <f t="shared" si="14"/>
        <v>#N/A</v>
      </c>
      <c r="C171" s="58" t="e">
        <f t="shared" si="18"/>
        <v>#N/A</v>
      </c>
      <c r="D171" s="83" t="e">
        <f t="shared" si="15"/>
        <v>#N/A</v>
      </c>
      <c r="E171" t="e">
        <f t="shared" si="11"/>
        <v>#N/A</v>
      </c>
      <c r="G171">
        <v>121</v>
      </c>
      <c r="H171" s="13" t="e">
        <f t="shared" si="16"/>
        <v>#N/A</v>
      </c>
      <c r="I171" t="e">
        <f t="shared" si="17"/>
        <v>#N/A</v>
      </c>
      <c r="J171" t="e">
        <f t="shared" si="12"/>
        <v>#N/A</v>
      </c>
      <c r="K171" s="27" t="e">
        <f t="shared" si="13"/>
        <v>#N/A</v>
      </c>
    </row>
    <row r="172" spans="1:11">
      <c r="A172" s="26">
        <v>122</v>
      </c>
      <c r="B172" s="82" t="e">
        <f t="shared" si="14"/>
        <v>#N/A</v>
      </c>
      <c r="C172" s="58" t="e">
        <f t="shared" si="18"/>
        <v>#N/A</v>
      </c>
      <c r="D172" s="83" t="e">
        <f t="shared" si="15"/>
        <v>#N/A</v>
      </c>
      <c r="E172" t="e">
        <f t="shared" si="11"/>
        <v>#N/A</v>
      </c>
      <c r="G172">
        <v>122</v>
      </c>
      <c r="H172" s="13" t="e">
        <f t="shared" si="16"/>
        <v>#N/A</v>
      </c>
      <c r="I172" t="e">
        <f t="shared" si="17"/>
        <v>#N/A</v>
      </c>
      <c r="J172" t="e">
        <f t="shared" si="12"/>
        <v>#N/A</v>
      </c>
      <c r="K172" s="27" t="e">
        <f t="shared" si="13"/>
        <v>#N/A</v>
      </c>
    </row>
    <row r="173" spans="1:11">
      <c r="A173" s="26">
        <v>123</v>
      </c>
      <c r="B173" s="82" t="e">
        <f t="shared" si="14"/>
        <v>#N/A</v>
      </c>
      <c r="C173" s="58" t="e">
        <f t="shared" si="18"/>
        <v>#N/A</v>
      </c>
      <c r="D173" s="83" t="e">
        <f t="shared" si="15"/>
        <v>#N/A</v>
      </c>
      <c r="E173" t="e">
        <f t="shared" si="11"/>
        <v>#N/A</v>
      </c>
      <c r="G173">
        <v>123</v>
      </c>
      <c r="H173" s="13" t="e">
        <f t="shared" si="16"/>
        <v>#N/A</v>
      </c>
      <c r="I173" t="e">
        <f t="shared" si="17"/>
        <v>#N/A</v>
      </c>
      <c r="J173" t="e">
        <f t="shared" si="12"/>
        <v>#N/A</v>
      </c>
      <c r="K173" s="27" t="e">
        <f t="shared" si="13"/>
        <v>#N/A</v>
      </c>
    </row>
    <row r="174" spans="1:11">
      <c r="A174" s="26">
        <v>124</v>
      </c>
      <c r="B174" s="82" t="e">
        <f t="shared" si="14"/>
        <v>#N/A</v>
      </c>
      <c r="C174" s="58" t="e">
        <f t="shared" si="18"/>
        <v>#N/A</v>
      </c>
      <c r="D174" s="83" t="e">
        <f t="shared" si="15"/>
        <v>#N/A</v>
      </c>
      <c r="E174" t="e">
        <f t="shared" si="11"/>
        <v>#N/A</v>
      </c>
      <c r="G174">
        <v>124</v>
      </c>
      <c r="H174" s="13" t="e">
        <f t="shared" si="16"/>
        <v>#N/A</v>
      </c>
      <c r="I174" t="e">
        <f t="shared" si="17"/>
        <v>#N/A</v>
      </c>
      <c r="J174" t="e">
        <f t="shared" si="12"/>
        <v>#N/A</v>
      </c>
      <c r="K174" s="27" t="e">
        <f t="shared" si="13"/>
        <v>#N/A</v>
      </c>
    </row>
    <row r="175" spans="1:11">
      <c r="A175" s="26">
        <v>125</v>
      </c>
      <c r="B175" s="82" t="e">
        <f t="shared" si="14"/>
        <v>#N/A</v>
      </c>
      <c r="C175" s="58" t="e">
        <f t="shared" si="18"/>
        <v>#N/A</v>
      </c>
      <c r="D175" s="83" t="e">
        <f t="shared" si="15"/>
        <v>#N/A</v>
      </c>
      <c r="E175" t="e">
        <f t="shared" si="11"/>
        <v>#N/A</v>
      </c>
      <c r="G175">
        <v>125</v>
      </c>
      <c r="H175" s="13" t="e">
        <f t="shared" si="16"/>
        <v>#N/A</v>
      </c>
      <c r="I175" t="e">
        <f t="shared" si="17"/>
        <v>#N/A</v>
      </c>
      <c r="J175" t="e">
        <f t="shared" si="12"/>
        <v>#N/A</v>
      </c>
      <c r="K175" s="27" t="e">
        <f t="shared" si="13"/>
        <v>#N/A</v>
      </c>
    </row>
    <row r="176" spans="1:11">
      <c r="A176" s="26">
        <v>126</v>
      </c>
      <c r="B176" s="82" t="e">
        <f t="shared" si="14"/>
        <v>#N/A</v>
      </c>
      <c r="C176" s="58" t="e">
        <f t="shared" si="18"/>
        <v>#N/A</v>
      </c>
      <c r="D176" s="83" t="e">
        <f t="shared" si="15"/>
        <v>#N/A</v>
      </c>
      <c r="E176" t="e">
        <f t="shared" si="11"/>
        <v>#N/A</v>
      </c>
      <c r="G176">
        <v>126</v>
      </c>
      <c r="H176" s="13" t="e">
        <f t="shared" si="16"/>
        <v>#N/A</v>
      </c>
      <c r="I176" t="e">
        <f t="shared" si="17"/>
        <v>#N/A</v>
      </c>
      <c r="J176" t="e">
        <f t="shared" si="12"/>
        <v>#N/A</v>
      </c>
      <c r="K176" s="27" t="e">
        <f t="shared" si="13"/>
        <v>#N/A</v>
      </c>
    </row>
    <row r="177" spans="1:11">
      <c r="A177" s="26">
        <v>127</v>
      </c>
      <c r="B177" s="82" t="e">
        <f t="shared" si="14"/>
        <v>#N/A</v>
      </c>
      <c r="C177" s="58" t="e">
        <f t="shared" si="18"/>
        <v>#N/A</v>
      </c>
      <c r="D177" s="83" t="e">
        <f t="shared" si="15"/>
        <v>#N/A</v>
      </c>
      <c r="E177" t="e">
        <f t="shared" si="11"/>
        <v>#N/A</v>
      </c>
      <c r="G177">
        <v>127</v>
      </c>
      <c r="H177" s="13" t="e">
        <f t="shared" si="16"/>
        <v>#N/A</v>
      </c>
      <c r="I177" t="e">
        <f t="shared" si="17"/>
        <v>#N/A</v>
      </c>
      <c r="J177" t="e">
        <f t="shared" si="12"/>
        <v>#N/A</v>
      </c>
      <c r="K177" s="27" t="e">
        <f t="shared" si="13"/>
        <v>#N/A</v>
      </c>
    </row>
    <row r="178" spans="1:11">
      <c r="A178" s="26">
        <v>128</v>
      </c>
      <c r="B178" s="82" t="e">
        <f t="shared" si="14"/>
        <v>#N/A</v>
      </c>
      <c r="C178" s="58" t="e">
        <f t="shared" si="18"/>
        <v>#N/A</v>
      </c>
      <c r="D178" s="83" t="e">
        <f t="shared" si="15"/>
        <v>#N/A</v>
      </c>
      <c r="E178" t="e">
        <f t="shared" si="11"/>
        <v>#N/A</v>
      </c>
      <c r="G178">
        <v>128</v>
      </c>
      <c r="H178" s="13" t="e">
        <f t="shared" si="16"/>
        <v>#N/A</v>
      </c>
      <c r="I178" t="e">
        <f t="shared" si="17"/>
        <v>#N/A</v>
      </c>
      <c r="J178" t="e">
        <f t="shared" si="12"/>
        <v>#N/A</v>
      </c>
      <c r="K178" s="27" t="e">
        <f t="shared" si="13"/>
        <v>#N/A</v>
      </c>
    </row>
    <row r="179" spans="1:11">
      <c r="A179" s="26">
        <v>129</v>
      </c>
      <c r="B179" s="82" t="e">
        <f t="shared" si="14"/>
        <v>#N/A</v>
      </c>
      <c r="C179" s="58" t="e">
        <f t="shared" si="18"/>
        <v>#N/A</v>
      </c>
      <c r="D179" s="83" t="e">
        <f t="shared" si="15"/>
        <v>#N/A</v>
      </c>
      <c r="E179" t="e">
        <f t="shared" ref="E179:E242" si="19">((D179^2)+(D179*D180)+(D180^2))*B180/3</f>
        <v>#N/A</v>
      </c>
      <c r="G179">
        <v>129</v>
      </c>
      <c r="H179" s="13" t="e">
        <f t="shared" si="16"/>
        <v>#N/A</v>
      </c>
      <c r="I179" t="e">
        <f t="shared" si="17"/>
        <v>#N/A</v>
      </c>
      <c r="J179" t="e">
        <f t="shared" ref="J179:J242" si="20">IF($G$28&lt;$C$14,0,((($C$11^2)-((I179-$C$13)^2))^0.5)+$C$16)</f>
        <v>#N/A</v>
      </c>
      <c r="K179" s="27" t="e">
        <f t="shared" ref="K179:K242" si="21">((J179^2)+(J179*J180)+(J180^2))*H180/3</f>
        <v>#N/A</v>
      </c>
    </row>
    <row r="180" spans="1:11">
      <c r="A180" s="26">
        <v>130</v>
      </c>
      <c r="B180" s="82" t="e">
        <f t="shared" ref="B180:B243" si="22">C180-C179</f>
        <v>#N/A</v>
      </c>
      <c r="C180" s="58" t="e">
        <f t="shared" si="18"/>
        <v>#N/A</v>
      </c>
      <c r="D180" s="83" t="e">
        <f t="shared" ref="D180:D243" si="23">IF($G$28&lt;$C$14,0,((($C$11^2)-((C180-$C$13)^2))^0.5)+$C$16)</f>
        <v>#N/A</v>
      </c>
      <c r="E180" t="e">
        <f t="shared" si="19"/>
        <v>#N/A</v>
      </c>
      <c r="G180">
        <v>130</v>
      </c>
      <c r="H180" s="13" t="e">
        <f t="shared" ref="H180:H243" si="24">I180-I179</f>
        <v>#N/A</v>
      </c>
      <c r="I180" t="e">
        <f t="shared" ref="I180:I243" si="25">($G$27-$C$14)/2000+I179</f>
        <v>#N/A</v>
      </c>
      <c r="J180" t="e">
        <f t="shared" si="20"/>
        <v>#N/A</v>
      </c>
      <c r="K180" s="27" t="e">
        <f t="shared" si="21"/>
        <v>#N/A</v>
      </c>
    </row>
    <row r="181" spans="1:11">
      <c r="A181" s="26">
        <v>131</v>
      </c>
      <c r="B181" s="82" t="e">
        <f t="shared" si="22"/>
        <v>#N/A</v>
      </c>
      <c r="C181" s="58" t="e">
        <f t="shared" si="18"/>
        <v>#N/A</v>
      </c>
      <c r="D181" s="83" t="e">
        <f t="shared" si="23"/>
        <v>#N/A</v>
      </c>
      <c r="E181" t="e">
        <f t="shared" si="19"/>
        <v>#N/A</v>
      </c>
      <c r="G181">
        <v>131</v>
      </c>
      <c r="H181" s="13" t="e">
        <f t="shared" si="24"/>
        <v>#N/A</v>
      </c>
      <c r="I181" t="e">
        <f t="shared" si="25"/>
        <v>#N/A</v>
      </c>
      <c r="J181" t="e">
        <f t="shared" si="20"/>
        <v>#N/A</v>
      </c>
      <c r="K181" s="27" t="e">
        <f t="shared" si="21"/>
        <v>#N/A</v>
      </c>
    </row>
    <row r="182" spans="1:11">
      <c r="A182" s="26">
        <v>132</v>
      </c>
      <c r="B182" s="82" t="e">
        <f t="shared" si="22"/>
        <v>#N/A</v>
      </c>
      <c r="C182" s="58" t="e">
        <f t="shared" si="18"/>
        <v>#N/A</v>
      </c>
      <c r="D182" s="83" t="e">
        <f t="shared" si="23"/>
        <v>#N/A</v>
      </c>
      <c r="E182" t="e">
        <f t="shared" si="19"/>
        <v>#N/A</v>
      </c>
      <c r="G182">
        <v>132</v>
      </c>
      <c r="H182" s="13" t="e">
        <f t="shared" si="24"/>
        <v>#N/A</v>
      </c>
      <c r="I182" t="e">
        <f t="shared" si="25"/>
        <v>#N/A</v>
      </c>
      <c r="J182" t="e">
        <f t="shared" si="20"/>
        <v>#N/A</v>
      </c>
      <c r="K182" s="27" t="e">
        <f t="shared" si="21"/>
        <v>#N/A</v>
      </c>
    </row>
    <row r="183" spans="1:11">
      <c r="A183" s="26">
        <v>133</v>
      </c>
      <c r="B183" s="82" t="e">
        <f t="shared" si="22"/>
        <v>#N/A</v>
      </c>
      <c r="C183" s="58" t="e">
        <f t="shared" si="18"/>
        <v>#N/A</v>
      </c>
      <c r="D183" s="83" t="e">
        <f t="shared" si="23"/>
        <v>#N/A</v>
      </c>
      <c r="E183" t="e">
        <f t="shared" si="19"/>
        <v>#N/A</v>
      </c>
      <c r="G183">
        <v>133</v>
      </c>
      <c r="H183" s="13" t="e">
        <f t="shared" si="24"/>
        <v>#N/A</v>
      </c>
      <c r="I183" t="e">
        <f t="shared" si="25"/>
        <v>#N/A</v>
      </c>
      <c r="J183" t="e">
        <f t="shared" si="20"/>
        <v>#N/A</v>
      </c>
      <c r="K183" s="27" t="e">
        <f t="shared" si="21"/>
        <v>#N/A</v>
      </c>
    </row>
    <row r="184" spans="1:11">
      <c r="A184" s="26">
        <v>134</v>
      </c>
      <c r="B184" s="82" t="e">
        <f t="shared" si="22"/>
        <v>#N/A</v>
      </c>
      <c r="C184" s="58" t="e">
        <f t="shared" si="18"/>
        <v>#N/A</v>
      </c>
      <c r="D184" s="83" t="e">
        <f t="shared" si="23"/>
        <v>#N/A</v>
      </c>
      <c r="E184" t="e">
        <f t="shared" si="19"/>
        <v>#N/A</v>
      </c>
      <c r="G184">
        <v>134</v>
      </c>
      <c r="H184" s="13" t="e">
        <f t="shared" si="24"/>
        <v>#N/A</v>
      </c>
      <c r="I184" t="e">
        <f t="shared" si="25"/>
        <v>#N/A</v>
      </c>
      <c r="J184" t="e">
        <f t="shared" si="20"/>
        <v>#N/A</v>
      </c>
      <c r="K184" s="27" t="e">
        <f t="shared" si="21"/>
        <v>#N/A</v>
      </c>
    </row>
    <row r="185" spans="1:11">
      <c r="A185" s="26">
        <v>135</v>
      </c>
      <c r="B185" s="82" t="e">
        <f t="shared" si="22"/>
        <v>#N/A</v>
      </c>
      <c r="C185" s="58" t="e">
        <f t="shared" si="18"/>
        <v>#N/A</v>
      </c>
      <c r="D185" s="83" t="e">
        <f t="shared" si="23"/>
        <v>#N/A</v>
      </c>
      <c r="E185" t="e">
        <f t="shared" si="19"/>
        <v>#N/A</v>
      </c>
      <c r="G185">
        <v>135</v>
      </c>
      <c r="H185" s="13" t="e">
        <f t="shared" si="24"/>
        <v>#N/A</v>
      </c>
      <c r="I185" t="e">
        <f t="shared" si="25"/>
        <v>#N/A</v>
      </c>
      <c r="J185" t="e">
        <f t="shared" si="20"/>
        <v>#N/A</v>
      </c>
      <c r="K185" s="27" t="e">
        <f t="shared" si="21"/>
        <v>#N/A</v>
      </c>
    </row>
    <row r="186" spans="1:11">
      <c r="A186" s="26">
        <v>136</v>
      </c>
      <c r="B186" s="82" t="e">
        <f t="shared" si="22"/>
        <v>#N/A</v>
      </c>
      <c r="C186" s="58" t="e">
        <f t="shared" si="18"/>
        <v>#N/A</v>
      </c>
      <c r="D186" s="83" t="e">
        <f t="shared" si="23"/>
        <v>#N/A</v>
      </c>
      <c r="E186" t="e">
        <f t="shared" si="19"/>
        <v>#N/A</v>
      </c>
      <c r="G186">
        <v>136</v>
      </c>
      <c r="H186" s="13" t="e">
        <f t="shared" si="24"/>
        <v>#N/A</v>
      </c>
      <c r="I186" t="e">
        <f t="shared" si="25"/>
        <v>#N/A</v>
      </c>
      <c r="J186" t="e">
        <f t="shared" si="20"/>
        <v>#N/A</v>
      </c>
      <c r="K186" s="27" t="e">
        <f t="shared" si="21"/>
        <v>#N/A</v>
      </c>
    </row>
    <row r="187" spans="1:11">
      <c r="A187" s="26">
        <v>137</v>
      </c>
      <c r="B187" s="82" t="e">
        <f t="shared" si="22"/>
        <v>#N/A</v>
      </c>
      <c r="C187" s="58" t="e">
        <f t="shared" si="18"/>
        <v>#N/A</v>
      </c>
      <c r="D187" s="83" t="e">
        <f t="shared" si="23"/>
        <v>#N/A</v>
      </c>
      <c r="E187" t="e">
        <f t="shared" si="19"/>
        <v>#N/A</v>
      </c>
      <c r="G187">
        <v>137</v>
      </c>
      <c r="H187" s="13" t="e">
        <f t="shared" si="24"/>
        <v>#N/A</v>
      </c>
      <c r="I187" t="e">
        <f t="shared" si="25"/>
        <v>#N/A</v>
      </c>
      <c r="J187" t="e">
        <f t="shared" si="20"/>
        <v>#N/A</v>
      </c>
      <c r="K187" s="27" t="e">
        <f t="shared" si="21"/>
        <v>#N/A</v>
      </c>
    </row>
    <row r="188" spans="1:11">
      <c r="A188" s="26">
        <v>138</v>
      </c>
      <c r="B188" s="82" t="e">
        <f t="shared" si="22"/>
        <v>#N/A</v>
      </c>
      <c r="C188" s="58" t="e">
        <f t="shared" si="18"/>
        <v>#N/A</v>
      </c>
      <c r="D188" s="83" t="e">
        <f t="shared" si="23"/>
        <v>#N/A</v>
      </c>
      <c r="E188" t="e">
        <f t="shared" si="19"/>
        <v>#N/A</v>
      </c>
      <c r="G188">
        <v>138</v>
      </c>
      <c r="H188" s="13" t="e">
        <f t="shared" si="24"/>
        <v>#N/A</v>
      </c>
      <c r="I188" t="e">
        <f t="shared" si="25"/>
        <v>#N/A</v>
      </c>
      <c r="J188" t="e">
        <f t="shared" si="20"/>
        <v>#N/A</v>
      </c>
      <c r="K188" s="27" t="e">
        <f t="shared" si="21"/>
        <v>#N/A</v>
      </c>
    </row>
    <row r="189" spans="1:11">
      <c r="A189" s="26">
        <v>139</v>
      </c>
      <c r="B189" s="82" t="e">
        <f t="shared" si="22"/>
        <v>#N/A</v>
      </c>
      <c r="C189" s="58" t="e">
        <f t="shared" si="18"/>
        <v>#N/A</v>
      </c>
      <c r="D189" s="83" t="e">
        <f t="shared" si="23"/>
        <v>#N/A</v>
      </c>
      <c r="E189" t="e">
        <f t="shared" si="19"/>
        <v>#N/A</v>
      </c>
      <c r="G189">
        <v>139</v>
      </c>
      <c r="H189" s="13" t="e">
        <f t="shared" si="24"/>
        <v>#N/A</v>
      </c>
      <c r="I189" t="e">
        <f t="shared" si="25"/>
        <v>#N/A</v>
      </c>
      <c r="J189" t="e">
        <f t="shared" si="20"/>
        <v>#N/A</v>
      </c>
      <c r="K189" s="27" t="e">
        <f t="shared" si="21"/>
        <v>#N/A</v>
      </c>
    </row>
    <row r="190" spans="1:11">
      <c r="A190" s="26">
        <v>140</v>
      </c>
      <c r="B190" s="82" t="e">
        <f t="shared" si="22"/>
        <v>#N/A</v>
      </c>
      <c r="C190" s="58" t="e">
        <f t="shared" si="18"/>
        <v>#N/A</v>
      </c>
      <c r="D190" s="83" t="e">
        <f t="shared" si="23"/>
        <v>#N/A</v>
      </c>
      <c r="E190" t="e">
        <f t="shared" si="19"/>
        <v>#N/A</v>
      </c>
      <c r="G190">
        <v>140</v>
      </c>
      <c r="H190" s="13" t="e">
        <f t="shared" si="24"/>
        <v>#N/A</v>
      </c>
      <c r="I190" t="e">
        <f t="shared" si="25"/>
        <v>#N/A</v>
      </c>
      <c r="J190" t="e">
        <f t="shared" si="20"/>
        <v>#N/A</v>
      </c>
      <c r="K190" s="27" t="e">
        <f t="shared" si="21"/>
        <v>#N/A</v>
      </c>
    </row>
    <row r="191" spans="1:11">
      <c r="A191" s="26">
        <v>141</v>
      </c>
      <c r="B191" s="82" t="e">
        <f t="shared" si="22"/>
        <v>#N/A</v>
      </c>
      <c r="C191" s="58" t="e">
        <f t="shared" si="18"/>
        <v>#N/A</v>
      </c>
      <c r="D191" s="83" t="e">
        <f t="shared" si="23"/>
        <v>#N/A</v>
      </c>
      <c r="E191" t="e">
        <f t="shared" si="19"/>
        <v>#N/A</v>
      </c>
      <c r="G191">
        <v>141</v>
      </c>
      <c r="H191" s="13" t="e">
        <f t="shared" si="24"/>
        <v>#N/A</v>
      </c>
      <c r="I191" t="e">
        <f t="shared" si="25"/>
        <v>#N/A</v>
      </c>
      <c r="J191" t="e">
        <f t="shared" si="20"/>
        <v>#N/A</v>
      </c>
      <c r="K191" s="27" t="e">
        <f t="shared" si="21"/>
        <v>#N/A</v>
      </c>
    </row>
    <row r="192" spans="1:11">
      <c r="A192" s="26">
        <v>142</v>
      </c>
      <c r="B192" s="82" t="e">
        <f t="shared" si="22"/>
        <v>#N/A</v>
      </c>
      <c r="C192" s="58" t="e">
        <f t="shared" si="18"/>
        <v>#N/A</v>
      </c>
      <c r="D192" s="83" t="e">
        <f t="shared" si="23"/>
        <v>#N/A</v>
      </c>
      <c r="E192" t="e">
        <f t="shared" si="19"/>
        <v>#N/A</v>
      </c>
      <c r="G192">
        <v>142</v>
      </c>
      <c r="H192" s="13" t="e">
        <f t="shared" si="24"/>
        <v>#N/A</v>
      </c>
      <c r="I192" t="e">
        <f t="shared" si="25"/>
        <v>#N/A</v>
      </c>
      <c r="J192" t="e">
        <f t="shared" si="20"/>
        <v>#N/A</v>
      </c>
      <c r="K192" s="27" t="e">
        <f t="shared" si="21"/>
        <v>#N/A</v>
      </c>
    </row>
    <row r="193" spans="1:11">
      <c r="A193" s="26">
        <v>143</v>
      </c>
      <c r="B193" s="82" t="e">
        <f t="shared" si="22"/>
        <v>#N/A</v>
      </c>
      <c r="C193" s="58" t="e">
        <f t="shared" si="18"/>
        <v>#N/A</v>
      </c>
      <c r="D193" s="83" t="e">
        <f t="shared" si="23"/>
        <v>#N/A</v>
      </c>
      <c r="E193" t="e">
        <f t="shared" si="19"/>
        <v>#N/A</v>
      </c>
      <c r="G193">
        <v>143</v>
      </c>
      <c r="H193" s="13" t="e">
        <f t="shared" si="24"/>
        <v>#N/A</v>
      </c>
      <c r="I193" t="e">
        <f t="shared" si="25"/>
        <v>#N/A</v>
      </c>
      <c r="J193" t="e">
        <f t="shared" si="20"/>
        <v>#N/A</v>
      </c>
      <c r="K193" s="27" t="e">
        <f t="shared" si="21"/>
        <v>#N/A</v>
      </c>
    </row>
    <row r="194" spans="1:11">
      <c r="A194" s="26">
        <v>144</v>
      </c>
      <c r="B194" s="82" t="e">
        <f t="shared" si="22"/>
        <v>#N/A</v>
      </c>
      <c r="C194" s="58" t="e">
        <f t="shared" si="18"/>
        <v>#N/A</v>
      </c>
      <c r="D194" s="83" t="e">
        <f t="shared" si="23"/>
        <v>#N/A</v>
      </c>
      <c r="E194" t="e">
        <f t="shared" si="19"/>
        <v>#N/A</v>
      </c>
      <c r="G194">
        <v>144</v>
      </c>
      <c r="H194" s="13" t="e">
        <f t="shared" si="24"/>
        <v>#N/A</v>
      </c>
      <c r="I194" t="e">
        <f t="shared" si="25"/>
        <v>#N/A</v>
      </c>
      <c r="J194" t="e">
        <f t="shared" si="20"/>
        <v>#N/A</v>
      </c>
      <c r="K194" s="27" t="e">
        <f t="shared" si="21"/>
        <v>#N/A</v>
      </c>
    </row>
    <row r="195" spans="1:11">
      <c r="A195" s="26">
        <v>145</v>
      </c>
      <c r="B195" s="82" t="e">
        <f t="shared" si="22"/>
        <v>#N/A</v>
      </c>
      <c r="C195" s="58" t="e">
        <f t="shared" si="18"/>
        <v>#N/A</v>
      </c>
      <c r="D195" s="83" t="e">
        <f t="shared" si="23"/>
        <v>#N/A</v>
      </c>
      <c r="E195" t="e">
        <f t="shared" si="19"/>
        <v>#N/A</v>
      </c>
      <c r="G195">
        <v>145</v>
      </c>
      <c r="H195" s="13" t="e">
        <f t="shared" si="24"/>
        <v>#N/A</v>
      </c>
      <c r="I195" t="e">
        <f t="shared" si="25"/>
        <v>#N/A</v>
      </c>
      <c r="J195" t="e">
        <f t="shared" si="20"/>
        <v>#N/A</v>
      </c>
      <c r="K195" s="27" t="e">
        <f t="shared" si="21"/>
        <v>#N/A</v>
      </c>
    </row>
    <row r="196" spans="1:11">
      <c r="A196" s="26">
        <v>146</v>
      </c>
      <c r="B196" s="82" t="e">
        <f t="shared" si="22"/>
        <v>#N/A</v>
      </c>
      <c r="C196" s="58" t="e">
        <f t="shared" si="18"/>
        <v>#N/A</v>
      </c>
      <c r="D196" s="83" t="e">
        <f t="shared" si="23"/>
        <v>#N/A</v>
      </c>
      <c r="E196" t="e">
        <f t="shared" si="19"/>
        <v>#N/A</v>
      </c>
      <c r="G196">
        <v>146</v>
      </c>
      <c r="H196" s="13" t="e">
        <f t="shared" si="24"/>
        <v>#N/A</v>
      </c>
      <c r="I196" t="e">
        <f t="shared" si="25"/>
        <v>#N/A</v>
      </c>
      <c r="J196" t="e">
        <f t="shared" si="20"/>
        <v>#N/A</v>
      </c>
      <c r="K196" s="27" t="e">
        <f t="shared" si="21"/>
        <v>#N/A</v>
      </c>
    </row>
    <row r="197" spans="1:11">
      <c r="A197" s="26">
        <v>147</v>
      </c>
      <c r="B197" s="82" t="e">
        <f t="shared" si="22"/>
        <v>#N/A</v>
      </c>
      <c r="C197" s="58" t="e">
        <f t="shared" si="18"/>
        <v>#N/A</v>
      </c>
      <c r="D197" s="83" t="e">
        <f t="shared" si="23"/>
        <v>#N/A</v>
      </c>
      <c r="E197" t="e">
        <f t="shared" si="19"/>
        <v>#N/A</v>
      </c>
      <c r="G197">
        <v>147</v>
      </c>
      <c r="H197" s="13" t="e">
        <f t="shared" si="24"/>
        <v>#N/A</v>
      </c>
      <c r="I197" t="e">
        <f t="shared" si="25"/>
        <v>#N/A</v>
      </c>
      <c r="J197" t="e">
        <f t="shared" si="20"/>
        <v>#N/A</v>
      </c>
      <c r="K197" s="27" t="e">
        <f t="shared" si="21"/>
        <v>#N/A</v>
      </c>
    </row>
    <row r="198" spans="1:11">
      <c r="A198" s="26">
        <v>148</v>
      </c>
      <c r="B198" s="82" t="e">
        <f t="shared" si="22"/>
        <v>#N/A</v>
      </c>
      <c r="C198" s="58" t="e">
        <f t="shared" si="18"/>
        <v>#N/A</v>
      </c>
      <c r="D198" s="83" t="e">
        <f t="shared" si="23"/>
        <v>#N/A</v>
      </c>
      <c r="E198" t="e">
        <f t="shared" si="19"/>
        <v>#N/A</v>
      </c>
      <c r="G198">
        <v>148</v>
      </c>
      <c r="H198" s="13" t="e">
        <f t="shared" si="24"/>
        <v>#N/A</v>
      </c>
      <c r="I198" t="e">
        <f t="shared" si="25"/>
        <v>#N/A</v>
      </c>
      <c r="J198" t="e">
        <f t="shared" si="20"/>
        <v>#N/A</v>
      </c>
      <c r="K198" s="27" t="e">
        <f t="shared" si="21"/>
        <v>#N/A</v>
      </c>
    </row>
    <row r="199" spans="1:11">
      <c r="A199" s="26">
        <v>149</v>
      </c>
      <c r="B199" s="82" t="e">
        <f t="shared" si="22"/>
        <v>#N/A</v>
      </c>
      <c r="C199" s="58" t="e">
        <f t="shared" si="18"/>
        <v>#N/A</v>
      </c>
      <c r="D199" s="83" t="e">
        <f t="shared" si="23"/>
        <v>#N/A</v>
      </c>
      <c r="E199" t="e">
        <f t="shared" si="19"/>
        <v>#N/A</v>
      </c>
      <c r="G199">
        <v>149</v>
      </c>
      <c r="H199" s="13" t="e">
        <f t="shared" si="24"/>
        <v>#N/A</v>
      </c>
      <c r="I199" t="e">
        <f t="shared" si="25"/>
        <v>#N/A</v>
      </c>
      <c r="J199" t="e">
        <f t="shared" si="20"/>
        <v>#N/A</v>
      </c>
      <c r="K199" s="27" t="e">
        <f t="shared" si="21"/>
        <v>#N/A</v>
      </c>
    </row>
    <row r="200" spans="1:11">
      <c r="A200" s="26">
        <v>150</v>
      </c>
      <c r="B200" s="82" t="e">
        <f t="shared" si="22"/>
        <v>#N/A</v>
      </c>
      <c r="C200" s="58" t="e">
        <f t="shared" si="18"/>
        <v>#N/A</v>
      </c>
      <c r="D200" s="83" t="e">
        <f t="shared" si="23"/>
        <v>#N/A</v>
      </c>
      <c r="E200" t="e">
        <f t="shared" si="19"/>
        <v>#N/A</v>
      </c>
      <c r="G200">
        <v>150</v>
      </c>
      <c r="H200" s="13" t="e">
        <f t="shared" si="24"/>
        <v>#N/A</v>
      </c>
      <c r="I200" t="e">
        <f t="shared" si="25"/>
        <v>#N/A</v>
      </c>
      <c r="J200" t="e">
        <f t="shared" si="20"/>
        <v>#N/A</v>
      </c>
      <c r="K200" s="27" t="e">
        <f t="shared" si="21"/>
        <v>#N/A</v>
      </c>
    </row>
    <row r="201" spans="1:11">
      <c r="A201" s="26">
        <v>151</v>
      </c>
      <c r="B201" s="82" t="e">
        <f t="shared" si="22"/>
        <v>#N/A</v>
      </c>
      <c r="C201" s="58" t="e">
        <f t="shared" si="18"/>
        <v>#N/A</v>
      </c>
      <c r="D201" s="83" t="e">
        <f t="shared" si="23"/>
        <v>#N/A</v>
      </c>
      <c r="E201" t="e">
        <f t="shared" si="19"/>
        <v>#N/A</v>
      </c>
      <c r="G201">
        <v>151</v>
      </c>
      <c r="H201" s="13" t="e">
        <f t="shared" si="24"/>
        <v>#N/A</v>
      </c>
      <c r="I201" t="e">
        <f t="shared" si="25"/>
        <v>#N/A</v>
      </c>
      <c r="J201" t="e">
        <f t="shared" si="20"/>
        <v>#N/A</v>
      </c>
      <c r="K201" s="27" t="e">
        <f t="shared" si="21"/>
        <v>#N/A</v>
      </c>
    </row>
    <row r="202" spans="1:11">
      <c r="A202" s="26">
        <v>152</v>
      </c>
      <c r="B202" s="82" t="e">
        <f t="shared" si="22"/>
        <v>#N/A</v>
      </c>
      <c r="C202" s="58" t="e">
        <f t="shared" si="18"/>
        <v>#N/A</v>
      </c>
      <c r="D202" s="83" t="e">
        <f t="shared" si="23"/>
        <v>#N/A</v>
      </c>
      <c r="E202" t="e">
        <f t="shared" si="19"/>
        <v>#N/A</v>
      </c>
      <c r="G202">
        <v>152</v>
      </c>
      <c r="H202" s="13" t="e">
        <f t="shared" si="24"/>
        <v>#N/A</v>
      </c>
      <c r="I202" t="e">
        <f t="shared" si="25"/>
        <v>#N/A</v>
      </c>
      <c r="J202" t="e">
        <f t="shared" si="20"/>
        <v>#N/A</v>
      </c>
      <c r="K202" s="27" t="e">
        <f t="shared" si="21"/>
        <v>#N/A</v>
      </c>
    </row>
    <row r="203" spans="1:11">
      <c r="A203" s="26">
        <v>153</v>
      </c>
      <c r="B203" s="82" t="e">
        <f t="shared" si="22"/>
        <v>#N/A</v>
      </c>
      <c r="C203" s="58" t="e">
        <f t="shared" si="18"/>
        <v>#N/A</v>
      </c>
      <c r="D203" s="83" t="e">
        <f t="shared" si="23"/>
        <v>#N/A</v>
      </c>
      <c r="E203" t="e">
        <f t="shared" si="19"/>
        <v>#N/A</v>
      </c>
      <c r="G203">
        <v>153</v>
      </c>
      <c r="H203" s="13" t="e">
        <f t="shared" si="24"/>
        <v>#N/A</v>
      </c>
      <c r="I203" t="e">
        <f t="shared" si="25"/>
        <v>#N/A</v>
      </c>
      <c r="J203" t="e">
        <f t="shared" si="20"/>
        <v>#N/A</v>
      </c>
      <c r="K203" s="27" t="e">
        <f t="shared" si="21"/>
        <v>#N/A</v>
      </c>
    </row>
    <row r="204" spans="1:11">
      <c r="A204" s="26">
        <v>154</v>
      </c>
      <c r="B204" s="82" t="e">
        <f t="shared" si="22"/>
        <v>#N/A</v>
      </c>
      <c r="C204" s="58" t="e">
        <f t="shared" si="18"/>
        <v>#N/A</v>
      </c>
      <c r="D204" s="83" t="e">
        <f t="shared" si="23"/>
        <v>#N/A</v>
      </c>
      <c r="E204" t="e">
        <f t="shared" si="19"/>
        <v>#N/A</v>
      </c>
      <c r="G204">
        <v>154</v>
      </c>
      <c r="H204" s="13" t="e">
        <f t="shared" si="24"/>
        <v>#N/A</v>
      </c>
      <c r="I204" t="e">
        <f t="shared" si="25"/>
        <v>#N/A</v>
      </c>
      <c r="J204" t="e">
        <f t="shared" si="20"/>
        <v>#N/A</v>
      </c>
      <c r="K204" s="27" t="e">
        <f t="shared" si="21"/>
        <v>#N/A</v>
      </c>
    </row>
    <row r="205" spans="1:11">
      <c r="A205" s="26">
        <v>155</v>
      </c>
      <c r="B205" s="82" t="e">
        <f t="shared" si="22"/>
        <v>#N/A</v>
      </c>
      <c r="C205" s="58" t="e">
        <f t="shared" si="18"/>
        <v>#N/A</v>
      </c>
      <c r="D205" s="83" t="e">
        <f t="shared" si="23"/>
        <v>#N/A</v>
      </c>
      <c r="E205" t="e">
        <f t="shared" si="19"/>
        <v>#N/A</v>
      </c>
      <c r="G205">
        <v>155</v>
      </c>
      <c r="H205" s="13" t="e">
        <f t="shared" si="24"/>
        <v>#N/A</v>
      </c>
      <c r="I205" t="e">
        <f t="shared" si="25"/>
        <v>#N/A</v>
      </c>
      <c r="J205" t="e">
        <f t="shared" si="20"/>
        <v>#N/A</v>
      </c>
      <c r="K205" s="27" t="e">
        <f t="shared" si="21"/>
        <v>#N/A</v>
      </c>
    </row>
    <row r="206" spans="1:11">
      <c r="A206" s="26">
        <v>156</v>
      </c>
      <c r="B206" s="82" t="e">
        <f t="shared" si="22"/>
        <v>#N/A</v>
      </c>
      <c r="C206" s="58" t="e">
        <f t="shared" si="18"/>
        <v>#N/A</v>
      </c>
      <c r="D206" s="83" t="e">
        <f t="shared" si="23"/>
        <v>#N/A</v>
      </c>
      <c r="E206" t="e">
        <f t="shared" si="19"/>
        <v>#N/A</v>
      </c>
      <c r="G206">
        <v>156</v>
      </c>
      <c r="H206" s="13" t="e">
        <f t="shared" si="24"/>
        <v>#N/A</v>
      </c>
      <c r="I206" t="e">
        <f t="shared" si="25"/>
        <v>#N/A</v>
      </c>
      <c r="J206" t="e">
        <f t="shared" si="20"/>
        <v>#N/A</v>
      </c>
      <c r="K206" s="27" t="e">
        <f t="shared" si="21"/>
        <v>#N/A</v>
      </c>
    </row>
    <row r="207" spans="1:11">
      <c r="A207" s="26">
        <v>157</v>
      </c>
      <c r="B207" s="82" t="e">
        <f t="shared" si="22"/>
        <v>#N/A</v>
      </c>
      <c r="C207" s="58" t="e">
        <f t="shared" si="18"/>
        <v>#N/A</v>
      </c>
      <c r="D207" s="83" t="e">
        <f t="shared" si="23"/>
        <v>#N/A</v>
      </c>
      <c r="E207" t="e">
        <f t="shared" si="19"/>
        <v>#N/A</v>
      </c>
      <c r="G207">
        <v>157</v>
      </c>
      <c r="H207" s="13" t="e">
        <f t="shared" si="24"/>
        <v>#N/A</v>
      </c>
      <c r="I207" t="e">
        <f t="shared" si="25"/>
        <v>#N/A</v>
      </c>
      <c r="J207" t="e">
        <f t="shared" si="20"/>
        <v>#N/A</v>
      </c>
      <c r="K207" s="27" t="e">
        <f t="shared" si="21"/>
        <v>#N/A</v>
      </c>
    </row>
    <row r="208" spans="1:11">
      <c r="A208" s="26">
        <v>158</v>
      </c>
      <c r="B208" s="82" t="e">
        <f t="shared" si="22"/>
        <v>#N/A</v>
      </c>
      <c r="C208" s="58" t="e">
        <f t="shared" ref="C208:C271" si="26">($C$37-$C$36)/2000+C207</f>
        <v>#N/A</v>
      </c>
      <c r="D208" s="83" t="e">
        <f t="shared" si="23"/>
        <v>#N/A</v>
      </c>
      <c r="E208" t="e">
        <f t="shared" si="19"/>
        <v>#N/A</v>
      </c>
      <c r="G208">
        <v>158</v>
      </c>
      <c r="H208" s="13" t="e">
        <f t="shared" si="24"/>
        <v>#N/A</v>
      </c>
      <c r="I208" t="e">
        <f t="shared" si="25"/>
        <v>#N/A</v>
      </c>
      <c r="J208" t="e">
        <f t="shared" si="20"/>
        <v>#N/A</v>
      </c>
      <c r="K208" s="27" t="e">
        <f t="shared" si="21"/>
        <v>#N/A</v>
      </c>
    </row>
    <row r="209" spans="1:11">
      <c r="A209" s="26">
        <v>159</v>
      </c>
      <c r="B209" s="82" t="e">
        <f t="shared" si="22"/>
        <v>#N/A</v>
      </c>
      <c r="C209" s="58" t="e">
        <f t="shared" si="26"/>
        <v>#N/A</v>
      </c>
      <c r="D209" s="83" t="e">
        <f t="shared" si="23"/>
        <v>#N/A</v>
      </c>
      <c r="E209" t="e">
        <f t="shared" si="19"/>
        <v>#N/A</v>
      </c>
      <c r="G209">
        <v>159</v>
      </c>
      <c r="H209" s="13" t="e">
        <f t="shared" si="24"/>
        <v>#N/A</v>
      </c>
      <c r="I209" t="e">
        <f t="shared" si="25"/>
        <v>#N/A</v>
      </c>
      <c r="J209" t="e">
        <f t="shared" si="20"/>
        <v>#N/A</v>
      </c>
      <c r="K209" s="27" t="e">
        <f t="shared" si="21"/>
        <v>#N/A</v>
      </c>
    </row>
    <row r="210" spans="1:11">
      <c r="A210" s="26">
        <v>160</v>
      </c>
      <c r="B210" s="82" t="e">
        <f t="shared" si="22"/>
        <v>#N/A</v>
      </c>
      <c r="C210" s="58" t="e">
        <f t="shared" si="26"/>
        <v>#N/A</v>
      </c>
      <c r="D210" s="83" t="e">
        <f t="shared" si="23"/>
        <v>#N/A</v>
      </c>
      <c r="E210" t="e">
        <f t="shared" si="19"/>
        <v>#N/A</v>
      </c>
      <c r="G210">
        <v>160</v>
      </c>
      <c r="H210" s="13" t="e">
        <f t="shared" si="24"/>
        <v>#N/A</v>
      </c>
      <c r="I210" t="e">
        <f t="shared" si="25"/>
        <v>#N/A</v>
      </c>
      <c r="J210" t="e">
        <f t="shared" si="20"/>
        <v>#N/A</v>
      </c>
      <c r="K210" s="27" t="e">
        <f t="shared" si="21"/>
        <v>#N/A</v>
      </c>
    </row>
    <row r="211" spans="1:11">
      <c r="A211" s="26">
        <v>161</v>
      </c>
      <c r="B211" s="82" t="e">
        <f t="shared" si="22"/>
        <v>#N/A</v>
      </c>
      <c r="C211" s="58" t="e">
        <f t="shared" si="26"/>
        <v>#N/A</v>
      </c>
      <c r="D211" s="83" t="e">
        <f t="shared" si="23"/>
        <v>#N/A</v>
      </c>
      <c r="E211" t="e">
        <f t="shared" si="19"/>
        <v>#N/A</v>
      </c>
      <c r="G211">
        <v>161</v>
      </c>
      <c r="H211" s="13" t="e">
        <f t="shared" si="24"/>
        <v>#N/A</v>
      </c>
      <c r="I211" t="e">
        <f t="shared" si="25"/>
        <v>#N/A</v>
      </c>
      <c r="J211" t="e">
        <f t="shared" si="20"/>
        <v>#N/A</v>
      </c>
      <c r="K211" s="27" t="e">
        <f t="shared" si="21"/>
        <v>#N/A</v>
      </c>
    </row>
    <row r="212" spans="1:11">
      <c r="A212" s="26">
        <v>162</v>
      </c>
      <c r="B212" s="82" t="e">
        <f t="shared" si="22"/>
        <v>#N/A</v>
      </c>
      <c r="C212" s="58" t="e">
        <f t="shared" si="26"/>
        <v>#N/A</v>
      </c>
      <c r="D212" s="83" t="e">
        <f t="shared" si="23"/>
        <v>#N/A</v>
      </c>
      <c r="E212" t="e">
        <f t="shared" si="19"/>
        <v>#N/A</v>
      </c>
      <c r="G212">
        <v>162</v>
      </c>
      <c r="H212" s="13" t="e">
        <f t="shared" si="24"/>
        <v>#N/A</v>
      </c>
      <c r="I212" t="e">
        <f t="shared" si="25"/>
        <v>#N/A</v>
      </c>
      <c r="J212" t="e">
        <f t="shared" si="20"/>
        <v>#N/A</v>
      </c>
      <c r="K212" s="27" t="e">
        <f t="shared" si="21"/>
        <v>#N/A</v>
      </c>
    </row>
    <row r="213" spans="1:11">
      <c r="A213" s="26">
        <v>163</v>
      </c>
      <c r="B213" s="82" t="e">
        <f t="shared" si="22"/>
        <v>#N/A</v>
      </c>
      <c r="C213" s="58" t="e">
        <f t="shared" si="26"/>
        <v>#N/A</v>
      </c>
      <c r="D213" s="83" t="e">
        <f t="shared" si="23"/>
        <v>#N/A</v>
      </c>
      <c r="E213" t="e">
        <f t="shared" si="19"/>
        <v>#N/A</v>
      </c>
      <c r="G213">
        <v>163</v>
      </c>
      <c r="H213" s="13" t="e">
        <f t="shared" si="24"/>
        <v>#N/A</v>
      </c>
      <c r="I213" t="e">
        <f t="shared" si="25"/>
        <v>#N/A</v>
      </c>
      <c r="J213" t="e">
        <f t="shared" si="20"/>
        <v>#N/A</v>
      </c>
      <c r="K213" s="27" t="e">
        <f t="shared" si="21"/>
        <v>#N/A</v>
      </c>
    </row>
    <row r="214" spans="1:11">
      <c r="A214" s="26">
        <v>164</v>
      </c>
      <c r="B214" s="82" t="e">
        <f t="shared" si="22"/>
        <v>#N/A</v>
      </c>
      <c r="C214" s="58" t="e">
        <f t="shared" si="26"/>
        <v>#N/A</v>
      </c>
      <c r="D214" s="83" t="e">
        <f t="shared" si="23"/>
        <v>#N/A</v>
      </c>
      <c r="E214" t="e">
        <f t="shared" si="19"/>
        <v>#N/A</v>
      </c>
      <c r="G214">
        <v>164</v>
      </c>
      <c r="H214" s="13" t="e">
        <f t="shared" si="24"/>
        <v>#N/A</v>
      </c>
      <c r="I214" t="e">
        <f t="shared" si="25"/>
        <v>#N/A</v>
      </c>
      <c r="J214" t="e">
        <f t="shared" si="20"/>
        <v>#N/A</v>
      </c>
      <c r="K214" s="27" t="e">
        <f t="shared" si="21"/>
        <v>#N/A</v>
      </c>
    </row>
    <row r="215" spans="1:11">
      <c r="A215" s="26">
        <v>165</v>
      </c>
      <c r="B215" s="82" t="e">
        <f t="shared" si="22"/>
        <v>#N/A</v>
      </c>
      <c r="C215" s="58" t="e">
        <f t="shared" si="26"/>
        <v>#N/A</v>
      </c>
      <c r="D215" s="83" t="e">
        <f t="shared" si="23"/>
        <v>#N/A</v>
      </c>
      <c r="E215" t="e">
        <f t="shared" si="19"/>
        <v>#N/A</v>
      </c>
      <c r="G215">
        <v>165</v>
      </c>
      <c r="H215" s="13" t="e">
        <f t="shared" si="24"/>
        <v>#N/A</v>
      </c>
      <c r="I215" t="e">
        <f t="shared" si="25"/>
        <v>#N/A</v>
      </c>
      <c r="J215" t="e">
        <f t="shared" si="20"/>
        <v>#N/A</v>
      </c>
      <c r="K215" s="27" t="e">
        <f t="shared" si="21"/>
        <v>#N/A</v>
      </c>
    </row>
    <row r="216" spans="1:11">
      <c r="A216" s="26">
        <v>166</v>
      </c>
      <c r="B216" s="82" t="e">
        <f t="shared" si="22"/>
        <v>#N/A</v>
      </c>
      <c r="C216" s="58" t="e">
        <f t="shared" si="26"/>
        <v>#N/A</v>
      </c>
      <c r="D216" s="83" t="e">
        <f t="shared" si="23"/>
        <v>#N/A</v>
      </c>
      <c r="E216" t="e">
        <f t="shared" si="19"/>
        <v>#N/A</v>
      </c>
      <c r="G216">
        <v>166</v>
      </c>
      <c r="H216" s="13" t="e">
        <f t="shared" si="24"/>
        <v>#N/A</v>
      </c>
      <c r="I216" t="e">
        <f t="shared" si="25"/>
        <v>#N/A</v>
      </c>
      <c r="J216" t="e">
        <f t="shared" si="20"/>
        <v>#N/A</v>
      </c>
      <c r="K216" s="27" t="e">
        <f t="shared" si="21"/>
        <v>#N/A</v>
      </c>
    </row>
    <row r="217" spans="1:11">
      <c r="A217" s="26">
        <v>167</v>
      </c>
      <c r="B217" s="82" t="e">
        <f t="shared" si="22"/>
        <v>#N/A</v>
      </c>
      <c r="C217" s="58" t="e">
        <f t="shared" si="26"/>
        <v>#N/A</v>
      </c>
      <c r="D217" s="83" t="e">
        <f t="shared" si="23"/>
        <v>#N/A</v>
      </c>
      <c r="E217" t="e">
        <f t="shared" si="19"/>
        <v>#N/A</v>
      </c>
      <c r="G217">
        <v>167</v>
      </c>
      <c r="H217" s="13" t="e">
        <f t="shared" si="24"/>
        <v>#N/A</v>
      </c>
      <c r="I217" t="e">
        <f t="shared" si="25"/>
        <v>#N/A</v>
      </c>
      <c r="J217" t="e">
        <f t="shared" si="20"/>
        <v>#N/A</v>
      </c>
      <c r="K217" s="27" t="e">
        <f t="shared" si="21"/>
        <v>#N/A</v>
      </c>
    </row>
    <row r="218" spans="1:11">
      <c r="A218" s="26">
        <v>168</v>
      </c>
      <c r="B218" s="82" t="e">
        <f t="shared" si="22"/>
        <v>#N/A</v>
      </c>
      <c r="C218" s="58" t="e">
        <f t="shared" si="26"/>
        <v>#N/A</v>
      </c>
      <c r="D218" s="83" t="e">
        <f t="shared" si="23"/>
        <v>#N/A</v>
      </c>
      <c r="E218" t="e">
        <f t="shared" si="19"/>
        <v>#N/A</v>
      </c>
      <c r="G218">
        <v>168</v>
      </c>
      <c r="H218" s="13" t="e">
        <f t="shared" si="24"/>
        <v>#N/A</v>
      </c>
      <c r="I218" t="e">
        <f t="shared" si="25"/>
        <v>#N/A</v>
      </c>
      <c r="J218" t="e">
        <f t="shared" si="20"/>
        <v>#N/A</v>
      </c>
      <c r="K218" s="27" t="e">
        <f t="shared" si="21"/>
        <v>#N/A</v>
      </c>
    </row>
    <row r="219" spans="1:11">
      <c r="A219" s="26">
        <v>169</v>
      </c>
      <c r="B219" s="82" t="e">
        <f t="shared" si="22"/>
        <v>#N/A</v>
      </c>
      <c r="C219" s="58" t="e">
        <f t="shared" si="26"/>
        <v>#N/A</v>
      </c>
      <c r="D219" s="83" t="e">
        <f t="shared" si="23"/>
        <v>#N/A</v>
      </c>
      <c r="E219" t="e">
        <f t="shared" si="19"/>
        <v>#N/A</v>
      </c>
      <c r="G219">
        <v>169</v>
      </c>
      <c r="H219" s="13" t="e">
        <f t="shared" si="24"/>
        <v>#N/A</v>
      </c>
      <c r="I219" t="e">
        <f t="shared" si="25"/>
        <v>#N/A</v>
      </c>
      <c r="J219" t="e">
        <f t="shared" si="20"/>
        <v>#N/A</v>
      </c>
      <c r="K219" s="27" t="e">
        <f t="shared" si="21"/>
        <v>#N/A</v>
      </c>
    </row>
    <row r="220" spans="1:11">
      <c r="A220" s="26">
        <v>170</v>
      </c>
      <c r="B220" s="82" t="e">
        <f t="shared" si="22"/>
        <v>#N/A</v>
      </c>
      <c r="C220" s="58" t="e">
        <f t="shared" si="26"/>
        <v>#N/A</v>
      </c>
      <c r="D220" s="83" t="e">
        <f t="shared" si="23"/>
        <v>#N/A</v>
      </c>
      <c r="E220" t="e">
        <f t="shared" si="19"/>
        <v>#N/A</v>
      </c>
      <c r="G220">
        <v>170</v>
      </c>
      <c r="H220" s="13" t="e">
        <f t="shared" si="24"/>
        <v>#N/A</v>
      </c>
      <c r="I220" t="e">
        <f t="shared" si="25"/>
        <v>#N/A</v>
      </c>
      <c r="J220" t="e">
        <f t="shared" si="20"/>
        <v>#N/A</v>
      </c>
      <c r="K220" s="27" t="e">
        <f t="shared" si="21"/>
        <v>#N/A</v>
      </c>
    </row>
    <row r="221" spans="1:11">
      <c r="A221" s="26">
        <v>171</v>
      </c>
      <c r="B221" s="82" t="e">
        <f t="shared" si="22"/>
        <v>#N/A</v>
      </c>
      <c r="C221" s="58" t="e">
        <f t="shared" si="26"/>
        <v>#N/A</v>
      </c>
      <c r="D221" s="83" t="e">
        <f t="shared" si="23"/>
        <v>#N/A</v>
      </c>
      <c r="E221" t="e">
        <f t="shared" si="19"/>
        <v>#N/A</v>
      </c>
      <c r="G221">
        <v>171</v>
      </c>
      <c r="H221" s="13" t="e">
        <f t="shared" si="24"/>
        <v>#N/A</v>
      </c>
      <c r="I221" t="e">
        <f t="shared" si="25"/>
        <v>#N/A</v>
      </c>
      <c r="J221" t="e">
        <f t="shared" si="20"/>
        <v>#N/A</v>
      </c>
      <c r="K221" s="27" t="e">
        <f t="shared" si="21"/>
        <v>#N/A</v>
      </c>
    </row>
    <row r="222" spans="1:11">
      <c r="A222" s="26">
        <v>172</v>
      </c>
      <c r="B222" s="82" t="e">
        <f t="shared" si="22"/>
        <v>#N/A</v>
      </c>
      <c r="C222" s="58" t="e">
        <f t="shared" si="26"/>
        <v>#N/A</v>
      </c>
      <c r="D222" s="83" t="e">
        <f t="shared" si="23"/>
        <v>#N/A</v>
      </c>
      <c r="E222" t="e">
        <f t="shared" si="19"/>
        <v>#N/A</v>
      </c>
      <c r="G222">
        <v>172</v>
      </c>
      <c r="H222" s="13" t="e">
        <f t="shared" si="24"/>
        <v>#N/A</v>
      </c>
      <c r="I222" t="e">
        <f t="shared" si="25"/>
        <v>#N/A</v>
      </c>
      <c r="J222" t="e">
        <f t="shared" si="20"/>
        <v>#N/A</v>
      </c>
      <c r="K222" s="27" t="e">
        <f t="shared" si="21"/>
        <v>#N/A</v>
      </c>
    </row>
    <row r="223" spans="1:11">
      <c r="A223" s="26">
        <v>173</v>
      </c>
      <c r="B223" s="82" t="e">
        <f t="shared" si="22"/>
        <v>#N/A</v>
      </c>
      <c r="C223" s="58" t="e">
        <f t="shared" si="26"/>
        <v>#N/A</v>
      </c>
      <c r="D223" s="83" t="e">
        <f t="shared" si="23"/>
        <v>#N/A</v>
      </c>
      <c r="E223" t="e">
        <f t="shared" si="19"/>
        <v>#N/A</v>
      </c>
      <c r="G223">
        <v>173</v>
      </c>
      <c r="H223" s="13" t="e">
        <f t="shared" si="24"/>
        <v>#N/A</v>
      </c>
      <c r="I223" t="e">
        <f t="shared" si="25"/>
        <v>#N/A</v>
      </c>
      <c r="J223" t="e">
        <f t="shared" si="20"/>
        <v>#N/A</v>
      </c>
      <c r="K223" s="27" t="e">
        <f t="shared" si="21"/>
        <v>#N/A</v>
      </c>
    </row>
    <row r="224" spans="1:11">
      <c r="A224" s="26">
        <v>174</v>
      </c>
      <c r="B224" s="82" t="e">
        <f t="shared" si="22"/>
        <v>#N/A</v>
      </c>
      <c r="C224" s="58" t="e">
        <f t="shared" si="26"/>
        <v>#N/A</v>
      </c>
      <c r="D224" s="83" t="e">
        <f t="shared" si="23"/>
        <v>#N/A</v>
      </c>
      <c r="E224" t="e">
        <f t="shared" si="19"/>
        <v>#N/A</v>
      </c>
      <c r="G224">
        <v>174</v>
      </c>
      <c r="H224" s="13" t="e">
        <f t="shared" si="24"/>
        <v>#N/A</v>
      </c>
      <c r="I224" t="e">
        <f t="shared" si="25"/>
        <v>#N/A</v>
      </c>
      <c r="J224" t="e">
        <f t="shared" si="20"/>
        <v>#N/A</v>
      </c>
      <c r="K224" s="27" t="e">
        <f t="shared" si="21"/>
        <v>#N/A</v>
      </c>
    </row>
    <row r="225" spans="1:11">
      <c r="A225" s="26">
        <v>175</v>
      </c>
      <c r="B225" s="82" t="e">
        <f t="shared" si="22"/>
        <v>#N/A</v>
      </c>
      <c r="C225" s="58" t="e">
        <f t="shared" si="26"/>
        <v>#N/A</v>
      </c>
      <c r="D225" s="83" t="e">
        <f t="shared" si="23"/>
        <v>#N/A</v>
      </c>
      <c r="E225" t="e">
        <f t="shared" si="19"/>
        <v>#N/A</v>
      </c>
      <c r="G225">
        <v>175</v>
      </c>
      <c r="H225" s="13" t="e">
        <f t="shared" si="24"/>
        <v>#N/A</v>
      </c>
      <c r="I225" t="e">
        <f t="shared" si="25"/>
        <v>#N/A</v>
      </c>
      <c r="J225" t="e">
        <f t="shared" si="20"/>
        <v>#N/A</v>
      </c>
      <c r="K225" s="27" t="e">
        <f t="shared" si="21"/>
        <v>#N/A</v>
      </c>
    </row>
    <row r="226" spans="1:11">
      <c r="A226" s="26">
        <v>176</v>
      </c>
      <c r="B226" s="82" t="e">
        <f t="shared" si="22"/>
        <v>#N/A</v>
      </c>
      <c r="C226" s="58" t="e">
        <f t="shared" si="26"/>
        <v>#N/A</v>
      </c>
      <c r="D226" s="83" t="e">
        <f t="shared" si="23"/>
        <v>#N/A</v>
      </c>
      <c r="E226" t="e">
        <f t="shared" si="19"/>
        <v>#N/A</v>
      </c>
      <c r="G226">
        <v>176</v>
      </c>
      <c r="H226" s="13" t="e">
        <f t="shared" si="24"/>
        <v>#N/A</v>
      </c>
      <c r="I226" t="e">
        <f t="shared" si="25"/>
        <v>#N/A</v>
      </c>
      <c r="J226" t="e">
        <f t="shared" si="20"/>
        <v>#N/A</v>
      </c>
      <c r="K226" s="27" t="e">
        <f t="shared" si="21"/>
        <v>#N/A</v>
      </c>
    </row>
    <row r="227" spans="1:11">
      <c r="A227" s="26">
        <v>177</v>
      </c>
      <c r="B227" s="82" t="e">
        <f t="shared" si="22"/>
        <v>#N/A</v>
      </c>
      <c r="C227" s="58" t="e">
        <f t="shared" si="26"/>
        <v>#N/A</v>
      </c>
      <c r="D227" s="83" t="e">
        <f t="shared" si="23"/>
        <v>#N/A</v>
      </c>
      <c r="E227" t="e">
        <f t="shared" si="19"/>
        <v>#N/A</v>
      </c>
      <c r="G227">
        <v>177</v>
      </c>
      <c r="H227" s="13" t="e">
        <f t="shared" si="24"/>
        <v>#N/A</v>
      </c>
      <c r="I227" t="e">
        <f t="shared" si="25"/>
        <v>#N/A</v>
      </c>
      <c r="J227" t="e">
        <f t="shared" si="20"/>
        <v>#N/A</v>
      </c>
      <c r="K227" s="27" t="e">
        <f t="shared" si="21"/>
        <v>#N/A</v>
      </c>
    </row>
    <row r="228" spans="1:11">
      <c r="A228" s="26">
        <v>178</v>
      </c>
      <c r="B228" s="82" t="e">
        <f t="shared" si="22"/>
        <v>#N/A</v>
      </c>
      <c r="C228" s="58" t="e">
        <f t="shared" si="26"/>
        <v>#N/A</v>
      </c>
      <c r="D228" s="83" t="e">
        <f t="shared" si="23"/>
        <v>#N/A</v>
      </c>
      <c r="E228" t="e">
        <f t="shared" si="19"/>
        <v>#N/A</v>
      </c>
      <c r="G228">
        <v>178</v>
      </c>
      <c r="H228" s="13" t="e">
        <f t="shared" si="24"/>
        <v>#N/A</v>
      </c>
      <c r="I228" t="e">
        <f t="shared" si="25"/>
        <v>#N/A</v>
      </c>
      <c r="J228" t="e">
        <f t="shared" si="20"/>
        <v>#N/A</v>
      </c>
      <c r="K228" s="27" t="e">
        <f t="shared" si="21"/>
        <v>#N/A</v>
      </c>
    </row>
    <row r="229" spans="1:11">
      <c r="A229" s="26">
        <v>179</v>
      </c>
      <c r="B229" s="82" t="e">
        <f t="shared" si="22"/>
        <v>#N/A</v>
      </c>
      <c r="C229" s="58" t="e">
        <f t="shared" si="26"/>
        <v>#N/A</v>
      </c>
      <c r="D229" s="83" t="e">
        <f t="shared" si="23"/>
        <v>#N/A</v>
      </c>
      <c r="E229" t="e">
        <f t="shared" si="19"/>
        <v>#N/A</v>
      </c>
      <c r="G229">
        <v>179</v>
      </c>
      <c r="H229" s="13" t="e">
        <f t="shared" si="24"/>
        <v>#N/A</v>
      </c>
      <c r="I229" t="e">
        <f t="shared" si="25"/>
        <v>#N/A</v>
      </c>
      <c r="J229" t="e">
        <f t="shared" si="20"/>
        <v>#N/A</v>
      </c>
      <c r="K229" s="27" t="e">
        <f t="shared" si="21"/>
        <v>#N/A</v>
      </c>
    </row>
    <row r="230" spans="1:11">
      <c r="A230" s="26">
        <v>180</v>
      </c>
      <c r="B230" s="82" t="e">
        <f t="shared" si="22"/>
        <v>#N/A</v>
      </c>
      <c r="C230" s="58" t="e">
        <f t="shared" si="26"/>
        <v>#N/A</v>
      </c>
      <c r="D230" s="83" t="e">
        <f t="shared" si="23"/>
        <v>#N/A</v>
      </c>
      <c r="E230" t="e">
        <f t="shared" si="19"/>
        <v>#N/A</v>
      </c>
      <c r="G230">
        <v>180</v>
      </c>
      <c r="H230" s="13" t="e">
        <f t="shared" si="24"/>
        <v>#N/A</v>
      </c>
      <c r="I230" t="e">
        <f t="shared" si="25"/>
        <v>#N/A</v>
      </c>
      <c r="J230" t="e">
        <f t="shared" si="20"/>
        <v>#N/A</v>
      </c>
      <c r="K230" s="27" t="e">
        <f t="shared" si="21"/>
        <v>#N/A</v>
      </c>
    </row>
    <row r="231" spans="1:11">
      <c r="A231" s="26">
        <v>181</v>
      </c>
      <c r="B231" s="82" t="e">
        <f t="shared" si="22"/>
        <v>#N/A</v>
      </c>
      <c r="C231" s="58" t="e">
        <f t="shared" si="26"/>
        <v>#N/A</v>
      </c>
      <c r="D231" s="83" t="e">
        <f t="shared" si="23"/>
        <v>#N/A</v>
      </c>
      <c r="E231" t="e">
        <f t="shared" si="19"/>
        <v>#N/A</v>
      </c>
      <c r="G231">
        <v>181</v>
      </c>
      <c r="H231" s="13" t="e">
        <f t="shared" si="24"/>
        <v>#N/A</v>
      </c>
      <c r="I231" t="e">
        <f t="shared" si="25"/>
        <v>#N/A</v>
      </c>
      <c r="J231" t="e">
        <f t="shared" si="20"/>
        <v>#N/A</v>
      </c>
      <c r="K231" s="27" t="e">
        <f t="shared" si="21"/>
        <v>#N/A</v>
      </c>
    </row>
    <row r="232" spans="1:11">
      <c r="A232" s="26">
        <v>182</v>
      </c>
      <c r="B232" s="82" t="e">
        <f t="shared" si="22"/>
        <v>#N/A</v>
      </c>
      <c r="C232" s="58" t="e">
        <f t="shared" si="26"/>
        <v>#N/A</v>
      </c>
      <c r="D232" s="83" t="e">
        <f t="shared" si="23"/>
        <v>#N/A</v>
      </c>
      <c r="E232" t="e">
        <f t="shared" si="19"/>
        <v>#N/A</v>
      </c>
      <c r="G232">
        <v>182</v>
      </c>
      <c r="H232" s="13" t="e">
        <f t="shared" si="24"/>
        <v>#N/A</v>
      </c>
      <c r="I232" t="e">
        <f t="shared" si="25"/>
        <v>#N/A</v>
      </c>
      <c r="J232" t="e">
        <f t="shared" si="20"/>
        <v>#N/A</v>
      </c>
      <c r="K232" s="27" t="e">
        <f t="shared" si="21"/>
        <v>#N/A</v>
      </c>
    </row>
    <row r="233" spans="1:11">
      <c r="A233" s="26">
        <v>183</v>
      </c>
      <c r="B233" s="82" t="e">
        <f t="shared" si="22"/>
        <v>#N/A</v>
      </c>
      <c r="C233" s="58" t="e">
        <f t="shared" si="26"/>
        <v>#N/A</v>
      </c>
      <c r="D233" s="83" t="e">
        <f t="shared" si="23"/>
        <v>#N/A</v>
      </c>
      <c r="E233" t="e">
        <f t="shared" si="19"/>
        <v>#N/A</v>
      </c>
      <c r="G233">
        <v>183</v>
      </c>
      <c r="H233" s="13" t="e">
        <f t="shared" si="24"/>
        <v>#N/A</v>
      </c>
      <c r="I233" t="e">
        <f t="shared" si="25"/>
        <v>#N/A</v>
      </c>
      <c r="J233" t="e">
        <f t="shared" si="20"/>
        <v>#N/A</v>
      </c>
      <c r="K233" s="27" t="e">
        <f t="shared" si="21"/>
        <v>#N/A</v>
      </c>
    </row>
    <row r="234" spans="1:11">
      <c r="A234" s="26">
        <v>184</v>
      </c>
      <c r="B234" s="82" t="e">
        <f t="shared" si="22"/>
        <v>#N/A</v>
      </c>
      <c r="C234" s="58" t="e">
        <f t="shared" si="26"/>
        <v>#N/A</v>
      </c>
      <c r="D234" s="83" t="e">
        <f t="shared" si="23"/>
        <v>#N/A</v>
      </c>
      <c r="E234" t="e">
        <f t="shared" si="19"/>
        <v>#N/A</v>
      </c>
      <c r="G234">
        <v>184</v>
      </c>
      <c r="H234" s="13" t="e">
        <f t="shared" si="24"/>
        <v>#N/A</v>
      </c>
      <c r="I234" t="e">
        <f t="shared" si="25"/>
        <v>#N/A</v>
      </c>
      <c r="J234" t="e">
        <f t="shared" si="20"/>
        <v>#N/A</v>
      </c>
      <c r="K234" s="27" t="e">
        <f t="shared" si="21"/>
        <v>#N/A</v>
      </c>
    </row>
    <row r="235" spans="1:11">
      <c r="A235" s="26">
        <v>185</v>
      </c>
      <c r="B235" s="82" t="e">
        <f t="shared" si="22"/>
        <v>#N/A</v>
      </c>
      <c r="C235" s="58" t="e">
        <f t="shared" si="26"/>
        <v>#N/A</v>
      </c>
      <c r="D235" s="83" t="e">
        <f t="shared" si="23"/>
        <v>#N/A</v>
      </c>
      <c r="E235" t="e">
        <f t="shared" si="19"/>
        <v>#N/A</v>
      </c>
      <c r="G235">
        <v>185</v>
      </c>
      <c r="H235" s="13" t="e">
        <f t="shared" si="24"/>
        <v>#N/A</v>
      </c>
      <c r="I235" t="e">
        <f t="shared" si="25"/>
        <v>#N/A</v>
      </c>
      <c r="J235" t="e">
        <f t="shared" si="20"/>
        <v>#N/A</v>
      </c>
      <c r="K235" s="27" t="e">
        <f t="shared" si="21"/>
        <v>#N/A</v>
      </c>
    </row>
    <row r="236" spans="1:11">
      <c r="A236" s="26">
        <v>186</v>
      </c>
      <c r="B236" s="82" t="e">
        <f t="shared" si="22"/>
        <v>#N/A</v>
      </c>
      <c r="C236" s="58" t="e">
        <f t="shared" si="26"/>
        <v>#N/A</v>
      </c>
      <c r="D236" s="83" t="e">
        <f t="shared" si="23"/>
        <v>#N/A</v>
      </c>
      <c r="E236" t="e">
        <f t="shared" si="19"/>
        <v>#N/A</v>
      </c>
      <c r="G236">
        <v>186</v>
      </c>
      <c r="H236" s="13" t="e">
        <f t="shared" si="24"/>
        <v>#N/A</v>
      </c>
      <c r="I236" t="e">
        <f t="shared" si="25"/>
        <v>#N/A</v>
      </c>
      <c r="J236" t="e">
        <f t="shared" si="20"/>
        <v>#N/A</v>
      </c>
      <c r="K236" s="27" t="e">
        <f t="shared" si="21"/>
        <v>#N/A</v>
      </c>
    </row>
    <row r="237" spans="1:11">
      <c r="A237" s="26">
        <v>187</v>
      </c>
      <c r="B237" s="82" t="e">
        <f t="shared" si="22"/>
        <v>#N/A</v>
      </c>
      <c r="C237" s="58" t="e">
        <f t="shared" si="26"/>
        <v>#N/A</v>
      </c>
      <c r="D237" s="83" t="e">
        <f t="shared" si="23"/>
        <v>#N/A</v>
      </c>
      <c r="E237" t="e">
        <f t="shared" si="19"/>
        <v>#N/A</v>
      </c>
      <c r="G237">
        <v>187</v>
      </c>
      <c r="H237" s="13" t="e">
        <f t="shared" si="24"/>
        <v>#N/A</v>
      </c>
      <c r="I237" t="e">
        <f t="shared" si="25"/>
        <v>#N/A</v>
      </c>
      <c r="J237" t="e">
        <f t="shared" si="20"/>
        <v>#N/A</v>
      </c>
      <c r="K237" s="27" t="e">
        <f t="shared" si="21"/>
        <v>#N/A</v>
      </c>
    </row>
    <row r="238" spans="1:11">
      <c r="A238" s="26">
        <v>188</v>
      </c>
      <c r="B238" s="82" t="e">
        <f t="shared" si="22"/>
        <v>#N/A</v>
      </c>
      <c r="C238" s="58" t="e">
        <f t="shared" si="26"/>
        <v>#N/A</v>
      </c>
      <c r="D238" s="83" t="e">
        <f t="shared" si="23"/>
        <v>#N/A</v>
      </c>
      <c r="E238" t="e">
        <f t="shared" si="19"/>
        <v>#N/A</v>
      </c>
      <c r="G238">
        <v>188</v>
      </c>
      <c r="H238" s="13" t="e">
        <f t="shared" si="24"/>
        <v>#N/A</v>
      </c>
      <c r="I238" t="e">
        <f t="shared" si="25"/>
        <v>#N/A</v>
      </c>
      <c r="J238" t="e">
        <f t="shared" si="20"/>
        <v>#N/A</v>
      </c>
      <c r="K238" s="27" t="e">
        <f t="shared" si="21"/>
        <v>#N/A</v>
      </c>
    </row>
    <row r="239" spans="1:11">
      <c r="A239" s="26">
        <v>189</v>
      </c>
      <c r="B239" s="82" t="e">
        <f t="shared" si="22"/>
        <v>#N/A</v>
      </c>
      <c r="C239" s="58" t="e">
        <f t="shared" si="26"/>
        <v>#N/A</v>
      </c>
      <c r="D239" s="83" t="e">
        <f t="shared" si="23"/>
        <v>#N/A</v>
      </c>
      <c r="E239" t="e">
        <f t="shared" si="19"/>
        <v>#N/A</v>
      </c>
      <c r="G239">
        <v>189</v>
      </c>
      <c r="H239" s="13" t="e">
        <f t="shared" si="24"/>
        <v>#N/A</v>
      </c>
      <c r="I239" t="e">
        <f t="shared" si="25"/>
        <v>#N/A</v>
      </c>
      <c r="J239" t="e">
        <f t="shared" si="20"/>
        <v>#N/A</v>
      </c>
      <c r="K239" s="27" t="e">
        <f t="shared" si="21"/>
        <v>#N/A</v>
      </c>
    </row>
    <row r="240" spans="1:11">
      <c r="A240" s="26">
        <v>190</v>
      </c>
      <c r="B240" s="82" t="e">
        <f t="shared" si="22"/>
        <v>#N/A</v>
      </c>
      <c r="C240" s="58" t="e">
        <f t="shared" si="26"/>
        <v>#N/A</v>
      </c>
      <c r="D240" s="83" t="e">
        <f t="shared" si="23"/>
        <v>#N/A</v>
      </c>
      <c r="E240" t="e">
        <f t="shared" si="19"/>
        <v>#N/A</v>
      </c>
      <c r="G240">
        <v>190</v>
      </c>
      <c r="H240" s="13" t="e">
        <f t="shared" si="24"/>
        <v>#N/A</v>
      </c>
      <c r="I240" t="e">
        <f t="shared" si="25"/>
        <v>#N/A</v>
      </c>
      <c r="J240" t="e">
        <f t="shared" si="20"/>
        <v>#N/A</v>
      </c>
      <c r="K240" s="27" t="e">
        <f t="shared" si="21"/>
        <v>#N/A</v>
      </c>
    </row>
    <row r="241" spans="1:11">
      <c r="A241" s="26">
        <v>191</v>
      </c>
      <c r="B241" s="82" t="e">
        <f t="shared" si="22"/>
        <v>#N/A</v>
      </c>
      <c r="C241" s="58" t="e">
        <f t="shared" si="26"/>
        <v>#N/A</v>
      </c>
      <c r="D241" s="83" t="e">
        <f t="shared" si="23"/>
        <v>#N/A</v>
      </c>
      <c r="E241" t="e">
        <f t="shared" si="19"/>
        <v>#N/A</v>
      </c>
      <c r="G241">
        <v>191</v>
      </c>
      <c r="H241" s="13" t="e">
        <f t="shared" si="24"/>
        <v>#N/A</v>
      </c>
      <c r="I241" t="e">
        <f t="shared" si="25"/>
        <v>#N/A</v>
      </c>
      <c r="J241" t="e">
        <f t="shared" si="20"/>
        <v>#N/A</v>
      </c>
      <c r="K241" s="27" t="e">
        <f t="shared" si="21"/>
        <v>#N/A</v>
      </c>
    </row>
    <row r="242" spans="1:11">
      <c r="A242" s="26">
        <v>192</v>
      </c>
      <c r="B242" s="82" t="e">
        <f t="shared" si="22"/>
        <v>#N/A</v>
      </c>
      <c r="C242" s="58" t="e">
        <f t="shared" si="26"/>
        <v>#N/A</v>
      </c>
      <c r="D242" s="83" t="e">
        <f t="shared" si="23"/>
        <v>#N/A</v>
      </c>
      <c r="E242" t="e">
        <f t="shared" si="19"/>
        <v>#N/A</v>
      </c>
      <c r="G242">
        <v>192</v>
      </c>
      <c r="H242" s="13" t="e">
        <f t="shared" si="24"/>
        <v>#N/A</v>
      </c>
      <c r="I242" t="e">
        <f t="shared" si="25"/>
        <v>#N/A</v>
      </c>
      <c r="J242" t="e">
        <f t="shared" si="20"/>
        <v>#N/A</v>
      </c>
      <c r="K242" s="27" t="e">
        <f t="shared" si="21"/>
        <v>#N/A</v>
      </c>
    </row>
    <row r="243" spans="1:11">
      <c r="A243" s="26">
        <v>193</v>
      </c>
      <c r="B243" s="82" t="e">
        <f t="shared" si="22"/>
        <v>#N/A</v>
      </c>
      <c r="C243" s="58" t="e">
        <f t="shared" si="26"/>
        <v>#N/A</v>
      </c>
      <c r="D243" s="83" t="e">
        <f t="shared" si="23"/>
        <v>#N/A</v>
      </c>
      <c r="E243" t="e">
        <f t="shared" ref="E243:E306" si="27">((D243^2)+(D243*D244)+(D244^2))*B244/3</f>
        <v>#N/A</v>
      </c>
      <c r="G243">
        <v>193</v>
      </c>
      <c r="H243" s="13" t="e">
        <f t="shared" si="24"/>
        <v>#N/A</v>
      </c>
      <c r="I243" t="e">
        <f t="shared" si="25"/>
        <v>#N/A</v>
      </c>
      <c r="J243" t="e">
        <f t="shared" ref="J243:J306" si="28">IF($G$28&lt;$C$14,0,((($C$11^2)-((I243-$C$13)^2))^0.5)+$C$16)</f>
        <v>#N/A</v>
      </c>
      <c r="K243" s="27" t="e">
        <f t="shared" ref="K243:K306" si="29">((J243^2)+(J243*J244)+(J244^2))*H244/3</f>
        <v>#N/A</v>
      </c>
    </row>
    <row r="244" spans="1:11">
      <c r="A244" s="26">
        <v>194</v>
      </c>
      <c r="B244" s="82" t="e">
        <f t="shared" ref="B244:B307" si="30">C244-C243</f>
        <v>#N/A</v>
      </c>
      <c r="C244" s="58" t="e">
        <f t="shared" si="26"/>
        <v>#N/A</v>
      </c>
      <c r="D244" s="83" t="e">
        <f t="shared" ref="D244:D307" si="31">IF($G$28&lt;$C$14,0,((($C$11^2)-((C244-$C$13)^2))^0.5)+$C$16)</f>
        <v>#N/A</v>
      </c>
      <c r="E244" t="e">
        <f t="shared" si="27"/>
        <v>#N/A</v>
      </c>
      <c r="G244">
        <v>194</v>
      </c>
      <c r="H244" s="13" t="e">
        <f t="shared" ref="H244:H307" si="32">I244-I243</f>
        <v>#N/A</v>
      </c>
      <c r="I244" t="e">
        <f t="shared" ref="I244:I307" si="33">($G$27-$C$14)/2000+I243</f>
        <v>#N/A</v>
      </c>
      <c r="J244" t="e">
        <f t="shared" si="28"/>
        <v>#N/A</v>
      </c>
      <c r="K244" s="27" t="e">
        <f t="shared" si="29"/>
        <v>#N/A</v>
      </c>
    </row>
    <row r="245" spans="1:11">
      <c r="A245" s="26">
        <v>195</v>
      </c>
      <c r="B245" s="82" t="e">
        <f t="shared" si="30"/>
        <v>#N/A</v>
      </c>
      <c r="C245" s="58" t="e">
        <f t="shared" si="26"/>
        <v>#N/A</v>
      </c>
      <c r="D245" s="83" t="e">
        <f t="shared" si="31"/>
        <v>#N/A</v>
      </c>
      <c r="E245" t="e">
        <f t="shared" si="27"/>
        <v>#N/A</v>
      </c>
      <c r="G245">
        <v>195</v>
      </c>
      <c r="H245" s="13" t="e">
        <f t="shared" si="32"/>
        <v>#N/A</v>
      </c>
      <c r="I245" t="e">
        <f t="shared" si="33"/>
        <v>#N/A</v>
      </c>
      <c r="J245" t="e">
        <f t="shared" si="28"/>
        <v>#N/A</v>
      </c>
      <c r="K245" s="27" t="e">
        <f t="shared" si="29"/>
        <v>#N/A</v>
      </c>
    </row>
    <row r="246" spans="1:11">
      <c r="A246" s="26">
        <v>196</v>
      </c>
      <c r="B246" s="82" t="e">
        <f t="shared" si="30"/>
        <v>#N/A</v>
      </c>
      <c r="C246" s="58" t="e">
        <f t="shared" si="26"/>
        <v>#N/A</v>
      </c>
      <c r="D246" s="83" t="e">
        <f t="shared" si="31"/>
        <v>#N/A</v>
      </c>
      <c r="E246" t="e">
        <f t="shared" si="27"/>
        <v>#N/A</v>
      </c>
      <c r="G246">
        <v>196</v>
      </c>
      <c r="H246" s="13" t="e">
        <f t="shared" si="32"/>
        <v>#N/A</v>
      </c>
      <c r="I246" t="e">
        <f t="shared" si="33"/>
        <v>#N/A</v>
      </c>
      <c r="J246" t="e">
        <f t="shared" si="28"/>
        <v>#N/A</v>
      </c>
      <c r="K246" s="27" t="e">
        <f t="shared" si="29"/>
        <v>#N/A</v>
      </c>
    </row>
    <row r="247" spans="1:11">
      <c r="A247" s="26">
        <v>197</v>
      </c>
      <c r="B247" s="82" t="e">
        <f t="shared" si="30"/>
        <v>#N/A</v>
      </c>
      <c r="C247" s="58" t="e">
        <f t="shared" si="26"/>
        <v>#N/A</v>
      </c>
      <c r="D247" s="83" t="e">
        <f t="shared" si="31"/>
        <v>#N/A</v>
      </c>
      <c r="E247" t="e">
        <f t="shared" si="27"/>
        <v>#N/A</v>
      </c>
      <c r="G247">
        <v>197</v>
      </c>
      <c r="H247" s="13" t="e">
        <f t="shared" si="32"/>
        <v>#N/A</v>
      </c>
      <c r="I247" t="e">
        <f t="shared" si="33"/>
        <v>#N/A</v>
      </c>
      <c r="J247" t="e">
        <f t="shared" si="28"/>
        <v>#N/A</v>
      </c>
      <c r="K247" s="27" t="e">
        <f t="shared" si="29"/>
        <v>#N/A</v>
      </c>
    </row>
    <row r="248" spans="1:11">
      <c r="A248" s="26">
        <v>198</v>
      </c>
      <c r="B248" s="82" t="e">
        <f t="shared" si="30"/>
        <v>#N/A</v>
      </c>
      <c r="C248" s="58" t="e">
        <f t="shared" si="26"/>
        <v>#N/A</v>
      </c>
      <c r="D248" s="83" t="e">
        <f t="shared" si="31"/>
        <v>#N/A</v>
      </c>
      <c r="E248" t="e">
        <f t="shared" si="27"/>
        <v>#N/A</v>
      </c>
      <c r="G248">
        <v>198</v>
      </c>
      <c r="H248" s="13" t="e">
        <f t="shared" si="32"/>
        <v>#N/A</v>
      </c>
      <c r="I248" t="e">
        <f t="shared" si="33"/>
        <v>#N/A</v>
      </c>
      <c r="J248" t="e">
        <f t="shared" si="28"/>
        <v>#N/A</v>
      </c>
      <c r="K248" s="27" t="e">
        <f t="shared" si="29"/>
        <v>#N/A</v>
      </c>
    </row>
    <row r="249" spans="1:11">
      <c r="A249" s="26">
        <v>199</v>
      </c>
      <c r="B249" s="82" t="e">
        <f t="shared" si="30"/>
        <v>#N/A</v>
      </c>
      <c r="C249" s="58" t="e">
        <f t="shared" si="26"/>
        <v>#N/A</v>
      </c>
      <c r="D249" s="83" t="e">
        <f t="shared" si="31"/>
        <v>#N/A</v>
      </c>
      <c r="E249" t="e">
        <f t="shared" si="27"/>
        <v>#N/A</v>
      </c>
      <c r="G249">
        <v>199</v>
      </c>
      <c r="H249" s="13" t="e">
        <f t="shared" si="32"/>
        <v>#N/A</v>
      </c>
      <c r="I249" t="e">
        <f t="shared" si="33"/>
        <v>#N/A</v>
      </c>
      <c r="J249" t="e">
        <f t="shared" si="28"/>
        <v>#N/A</v>
      </c>
      <c r="K249" s="27" t="e">
        <f t="shared" si="29"/>
        <v>#N/A</v>
      </c>
    </row>
    <row r="250" spans="1:11">
      <c r="A250" s="26">
        <v>200</v>
      </c>
      <c r="B250" s="82" t="e">
        <f t="shared" si="30"/>
        <v>#N/A</v>
      </c>
      <c r="C250" s="58" t="e">
        <f t="shared" si="26"/>
        <v>#N/A</v>
      </c>
      <c r="D250" s="83" t="e">
        <f t="shared" si="31"/>
        <v>#N/A</v>
      </c>
      <c r="E250" t="e">
        <f t="shared" si="27"/>
        <v>#N/A</v>
      </c>
      <c r="G250">
        <v>200</v>
      </c>
      <c r="H250" s="13" t="e">
        <f t="shared" si="32"/>
        <v>#N/A</v>
      </c>
      <c r="I250" t="e">
        <f t="shared" si="33"/>
        <v>#N/A</v>
      </c>
      <c r="J250" t="e">
        <f t="shared" si="28"/>
        <v>#N/A</v>
      </c>
      <c r="K250" s="27" t="e">
        <f t="shared" si="29"/>
        <v>#N/A</v>
      </c>
    </row>
    <row r="251" spans="1:11">
      <c r="A251" s="26">
        <v>201</v>
      </c>
      <c r="B251" s="82" t="e">
        <f t="shared" si="30"/>
        <v>#N/A</v>
      </c>
      <c r="C251" s="58" t="e">
        <f t="shared" si="26"/>
        <v>#N/A</v>
      </c>
      <c r="D251" s="83" t="e">
        <f t="shared" si="31"/>
        <v>#N/A</v>
      </c>
      <c r="E251" t="e">
        <f t="shared" si="27"/>
        <v>#N/A</v>
      </c>
      <c r="G251">
        <v>201</v>
      </c>
      <c r="H251" s="13" t="e">
        <f t="shared" si="32"/>
        <v>#N/A</v>
      </c>
      <c r="I251" t="e">
        <f t="shared" si="33"/>
        <v>#N/A</v>
      </c>
      <c r="J251" t="e">
        <f t="shared" si="28"/>
        <v>#N/A</v>
      </c>
      <c r="K251" s="27" t="e">
        <f t="shared" si="29"/>
        <v>#N/A</v>
      </c>
    </row>
    <row r="252" spans="1:11">
      <c r="A252" s="26">
        <v>202</v>
      </c>
      <c r="B252" s="82" t="e">
        <f t="shared" si="30"/>
        <v>#N/A</v>
      </c>
      <c r="C252" s="58" t="e">
        <f t="shared" si="26"/>
        <v>#N/A</v>
      </c>
      <c r="D252" s="83" t="e">
        <f t="shared" si="31"/>
        <v>#N/A</v>
      </c>
      <c r="E252" t="e">
        <f t="shared" si="27"/>
        <v>#N/A</v>
      </c>
      <c r="G252">
        <v>202</v>
      </c>
      <c r="H252" s="13" t="e">
        <f t="shared" si="32"/>
        <v>#N/A</v>
      </c>
      <c r="I252" t="e">
        <f t="shared" si="33"/>
        <v>#N/A</v>
      </c>
      <c r="J252" t="e">
        <f t="shared" si="28"/>
        <v>#N/A</v>
      </c>
      <c r="K252" s="27" t="e">
        <f t="shared" si="29"/>
        <v>#N/A</v>
      </c>
    </row>
    <row r="253" spans="1:11">
      <c r="A253" s="26">
        <v>203</v>
      </c>
      <c r="B253" s="82" t="e">
        <f t="shared" si="30"/>
        <v>#N/A</v>
      </c>
      <c r="C253" s="58" t="e">
        <f t="shared" si="26"/>
        <v>#N/A</v>
      </c>
      <c r="D253" s="83" t="e">
        <f t="shared" si="31"/>
        <v>#N/A</v>
      </c>
      <c r="E253" t="e">
        <f t="shared" si="27"/>
        <v>#N/A</v>
      </c>
      <c r="G253">
        <v>203</v>
      </c>
      <c r="H253" s="13" t="e">
        <f t="shared" si="32"/>
        <v>#N/A</v>
      </c>
      <c r="I253" t="e">
        <f t="shared" si="33"/>
        <v>#N/A</v>
      </c>
      <c r="J253" t="e">
        <f t="shared" si="28"/>
        <v>#N/A</v>
      </c>
      <c r="K253" s="27" t="e">
        <f t="shared" si="29"/>
        <v>#N/A</v>
      </c>
    </row>
    <row r="254" spans="1:11">
      <c r="A254" s="26">
        <v>204</v>
      </c>
      <c r="B254" s="82" t="e">
        <f t="shared" si="30"/>
        <v>#N/A</v>
      </c>
      <c r="C254" s="58" t="e">
        <f t="shared" si="26"/>
        <v>#N/A</v>
      </c>
      <c r="D254" s="83" t="e">
        <f t="shared" si="31"/>
        <v>#N/A</v>
      </c>
      <c r="E254" t="e">
        <f t="shared" si="27"/>
        <v>#N/A</v>
      </c>
      <c r="G254">
        <v>204</v>
      </c>
      <c r="H254" s="13" t="e">
        <f t="shared" si="32"/>
        <v>#N/A</v>
      </c>
      <c r="I254" t="e">
        <f t="shared" si="33"/>
        <v>#N/A</v>
      </c>
      <c r="J254" t="e">
        <f t="shared" si="28"/>
        <v>#N/A</v>
      </c>
      <c r="K254" s="27" t="e">
        <f t="shared" si="29"/>
        <v>#N/A</v>
      </c>
    </row>
    <row r="255" spans="1:11">
      <c r="A255" s="26">
        <v>205</v>
      </c>
      <c r="B255" s="82" t="e">
        <f t="shared" si="30"/>
        <v>#N/A</v>
      </c>
      <c r="C255" s="58" t="e">
        <f t="shared" si="26"/>
        <v>#N/A</v>
      </c>
      <c r="D255" s="83" t="e">
        <f t="shared" si="31"/>
        <v>#N/A</v>
      </c>
      <c r="E255" t="e">
        <f t="shared" si="27"/>
        <v>#N/A</v>
      </c>
      <c r="G255">
        <v>205</v>
      </c>
      <c r="H255" s="13" t="e">
        <f t="shared" si="32"/>
        <v>#N/A</v>
      </c>
      <c r="I255" t="e">
        <f t="shared" si="33"/>
        <v>#N/A</v>
      </c>
      <c r="J255" t="e">
        <f t="shared" si="28"/>
        <v>#N/A</v>
      </c>
      <c r="K255" s="27" t="e">
        <f t="shared" si="29"/>
        <v>#N/A</v>
      </c>
    </row>
    <row r="256" spans="1:11">
      <c r="A256" s="26">
        <v>206</v>
      </c>
      <c r="B256" s="82" t="e">
        <f t="shared" si="30"/>
        <v>#N/A</v>
      </c>
      <c r="C256" s="58" t="e">
        <f t="shared" si="26"/>
        <v>#N/A</v>
      </c>
      <c r="D256" s="83" t="e">
        <f t="shared" si="31"/>
        <v>#N/A</v>
      </c>
      <c r="E256" t="e">
        <f t="shared" si="27"/>
        <v>#N/A</v>
      </c>
      <c r="G256">
        <v>206</v>
      </c>
      <c r="H256" s="13" t="e">
        <f t="shared" si="32"/>
        <v>#N/A</v>
      </c>
      <c r="I256" t="e">
        <f t="shared" si="33"/>
        <v>#N/A</v>
      </c>
      <c r="J256" t="e">
        <f t="shared" si="28"/>
        <v>#N/A</v>
      </c>
      <c r="K256" s="27" t="e">
        <f t="shared" si="29"/>
        <v>#N/A</v>
      </c>
    </row>
    <row r="257" spans="1:11">
      <c r="A257" s="26">
        <v>207</v>
      </c>
      <c r="B257" s="82" t="e">
        <f t="shared" si="30"/>
        <v>#N/A</v>
      </c>
      <c r="C257" s="58" t="e">
        <f t="shared" si="26"/>
        <v>#N/A</v>
      </c>
      <c r="D257" s="83" t="e">
        <f t="shared" si="31"/>
        <v>#N/A</v>
      </c>
      <c r="E257" t="e">
        <f t="shared" si="27"/>
        <v>#N/A</v>
      </c>
      <c r="G257">
        <v>207</v>
      </c>
      <c r="H257" s="13" t="e">
        <f t="shared" si="32"/>
        <v>#N/A</v>
      </c>
      <c r="I257" t="e">
        <f t="shared" si="33"/>
        <v>#N/A</v>
      </c>
      <c r="J257" t="e">
        <f t="shared" si="28"/>
        <v>#N/A</v>
      </c>
      <c r="K257" s="27" t="e">
        <f t="shared" si="29"/>
        <v>#N/A</v>
      </c>
    </row>
    <row r="258" spans="1:11">
      <c r="A258" s="26">
        <v>208</v>
      </c>
      <c r="B258" s="82" t="e">
        <f t="shared" si="30"/>
        <v>#N/A</v>
      </c>
      <c r="C258" s="58" t="e">
        <f t="shared" si="26"/>
        <v>#N/A</v>
      </c>
      <c r="D258" s="83" t="e">
        <f t="shared" si="31"/>
        <v>#N/A</v>
      </c>
      <c r="E258" t="e">
        <f t="shared" si="27"/>
        <v>#N/A</v>
      </c>
      <c r="G258">
        <v>208</v>
      </c>
      <c r="H258" s="13" t="e">
        <f t="shared" si="32"/>
        <v>#N/A</v>
      </c>
      <c r="I258" t="e">
        <f t="shared" si="33"/>
        <v>#N/A</v>
      </c>
      <c r="J258" t="e">
        <f t="shared" si="28"/>
        <v>#N/A</v>
      </c>
      <c r="K258" s="27" t="e">
        <f t="shared" si="29"/>
        <v>#N/A</v>
      </c>
    </row>
    <row r="259" spans="1:11">
      <c r="A259" s="26">
        <v>209</v>
      </c>
      <c r="B259" s="82" t="e">
        <f t="shared" si="30"/>
        <v>#N/A</v>
      </c>
      <c r="C259" s="58" t="e">
        <f t="shared" si="26"/>
        <v>#N/A</v>
      </c>
      <c r="D259" s="83" t="e">
        <f t="shared" si="31"/>
        <v>#N/A</v>
      </c>
      <c r="E259" t="e">
        <f t="shared" si="27"/>
        <v>#N/A</v>
      </c>
      <c r="G259">
        <v>209</v>
      </c>
      <c r="H259" s="13" t="e">
        <f t="shared" si="32"/>
        <v>#N/A</v>
      </c>
      <c r="I259" t="e">
        <f t="shared" si="33"/>
        <v>#N/A</v>
      </c>
      <c r="J259" t="e">
        <f t="shared" si="28"/>
        <v>#N/A</v>
      </c>
      <c r="K259" s="27" t="e">
        <f t="shared" si="29"/>
        <v>#N/A</v>
      </c>
    </row>
    <row r="260" spans="1:11">
      <c r="A260" s="26">
        <v>210</v>
      </c>
      <c r="B260" s="82" t="e">
        <f t="shared" si="30"/>
        <v>#N/A</v>
      </c>
      <c r="C260" s="58" t="e">
        <f t="shared" si="26"/>
        <v>#N/A</v>
      </c>
      <c r="D260" s="83" t="e">
        <f t="shared" si="31"/>
        <v>#N/A</v>
      </c>
      <c r="E260" t="e">
        <f t="shared" si="27"/>
        <v>#N/A</v>
      </c>
      <c r="G260">
        <v>210</v>
      </c>
      <c r="H260" s="13" t="e">
        <f t="shared" si="32"/>
        <v>#N/A</v>
      </c>
      <c r="I260" t="e">
        <f t="shared" si="33"/>
        <v>#N/A</v>
      </c>
      <c r="J260" t="e">
        <f t="shared" si="28"/>
        <v>#N/A</v>
      </c>
      <c r="K260" s="27" t="e">
        <f t="shared" si="29"/>
        <v>#N/A</v>
      </c>
    </row>
    <row r="261" spans="1:11">
      <c r="A261" s="26">
        <v>211</v>
      </c>
      <c r="B261" s="82" t="e">
        <f t="shared" si="30"/>
        <v>#N/A</v>
      </c>
      <c r="C261" s="58" t="e">
        <f t="shared" si="26"/>
        <v>#N/A</v>
      </c>
      <c r="D261" s="83" t="e">
        <f t="shared" si="31"/>
        <v>#N/A</v>
      </c>
      <c r="E261" t="e">
        <f t="shared" si="27"/>
        <v>#N/A</v>
      </c>
      <c r="G261">
        <v>211</v>
      </c>
      <c r="H261" s="13" t="e">
        <f t="shared" si="32"/>
        <v>#N/A</v>
      </c>
      <c r="I261" t="e">
        <f t="shared" si="33"/>
        <v>#N/A</v>
      </c>
      <c r="J261" t="e">
        <f t="shared" si="28"/>
        <v>#N/A</v>
      </c>
      <c r="K261" s="27" t="e">
        <f t="shared" si="29"/>
        <v>#N/A</v>
      </c>
    </row>
    <row r="262" spans="1:11">
      <c r="A262" s="26">
        <v>212</v>
      </c>
      <c r="B262" s="82" t="e">
        <f t="shared" si="30"/>
        <v>#N/A</v>
      </c>
      <c r="C262" s="58" t="e">
        <f t="shared" si="26"/>
        <v>#N/A</v>
      </c>
      <c r="D262" s="83" t="e">
        <f t="shared" si="31"/>
        <v>#N/A</v>
      </c>
      <c r="E262" t="e">
        <f t="shared" si="27"/>
        <v>#N/A</v>
      </c>
      <c r="G262">
        <v>212</v>
      </c>
      <c r="H262" s="13" t="e">
        <f t="shared" si="32"/>
        <v>#N/A</v>
      </c>
      <c r="I262" t="e">
        <f t="shared" si="33"/>
        <v>#N/A</v>
      </c>
      <c r="J262" t="e">
        <f t="shared" si="28"/>
        <v>#N/A</v>
      </c>
      <c r="K262" s="27" t="e">
        <f t="shared" si="29"/>
        <v>#N/A</v>
      </c>
    </row>
    <row r="263" spans="1:11">
      <c r="A263" s="26">
        <v>213</v>
      </c>
      <c r="B263" s="82" t="e">
        <f t="shared" si="30"/>
        <v>#N/A</v>
      </c>
      <c r="C263" s="58" t="e">
        <f t="shared" si="26"/>
        <v>#N/A</v>
      </c>
      <c r="D263" s="83" t="e">
        <f t="shared" si="31"/>
        <v>#N/A</v>
      </c>
      <c r="E263" t="e">
        <f t="shared" si="27"/>
        <v>#N/A</v>
      </c>
      <c r="G263">
        <v>213</v>
      </c>
      <c r="H263" s="13" t="e">
        <f t="shared" si="32"/>
        <v>#N/A</v>
      </c>
      <c r="I263" t="e">
        <f t="shared" si="33"/>
        <v>#N/A</v>
      </c>
      <c r="J263" t="e">
        <f t="shared" si="28"/>
        <v>#N/A</v>
      </c>
      <c r="K263" s="27" t="e">
        <f t="shared" si="29"/>
        <v>#N/A</v>
      </c>
    </row>
    <row r="264" spans="1:11">
      <c r="A264" s="26">
        <v>214</v>
      </c>
      <c r="B264" s="82" t="e">
        <f t="shared" si="30"/>
        <v>#N/A</v>
      </c>
      <c r="C264" s="58" t="e">
        <f t="shared" si="26"/>
        <v>#N/A</v>
      </c>
      <c r="D264" s="83" t="e">
        <f t="shared" si="31"/>
        <v>#N/A</v>
      </c>
      <c r="E264" t="e">
        <f t="shared" si="27"/>
        <v>#N/A</v>
      </c>
      <c r="G264">
        <v>214</v>
      </c>
      <c r="H264" s="13" t="e">
        <f t="shared" si="32"/>
        <v>#N/A</v>
      </c>
      <c r="I264" t="e">
        <f t="shared" si="33"/>
        <v>#N/A</v>
      </c>
      <c r="J264" t="e">
        <f t="shared" si="28"/>
        <v>#N/A</v>
      </c>
      <c r="K264" s="27" t="e">
        <f t="shared" si="29"/>
        <v>#N/A</v>
      </c>
    </row>
    <row r="265" spans="1:11">
      <c r="A265" s="26">
        <v>215</v>
      </c>
      <c r="B265" s="82" t="e">
        <f t="shared" si="30"/>
        <v>#N/A</v>
      </c>
      <c r="C265" s="58" t="e">
        <f t="shared" si="26"/>
        <v>#N/A</v>
      </c>
      <c r="D265" s="83" t="e">
        <f t="shared" si="31"/>
        <v>#N/A</v>
      </c>
      <c r="E265" t="e">
        <f t="shared" si="27"/>
        <v>#N/A</v>
      </c>
      <c r="G265">
        <v>215</v>
      </c>
      <c r="H265" s="13" t="e">
        <f t="shared" si="32"/>
        <v>#N/A</v>
      </c>
      <c r="I265" t="e">
        <f t="shared" si="33"/>
        <v>#N/A</v>
      </c>
      <c r="J265" t="e">
        <f t="shared" si="28"/>
        <v>#N/A</v>
      </c>
      <c r="K265" s="27" t="e">
        <f t="shared" si="29"/>
        <v>#N/A</v>
      </c>
    </row>
    <row r="266" spans="1:11">
      <c r="A266" s="26">
        <v>216</v>
      </c>
      <c r="B266" s="82" t="e">
        <f t="shared" si="30"/>
        <v>#N/A</v>
      </c>
      <c r="C266" s="58" t="e">
        <f t="shared" si="26"/>
        <v>#N/A</v>
      </c>
      <c r="D266" s="83" t="e">
        <f t="shared" si="31"/>
        <v>#N/A</v>
      </c>
      <c r="E266" t="e">
        <f t="shared" si="27"/>
        <v>#N/A</v>
      </c>
      <c r="G266">
        <v>216</v>
      </c>
      <c r="H266" s="13" t="e">
        <f t="shared" si="32"/>
        <v>#N/A</v>
      </c>
      <c r="I266" t="e">
        <f t="shared" si="33"/>
        <v>#N/A</v>
      </c>
      <c r="J266" t="e">
        <f t="shared" si="28"/>
        <v>#N/A</v>
      </c>
      <c r="K266" s="27" t="e">
        <f t="shared" si="29"/>
        <v>#N/A</v>
      </c>
    </row>
    <row r="267" spans="1:11">
      <c r="A267" s="26">
        <v>217</v>
      </c>
      <c r="B267" s="82" t="e">
        <f t="shared" si="30"/>
        <v>#N/A</v>
      </c>
      <c r="C267" s="58" t="e">
        <f t="shared" si="26"/>
        <v>#N/A</v>
      </c>
      <c r="D267" s="83" t="e">
        <f t="shared" si="31"/>
        <v>#N/A</v>
      </c>
      <c r="E267" t="e">
        <f t="shared" si="27"/>
        <v>#N/A</v>
      </c>
      <c r="G267">
        <v>217</v>
      </c>
      <c r="H267" s="13" t="e">
        <f t="shared" si="32"/>
        <v>#N/A</v>
      </c>
      <c r="I267" t="e">
        <f t="shared" si="33"/>
        <v>#N/A</v>
      </c>
      <c r="J267" t="e">
        <f t="shared" si="28"/>
        <v>#N/A</v>
      </c>
      <c r="K267" s="27" t="e">
        <f t="shared" si="29"/>
        <v>#N/A</v>
      </c>
    </row>
    <row r="268" spans="1:11">
      <c r="A268" s="26">
        <v>218</v>
      </c>
      <c r="B268" s="82" t="e">
        <f t="shared" si="30"/>
        <v>#N/A</v>
      </c>
      <c r="C268" s="58" t="e">
        <f t="shared" si="26"/>
        <v>#N/A</v>
      </c>
      <c r="D268" s="83" t="e">
        <f t="shared" si="31"/>
        <v>#N/A</v>
      </c>
      <c r="E268" t="e">
        <f t="shared" si="27"/>
        <v>#N/A</v>
      </c>
      <c r="G268">
        <v>218</v>
      </c>
      <c r="H268" s="13" t="e">
        <f t="shared" si="32"/>
        <v>#N/A</v>
      </c>
      <c r="I268" t="e">
        <f t="shared" si="33"/>
        <v>#N/A</v>
      </c>
      <c r="J268" t="e">
        <f t="shared" si="28"/>
        <v>#N/A</v>
      </c>
      <c r="K268" s="27" t="e">
        <f t="shared" si="29"/>
        <v>#N/A</v>
      </c>
    </row>
    <row r="269" spans="1:11">
      <c r="A269" s="26">
        <v>219</v>
      </c>
      <c r="B269" s="82" t="e">
        <f t="shared" si="30"/>
        <v>#N/A</v>
      </c>
      <c r="C269" s="58" t="e">
        <f t="shared" si="26"/>
        <v>#N/A</v>
      </c>
      <c r="D269" s="83" t="e">
        <f t="shared" si="31"/>
        <v>#N/A</v>
      </c>
      <c r="E269" t="e">
        <f t="shared" si="27"/>
        <v>#N/A</v>
      </c>
      <c r="G269">
        <v>219</v>
      </c>
      <c r="H269" s="13" t="e">
        <f t="shared" si="32"/>
        <v>#N/A</v>
      </c>
      <c r="I269" t="e">
        <f t="shared" si="33"/>
        <v>#N/A</v>
      </c>
      <c r="J269" t="e">
        <f t="shared" si="28"/>
        <v>#N/A</v>
      </c>
      <c r="K269" s="27" t="e">
        <f t="shared" si="29"/>
        <v>#N/A</v>
      </c>
    </row>
    <row r="270" spans="1:11">
      <c r="A270" s="26">
        <v>220</v>
      </c>
      <c r="B270" s="82" t="e">
        <f t="shared" si="30"/>
        <v>#N/A</v>
      </c>
      <c r="C270" s="58" t="e">
        <f t="shared" si="26"/>
        <v>#N/A</v>
      </c>
      <c r="D270" s="83" t="e">
        <f t="shared" si="31"/>
        <v>#N/A</v>
      </c>
      <c r="E270" t="e">
        <f t="shared" si="27"/>
        <v>#N/A</v>
      </c>
      <c r="G270">
        <v>220</v>
      </c>
      <c r="H270" s="13" t="e">
        <f t="shared" si="32"/>
        <v>#N/A</v>
      </c>
      <c r="I270" t="e">
        <f t="shared" si="33"/>
        <v>#N/A</v>
      </c>
      <c r="J270" t="e">
        <f t="shared" si="28"/>
        <v>#N/A</v>
      </c>
      <c r="K270" s="27" t="e">
        <f t="shared" si="29"/>
        <v>#N/A</v>
      </c>
    </row>
    <row r="271" spans="1:11">
      <c r="A271" s="26">
        <v>221</v>
      </c>
      <c r="B271" s="82" t="e">
        <f t="shared" si="30"/>
        <v>#N/A</v>
      </c>
      <c r="C271" s="58" t="e">
        <f t="shared" si="26"/>
        <v>#N/A</v>
      </c>
      <c r="D271" s="83" t="e">
        <f t="shared" si="31"/>
        <v>#N/A</v>
      </c>
      <c r="E271" t="e">
        <f t="shared" si="27"/>
        <v>#N/A</v>
      </c>
      <c r="G271">
        <v>221</v>
      </c>
      <c r="H271" s="13" t="e">
        <f t="shared" si="32"/>
        <v>#N/A</v>
      </c>
      <c r="I271" t="e">
        <f t="shared" si="33"/>
        <v>#N/A</v>
      </c>
      <c r="J271" t="e">
        <f t="shared" si="28"/>
        <v>#N/A</v>
      </c>
      <c r="K271" s="27" t="e">
        <f t="shared" si="29"/>
        <v>#N/A</v>
      </c>
    </row>
    <row r="272" spans="1:11">
      <c r="A272" s="26">
        <v>222</v>
      </c>
      <c r="B272" s="82" t="e">
        <f t="shared" si="30"/>
        <v>#N/A</v>
      </c>
      <c r="C272" s="58" t="e">
        <f t="shared" ref="C272:C335" si="34">($C$37-$C$36)/2000+C271</f>
        <v>#N/A</v>
      </c>
      <c r="D272" s="83" t="e">
        <f t="shared" si="31"/>
        <v>#N/A</v>
      </c>
      <c r="E272" t="e">
        <f t="shared" si="27"/>
        <v>#N/A</v>
      </c>
      <c r="G272">
        <v>222</v>
      </c>
      <c r="H272" s="13" t="e">
        <f t="shared" si="32"/>
        <v>#N/A</v>
      </c>
      <c r="I272" t="e">
        <f t="shared" si="33"/>
        <v>#N/A</v>
      </c>
      <c r="J272" t="e">
        <f t="shared" si="28"/>
        <v>#N/A</v>
      </c>
      <c r="K272" s="27" t="e">
        <f t="shared" si="29"/>
        <v>#N/A</v>
      </c>
    </row>
    <row r="273" spans="1:11">
      <c r="A273" s="26">
        <v>223</v>
      </c>
      <c r="B273" s="82" t="e">
        <f t="shared" si="30"/>
        <v>#N/A</v>
      </c>
      <c r="C273" s="58" t="e">
        <f t="shared" si="34"/>
        <v>#N/A</v>
      </c>
      <c r="D273" s="83" t="e">
        <f t="shared" si="31"/>
        <v>#N/A</v>
      </c>
      <c r="E273" t="e">
        <f t="shared" si="27"/>
        <v>#N/A</v>
      </c>
      <c r="G273">
        <v>223</v>
      </c>
      <c r="H273" s="13" t="e">
        <f t="shared" si="32"/>
        <v>#N/A</v>
      </c>
      <c r="I273" t="e">
        <f t="shared" si="33"/>
        <v>#N/A</v>
      </c>
      <c r="J273" t="e">
        <f t="shared" si="28"/>
        <v>#N/A</v>
      </c>
      <c r="K273" s="27" t="e">
        <f t="shared" si="29"/>
        <v>#N/A</v>
      </c>
    </row>
    <row r="274" spans="1:11">
      <c r="A274" s="26">
        <v>224</v>
      </c>
      <c r="B274" s="82" t="e">
        <f t="shared" si="30"/>
        <v>#N/A</v>
      </c>
      <c r="C274" s="58" t="e">
        <f t="shared" si="34"/>
        <v>#N/A</v>
      </c>
      <c r="D274" s="83" t="e">
        <f t="shared" si="31"/>
        <v>#N/A</v>
      </c>
      <c r="E274" t="e">
        <f t="shared" si="27"/>
        <v>#N/A</v>
      </c>
      <c r="G274">
        <v>224</v>
      </c>
      <c r="H274" s="13" t="e">
        <f t="shared" si="32"/>
        <v>#N/A</v>
      </c>
      <c r="I274" t="e">
        <f t="shared" si="33"/>
        <v>#N/A</v>
      </c>
      <c r="J274" t="e">
        <f t="shared" si="28"/>
        <v>#N/A</v>
      </c>
      <c r="K274" s="27" t="e">
        <f t="shared" si="29"/>
        <v>#N/A</v>
      </c>
    </row>
    <row r="275" spans="1:11">
      <c r="A275" s="26">
        <v>225</v>
      </c>
      <c r="B275" s="82" t="e">
        <f t="shared" si="30"/>
        <v>#N/A</v>
      </c>
      <c r="C275" s="58" t="e">
        <f t="shared" si="34"/>
        <v>#N/A</v>
      </c>
      <c r="D275" s="83" t="e">
        <f t="shared" si="31"/>
        <v>#N/A</v>
      </c>
      <c r="E275" t="e">
        <f t="shared" si="27"/>
        <v>#N/A</v>
      </c>
      <c r="G275">
        <v>225</v>
      </c>
      <c r="H275" s="13" t="e">
        <f t="shared" si="32"/>
        <v>#N/A</v>
      </c>
      <c r="I275" t="e">
        <f t="shared" si="33"/>
        <v>#N/A</v>
      </c>
      <c r="J275" t="e">
        <f t="shared" si="28"/>
        <v>#N/A</v>
      </c>
      <c r="K275" s="27" t="e">
        <f t="shared" si="29"/>
        <v>#N/A</v>
      </c>
    </row>
    <row r="276" spans="1:11">
      <c r="A276" s="26">
        <v>226</v>
      </c>
      <c r="B276" s="82" t="e">
        <f t="shared" si="30"/>
        <v>#N/A</v>
      </c>
      <c r="C276" s="58" t="e">
        <f t="shared" si="34"/>
        <v>#N/A</v>
      </c>
      <c r="D276" s="83" t="e">
        <f t="shared" si="31"/>
        <v>#N/A</v>
      </c>
      <c r="E276" t="e">
        <f t="shared" si="27"/>
        <v>#N/A</v>
      </c>
      <c r="G276">
        <v>226</v>
      </c>
      <c r="H276" s="13" t="e">
        <f t="shared" si="32"/>
        <v>#N/A</v>
      </c>
      <c r="I276" t="e">
        <f t="shared" si="33"/>
        <v>#N/A</v>
      </c>
      <c r="J276" t="e">
        <f t="shared" si="28"/>
        <v>#N/A</v>
      </c>
      <c r="K276" s="27" t="e">
        <f t="shared" si="29"/>
        <v>#N/A</v>
      </c>
    </row>
    <row r="277" spans="1:11">
      <c r="A277" s="26">
        <v>227</v>
      </c>
      <c r="B277" s="82" t="e">
        <f t="shared" si="30"/>
        <v>#N/A</v>
      </c>
      <c r="C277" s="58" t="e">
        <f t="shared" si="34"/>
        <v>#N/A</v>
      </c>
      <c r="D277" s="83" t="e">
        <f t="shared" si="31"/>
        <v>#N/A</v>
      </c>
      <c r="E277" t="e">
        <f t="shared" si="27"/>
        <v>#N/A</v>
      </c>
      <c r="G277">
        <v>227</v>
      </c>
      <c r="H277" s="13" t="e">
        <f t="shared" si="32"/>
        <v>#N/A</v>
      </c>
      <c r="I277" t="e">
        <f t="shared" si="33"/>
        <v>#N/A</v>
      </c>
      <c r="J277" t="e">
        <f t="shared" si="28"/>
        <v>#N/A</v>
      </c>
      <c r="K277" s="27" t="e">
        <f t="shared" si="29"/>
        <v>#N/A</v>
      </c>
    </row>
    <row r="278" spans="1:11">
      <c r="A278" s="26">
        <v>228</v>
      </c>
      <c r="B278" s="82" t="e">
        <f t="shared" si="30"/>
        <v>#N/A</v>
      </c>
      <c r="C278" s="58" t="e">
        <f t="shared" si="34"/>
        <v>#N/A</v>
      </c>
      <c r="D278" s="83" t="e">
        <f t="shared" si="31"/>
        <v>#N/A</v>
      </c>
      <c r="E278" t="e">
        <f t="shared" si="27"/>
        <v>#N/A</v>
      </c>
      <c r="G278">
        <v>228</v>
      </c>
      <c r="H278" s="13" t="e">
        <f t="shared" si="32"/>
        <v>#N/A</v>
      </c>
      <c r="I278" t="e">
        <f t="shared" si="33"/>
        <v>#N/A</v>
      </c>
      <c r="J278" t="e">
        <f t="shared" si="28"/>
        <v>#N/A</v>
      </c>
      <c r="K278" s="27" t="e">
        <f t="shared" si="29"/>
        <v>#N/A</v>
      </c>
    </row>
    <row r="279" spans="1:11">
      <c r="A279" s="26">
        <v>229</v>
      </c>
      <c r="B279" s="82" t="e">
        <f t="shared" si="30"/>
        <v>#N/A</v>
      </c>
      <c r="C279" s="58" t="e">
        <f t="shared" si="34"/>
        <v>#N/A</v>
      </c>
      <c r="D279" s="83" t="e">
        <f t="shared" si="31"/>
        <v>#N/A</v>
      </c>
      <c r="E279" t="e">
        <f t="shared" si="27"/>
        <v>#N/A</v>
      </c>
      <c r="G279">
        <v>229</v>
      </c>
      <c r="H279" s="13" t="e">
        <f t="shared" si="32"/>
        <v>#N/A</v>
      </c>
      <c r="I279" t="e">
        <f t="shared" si="33"/>
        <v>#N/A</v>
      </c>
      <c r="J279" t="e">
        <f t="shared" si="28"/>
        <v>#N/A</v>
      </c>
      <c r="K279" s="27" t="e">
        <f t="shared" si="29"/>
        <v>#N/A</v>
      </c>
    </row>
    <row r="280" spans="1:11">
      <c r="A280" s="26">
        <v>230</v>
      </c>
      <c r="B280" s="82" t="e">
        <f t="shared" si="30"/>
        <v>#N/A</v>
      </c>
      <c r="C280" s="58" t="e">
        <f t="shared" si="34"/>
        <v>#N/A</v>
      </c>
      <c r="D280" s="83" t="e">
        <f t="shared" si="31"/>
        <v>#N/A</v>
      </c>
      <c r="E280" t="e">
        <f t="shared" si="27"/>
        <v>#N/A</v>
      </c>
      <c r="G280">
        <v>230</v>
      </c>
      <c r="H280" s="13" t="e">
        <f t="shared" si="32"/>
        <v>#N/A</v>
      </c>
      <c r="I280" t="e">
        <f t="shared" si="33"/>
        <v>#N/A</v>
      </c>
      <c r="J280" t="e">
        <f t="shared" si="28"/>
        <v>#N/A</v>
      </c>
      <c r="K280" s="27" t="e">
        <f t="shared" si="29"/>
        <v>#N/A</v>
      </c>
    </row>
    <row r="281" spans="1:11">
      <c r="A281" s="26">
        <v>231</v>
      </c>
      <c r="B281" s="82" t="e">
        <f t="shared" si="30"/>
        <v>#N/A</v>
      </c>
      <c r="C281" s="58" t="e">
        <f t="shared" si="34"/>
        <v>#N/A</v>
      </c>
      <c r="D281" s="83" t="e">
        <f t="shared" si="31"/>
        <v>#N/A</v>
      </c>
      <c r="E281" t="e">
        <f t="shared" si="27"/>
        <v>#N/A</v>
      </c>
      <c r="G281">
        <v>231</v>
      </c>
      <c r="H281" s="13" t="e">
        <f t="shared" si="32"/>
        <v>#N/A</v>
      </c>
      <c r="I281" t="e">
        <f t="shared" si="33"/>
        <v>#N/A</v>
      </c>
      <c r="J281" t="e">
        <f t="shared" si="28"/>
        <v>#N/A</v>
      </c>
      <c r="K281" s="27" t="e">
        <f t="shared" si="29"/>
        <v>#N/A</v>
      </c>
    </row>
    <row r="282" spans="1:11">
      <c r="A282" s="26">
        <v>232</v>
      </c>
      <c r="B282" s="82" t="e">
        <f t="shared" si="30"/>
        <v>#N/A</v>
      </c>
      <c r="C282" s="58" t="e">
        <f t="shared" si="34"/>
        <v>#N/A</v>
      </c>
      <c r="D282" s="83" t="e">
        <f t="shared" si="31"/>
        <v>#N/A</v>
      </c>
      <c r="E282" t="e">
        <f t="shared" si="27"/>
        <v>#N/A</v>
      </c>
      <c r="G282">
        <v>232</v>
      </c>
      <c r="H282" s="13" t="e">
        <f t="shared" si="32"/>
        <v>#N/A</v>
      </c>
      <c r="I282" t="e">
        <f t="shared" si="33"/>
        <v>#N/A</v>
      </c>
      <c r="J282" t="e">
        <f t="shared" si="28"/>
        <v>#N/A</v>
      </c>
      <c r="K282" s="27" t="e">
        <f t="shared" si="29"/>
        <v>#N/A</v>
      </c>
    </row>
    <row r="283" spans="1:11">
      <c r="A283" s="26">
        <v>233</v>
      </c>
      <c r="B283" s="82" t="e">
        <f t="shared" si="30"/>
        <v>#N/A</v>
      </c>
      <c r="C283" s="58" t="e">
        <f t="shared" si="34"/>
        <v>#N/A</v>
      </c>
      <c r="D283" s="83" t="e">
        <f t="shared" si="31"/>
        <v>#N/A</v>
      </c>
      <c r="E283" t="e">
        <f t="shared" si="27"/>
        <v>#N/A</v>
      </c>
      <c r="G283">
        <v>233</v>
      </c>
      <c r="H283" s="13" t="e">
        <f t="shared" si="32"/>
        <v>#N/A</v>
      </c>
      <c r="I283" t="e">
        <f t="shared" si="33"/>
        <v>#N/A</v>
      </c>
      <c r="J283" t="e">
        <f t="shared" si="28"/>
        <v>#N/A</v>
      </c>
      <c r="K283" s="27" t="e">
        <f t="shared" si="29"/>
        <v>#N/A</v>
      </c>
    </row>
    <row r="284" spans="1:11">
      <c r="A284" s="26">
        <v>234</v>
      </c>
      <c r="B284" s="82" t="e">
        <f t="shared" si="30"/>
        <v>#N/A</v>
      </c>
      <c r="C284" s="58" t="e">
        <f t="shared" si="34"/>
        <v>#N/A</v>
      </c>
      <c r="D284" s="83" t="e">
        <f t="shared" si="31"/>
        <v>#N/A</v>
      </c>
      <c r="E284" t="e">
        <f t="shared" si="27"/>
        <v>#N/A</v>
      </c>
      <c r="G284">
        <v>234</v>
      </c>
      <c r="H284" s="13" t="e">
        <f t="shared" si="32"/>
        <v>#N/A</v>
      </c>
      <c r="I284" t="e">
        <f t="shared" si="33"/>
        <v>#N/A</v>
      </c>
      <c r="J284" t="e">
        <f t="shared" si="28"/>
        <v>#N/A</v>
      </c>
      <c r="K284" s="27" t="e">
        <f t="shared" si="29"/>
        <v>#N/A</v>
      </c>
    </row>
    <row r="285" spans="1:11">
      <c r="A285" s="26">
        <v>235</v>
      </c>
      <c r="B285" s="82" t="e">
        <f t="shared" si="30"/>
        <v>#N/A</v>
      </c>
      <c r="C285" s="58" t="e">
        <f t="shared" si="34"/>
        <v>#N/A</v>
      </c>
      <c r="D285" s="83" t="e">
        <f t="shared" si="31"/>
        <v>#N/A</v>
      </c>
      <c r="E285" t="e">
        <f t="shared" si="27"/>
        <v>#N/A</v>
      </c>
      <c r="G285">
        <v>235</v>
      </c>
      <c r="H285" s="13" t="e">
        <f t="shared" si="32"/>
        <v>#N/A</v>
      </c>
      <c r="I285" t="e">
        <f t="shared" si="33"/>
        <v>#N/A</v>
      </c>
      <c r="J285" t="e">
        <f t="shared" si="28"/>
        <v>#N/A</v>
      </c>
      <c r="K285" s="27" t="e">
        <f t="shared" si="29"/>
        <v>#N/A</v>
      </c>
    </row>
    <row r="286" spans="1:11">
      <c r="A286" s="26">
        <v>236</v>
      </c>
      <c r="B286" s="82" t="e">
        <f t="shared" si="30"/>
        <v>#N/A</v>
      </c>
      <c r="C286" s="58" t="e">
        <f t="shared" si="34"/>
        <v>#N/A</v>
      </c>
      <c r="D286" s="83" t="e">
        <f t="shared" si="31"/>
        <v>#N/A</v>
      </c>
      <c r="E286" t="e">
        <f t="shared" si="27"/>
        <v>#N/A</v>
      </c>
      <c r="G286">
        <v>236</v>
      </c>
      <c r="H286" s="13" t="e">
        <f t="shared" si="32"/>
        <v>#N/A</v>
      </c>
      <c r="I286" t="e">
        <f t="shared" si="33"/>
        <v>#N/A</v>
      </c>
      <c r="J286" t="e">
        <f t="shared" si="28"/>
        <v>#N/A</v>
      </c>
      <c r="K286" s="27" t="e">
        <f t="shared" si="29"/>
        <v>#N/A</v>
      </c>
    </row>
    <row r="287" spans="1:11">
      <c r="A287" s="26">
        <v>237</v>
      </c>
      <c r="B287" s="82" t="e">
        <f t="shared" si="30"/>
        <v>#N/A</v>
      </c>
      <c r="C287" s="58" t="e">
        <f t="shared" si="34"/>
        <v>#N/A</v>
      </c>
      <c r="D287" s="83" t="e">
        <f t="shared" si="31"/>
        <v>#N/A</v>
      </c>
      <c r="E287" t="e">
        <f t="shared" si="27"/>
        <v>#N/A</v>
      </c>
      <c r="G287">
        <v>237</v>
      </c>
      <c r="H287" s="13" t="e">
        <f t="shared" si="32"/>
        <v>#N/A</v>
      </c>
      <c r="I287" t="e">
        <f t="shared" si="33"/>
        <v>#N/A</v>
      </c>
      <c r="J287" t="e">
        <f t="shared" si="28"/>
        <v>#N/A</v>
      </c>
      <c r="K287" s="27" t="e">
        <f t="shared" si="29"/>
        <v>#N/A</v>
      </c>
    </row>
    <row r="288" spans="1:11">
      <c r="A288" s="26">
        <v>238</v>
      </c>
      <c r="B288" s="82" t="e">
        <f t="shared" si="30"/>
        <v>#N/A</v>
      </c>
      <c r="C288" s="58" t="e">
        <f t="shared" si="34"/>
        <v>#N/A</v>
      </c>
      <c r="D288" s="83" t="e">
        <f t="shared" si="31"/>
        <v>#N/A</v>
      </c>
      <c r="E288" t="e">
        <f t="shared" si="27"/>
        <v>#N/A</v>
      </c>
      <c r="G288">
        <v>238</v>
      </c>
      <c r="H288" s="13" t="e">
        <f t="shared" si="32"/>
        <v>#N/A</v>
      </c>
      <c r="I288" t="e">
        <f t="shared" si="33"/>
        <v>#N/A</v>
      </c>
      <c r="J288" t="e">
        <f t="shared" si="28"/>
        <v>#N/A</v>
      </c>
      <c r="K288" s="27" t="e">
        <f t="shared" si="29"/>
        <v>#N/A</v>
      </c>
    </row>
    <row r="289" spans="1:11">
      <c r="A289" s="26">
        <v>239</v>
      </c>
      <c r="B289" s="82" t="e">
        <f t="shared" si="30"/>
        <v>#N/A</v>
      </c>
      <c r="C289" s="58" t="e">
        <f t="shared" si="34"/>
        <v>#N/A</v>
      </c>
      <c r="D289" s="83" t="e">
        <f t="shared" si="31"/>
        <v>#N/A</v>
      </c>
      <c r="E289" t="e">
        <f t="shared" si="27"/>
        <v>#N/A</v>
      </c>
      <c r="G289">
        <v>239</v>
      </c>
      <c r="H289" s="13" t="e">
        <f t="shared" si="32"/>
        <v>#N/A</v>
      </c>
      <c r="I289" t="e">
        <f t="shared" si="33"/>
        <v>#N/A</v>
      </c>
      <c r="J289" t="e">
        <f t="shared" si="28"/>
        <v>#N/A</v>
      </c>
      <c r="K289" s="27" t="e">
        <f t="shared" si="29"/>
        <v>#N/A</v>
      </c>
    </row>
    <row r="290" spans="1:11">
      <c r="A290" s="26">
        <v>240</v>
      </c>
      <c r="B290" s="82" t="e">
        <f t="shared" si="30"/>
        <v>#N/A</v>
      </c>
      <c r="C290" s="58" t="e">
        <f t="shared" si="34"/>
        <v>#N/A</v>
      </c>
      <c r="D290" s="83" t="e">
        <f t="shared" si="31"/>
        <v>#N/A</v>
      </c>
      <c r="E290" t="e">
        <f t="shared" si="27"/>
        <v>#N/A</v>
      </c>
      <c r="G290">
        <v>240</v>
      </c>
      <c r="H290" s="13" t="e">
        <f t="shared" si="32"/>
        <v>#N/A</v>
      </c>
      <c r="I290" t="e">
        <f t="shared" si="33"/>
        <v>#N/A</v>
      </c>
      <c r="J290" t="e">
        <f t="shared" si="28"/>
        <v>#N/A</v>
      </c>
      <c r="K290" s="27" t="e">
        <f t="shared" si="29"/>
        <v>#N/A</v>
      </c>
    </row>
    <row r="291" spans="1:11">
      <c r="A291" s="26">
        <v>241</v>
      </c>
      <c r="B291" s="82" t="e">
        <f t="shared" si="30"/>
        <v>#N/A</v>
      </c>
      <c r="C291" s="58" t="e">
        <f t="shared" si="34"/>
        <v>#N/A</v>
      </c>
      <c r="D291" s="83" t="e">
        <f t="shared" si="31"/>
        <v>#N/A</v>
      </c>
      <c r="E291" t="e">
        <f t="shared" si="27"/>
        <v>#N/A</v>
      </c>
      <c r="G291">
        <v>241</v>
      </c>
      <c r="H291" s="13" t="e">
        <f t="shared" si="32"/>
        <v>#N/A</v>
      </c>
      <c r="I291" t="e">
        <f t="shared" si="33"/>
        <v>#N/A</v>
      </c>
      <c r="J291" t="e">
        <f t="shared" si="28"/>
        <v>#N/A</v>
      </c>
      <c r="K291" s="27" t="e">
        <f t="shared" si="29"/>
        <v>#N/A</v>
      </c>
    </row>
    <row r="292" spans="1:11">
      <c r="A292" s="26">
        <v>242</v>
      </c>
      <c r="B292" s="82" t="e">
        <f t="shared" si="30"/>
        <v>#N/A</v>
      </c>
      <c r="C292" s="58" t="e">
        <f t="shared" si="34"/>
        <v>#N/A</v>
      </c>
      <c r="D292" s="83" t="e">
        <f t="shared" si="31"/>
        <v>#N/A</v>
      </c>
      <c r="E292" t="e">
        <f t="shared" si="27"/>
        <v>#N/A</v>
      </c>
      <c r="G292">
        <v>242</v>
      </c>
      <c r="H292" s="13" t="e">
        <f t="shared" si="32"/>
        <v>#N/A</v>
      </c>
      <c r="I292" t="e">
        <f t="shared" si="33"/>
        <v>#N/A</v>
      </c>
      <c r="J292" t="e">
        <f t="shared" si="28"/>
        <v>#N/A</v>
      </c>
      <c r="K292" s="27" t="e">
        <f t="shared" si="29"/>
        <v>#N/A</v>
      </c>
    </row>
    <row r="293" spans="1:11">
      <c r="A293" s="26">
        <v>243</v>
      </c>
      <c r="B293" s="82" t="e">
        <f t="shared" si="30"/>
        <v>#N/A</v>
      </c>
      <c r="C293" s="58" t="e">
        <f t="shared" si="34"/>
        <v>#N/A</v>
      </c>
      <c r="D293" s="83" t="e">
        <f t="shared" si="31"/>
        <v>#N/A</v>
      </c>
      <c r="E293" t="e">
        <f t="shared" si="27"/>
        <v>#N/A</v>
      </c>
      <c r="G293">
        <v>243</v>
      </c>
      <c r="H293" s="13" t="e">
        <f t="shared" si="32"/>
        <v>#N/A</v>
      </c>
      <c r="I293" t="e">
        <f t="shared" si="33"/>
        <v>#N/A</v>
      </c>
      <c r="J293" t="e">
        <f t="shared" si="28"/>
        <v>#N/A</v>
      </c>
      <c r="K293" s="27" t="e">
        <f t="shared" si="29"/>
        <v>#N/A</v>
      </c>
    </row>
    <row r="294" spans="1:11">
      <c r="A294" s="26">
        <v>244</v>
      </c>
      <c r="B294" s="82" t="e">
        <f t="shared" si="30"/>
        <v>#N/A</v>
      </c>
      <c r="C294" s="58" t="e">
        <f t="shared" si="34"/>
        <v>#N/A</v>
      </c>
      <c r="D294" s="83" t="e">
        <f t="shared" si="31"/>
        <v>#N/A</v>
      </c>
      <c r="E294" t="e">
        <f t="shared" si="27"/>
        <v>#N/A</v>
      </c>
      <c r="G294">
        <v>244</v>
      </c>
      <c r="H294" s="13" t="e">
        <f t="shared" si="32"/>
        <v>#N/A</v>
      </c>
      <c r="I294" t="e">
        <f t="shared" si="33"/>
        <v>#N/A</v>
      </c>
      <c r="J294" t="e">
        <f t="shared" si="28"/>
        <v>#N/A</v>
      </c>
      <c r="K294" s="27" t="e">
        <f t="shared" si="29"/>
        <v>#N/A</v>
      </c>
    </row>
    <row r="295" spans="1:11">
      <c r="A295" s="26">
        <v>245</v>
      </c>
      <c r="B295" s="82" t="e">
        <f t="shared" si="30"/>
        <v>#N/A</v>
      </c>
      <c r="C295" s="58" t="e">
        <f t="shared" si="34"/>
        <v>#N/A</v>
      </c>
      <c r="D295" s="83" t="e">
        <f t="shared" si="31"/>
        <v>#N/A</v>
      </c>
      <c r="E295" t="e">
        <f t="shared" si="27"/>
        <v>#N/A</v>
      </c>
      <c r="G295">
        <v>245</v>
      </c>
      <c r="H295" s="13" t="e">
        <f t="shared" si="32"/>
        <v>#N/A</v>
      </c>
      <c r="I295" t="e">
        <f t="shared" si="33"/>
        <v>#N/A</v>
      </c>
      <c r="J295" t="e">
        <f t="shared" si="28"/>
        <v>#N/A</v>
      </c>
      <c r="K295" s="27" t="e">
        <f t="shared" si="29"/>
        <v>#N/A</v>
      </c>
    </row>
    <row r="296" spans="1:11">
      <c r="A296" s="26">
        <v>246</v>
      </c>
      <c r="B296" s="82" t="e">
        <f t="shared" si="30"/>
        <v>#N/A</v>
      </c>
      <c r="C296" s="58" t="e">
        <f t="shared" si="34"/>
        <v>#N/A</v>
      </c>
      <c r="D296" s="83" t="e">
        <f t="shared" si="31"/>
        <v>#N/A</v>
      </c>
      <c r="E296" t="e">
        <f t="shared" si="27"/>
        <v>#N/A</v>
      </c>
      <c r="G296">
        <v>246</v>
      </c>
      <c r="H296" s="13" t="e">
        <f t="shared" si="32"/>
        <v>#N/A</v>
      </c>
      <c r="I296" t="e">
        <f t="shared" si="33"/>
        <v>#N/A</v>
      </c>
      <c r="J296" t="e">
        <f t="shared" si="28"/>
        <v>#N/A</v>
      </c>
      <c r="K296" s="27" t="e">
        <f t="shared" si="29"/>
        <v>#N/A</v>
      </c>
    </row>
    <row r="297" spans="1:11">
      <c r="A297" s="26">
        <v>247</v>
      </c>
      <c r="B297" s="82" t="e">
        <f t="shared" si="30"/>
        <v>#N/A</v>
      </c>
      <c r="C297" s="58" t="e">
        <f t="shared" si="34"/>
        <v>#N/A</v>
      </c>
      <c r="D297" s="83" t="e">
        <f t="shared" si="31"/>
        <v>#N/A</v>
      </c>
      <c r="E297" t="e">
        <f t="shared" si="27"/>
        <v>#N/A</v>
      </c>
      <c r="G297">
        <v>247</v>
      </c>
      <c r="H297" s="13" t="e">
        <f t="shared" si="32"/>
        <v>#N/A</v>
      </c>
      <c r="I297" t="e">
        <f t="shared" si="33"/>
        <v>#N/A</v>
      </c>
      <c r="J297" t="e">
        <f t="shared" si="28"/>
        <v>#N/A</v>
      </c>
      <c r="K297" s="27" t="e">
        <f t="shared" si="29"/>
        <v>#N/A</v>
      </c>
    </row>
    <row r="298" spans="1:11">
      <c r="A298" s="26">
        <v>248</v>
      </c>
      <c r="B298" s="82" t="e">
        <f t="shared" si="30"/>
        <v>#N/A</v>
      </c>
      <c r="C298" s="58" t="e">
        <f t="shared" si="34"/>
        <v>#N/A</v>
      </c>
      <c r="D298" s="83" t="e">
        <f t="shared" si="31"/>
        <v>#N/A</v>
      </c>
      <c r="E298" t="e">
        <f t="shared" si="27"/>
        <v>#N/A</v>
      </c>
      <c r="G298">
        <v>248</v>
      </c>
      <c r="H298" s="13" t="e">
        <f t="shared" si="32"/>
        <v>#N/A</v>
      </c>
      <c r="I298" t="e">
        <f t="shared" si="33"/>
        <v>#N/A</v>
      </c>
      <c r="J298" t="e">
        <f t="shared" si="28"/>
        <v>#N/A</v>
      </c>
      <c r="K298" s="27" t="e">
        <f t="shared" si="29"/>
        <v>#N/A</v>
      </c>
    </row>
    <row r="299" spans="1:11">
      <c r="A299" s="26">
        <v>249</v>
      </c>
      <c r="B299" s="82" t="e">
        <f t="shared" si="30"/>
        <v>#N/A</v>
      </c>
      <c r="C299" s="58" t="e">
        <f t="shared" si="34"/>
        <v>#N/A</v>
      </c>
      <c r="D299" s="83" t="e">
        <f t="shared" si="31"/>
        <v>#N/A</v>
      </c>
      <c r="E299" t="e">
        <f t="shared" si="27"/>
        <v>#N/A</v>
      </c>
      <c r="G299">
        <v>249</v>
      </c>
      <c r="H299" s="13" t="e">
        <f t="shared" si="32"/>
        <v>#N/A</v>
      </c>
      <c r="I299" t="e">
        <f t="shared" si="33"/>
        <v>#N/A</v>
      </c>
      <c r="J299" t="e">
        <f t="shared" si="28"/>
        <v>#N/A</v>
      </c>
      <c r="K299" s="27" t="e">
        <f t="shared" si="29"/>
        <v>#N/A</v>
      </c>
    </row>
    <row r="300" spans="1:11">
      <c r="A300" s="26">
        <v>250</v>
      </c>
      <c r="B300" s="82" t="e">
        <f t="shared" si="30"/>
        <v>#N/A</v>
      </c>
      <c r="C300" s="58" t="e">
        <f t="shared" si="34"/>
        <v>#N/A</v>
      </c>
      <c r="D300" s="83" t="e">
        <f t="shared" si="31"/>
        <v>#N/A</v>
      </c>
      <c r="E300" t="e">
        <f t="shared" si="27"/>
        <v>#N/A</v>
      </c>
      <c r="G300">
        <v>250</v>
      </c>
      <c r="H300" s="13" t="e">
        <f t="shared" si="32"/>
        <v>#N/A</v>
      </c>
      <c r="I300" t="e">
        <f t="shared" si="33"/>
        <v>#N/A</v>
      </c>
      <c r="J300" t="e">
        <f t="shared" si="28"/>
        <v>#N/A</v>
      </c>
      <c r="K300" s="27" t="e">
        <f t="shared" si="29"/>
        <v>#N/A</v>
      </c>
    </row>
    <row r="301" spans="1:11">
      <c r="A301" s="26">
        <v>251</v>
      </c>
      <c r="B301" s="82" t="e">
        <f t="shared" si="30"/>
        <v>#N/A</v>
      </c>
      <c r="C301" s="58" t="e">
        <f t="shared" si="34"/>
        <v>#N/A</v>
      </c>
      <c r="D301" s="83" t="e">
        <f t="shared" si="31"/>
        <v>#N/A</v>
      </c>
      <c r="E301" t="e">
        <f t="shared" si="27"/>
        <v>#N/A</v>
      </c>
      <c r="G301">
        <v>251</v>
      </c>
      <c r="H301" s="13" t="e">
        <f t="shared" si="32"/>
        <v>#N/A</v>
      </c>
      <c r="I301" t="e">
        <f t="shared" si="33"/>
        <v>#N/A</v>
      </c>
      <c r="J301" t="e">
        <f t="shared" si="28"/>
        <v>#N/A</v>
      </c>
      <c r="K301" s="27" t="e">
        <f t="shared" si="29"/>
        <v>#N/A</v>
      </c>
    </row>
    <row r="302" spans="1:11">
      <c r="A302" s="26">
        <v>252</v>
      </c>
      <c r="B302" s="82" t="e">
        <f t="shared" si="30"/>
        <v>#N/A</v>
      </c>
      <c r="C302" s="58" t="e">
        <f t="shared" si="34"/>
        <v>#N/A</v>
      </c>
      <c r="D302" s="83" t="e">
        <f t="shared" si="31"/>
        <v>#N/A</v>
      </c>
      <c r="E302" t="e">
        <f t="shared" si="27"/>
        <v>#N/A</v>
      </c>
      <c r="G302">
        <v>252</v>
      </c>
      <c r="H302" s="13" t="e">
        <f t="shared" si="32"/>
        <v>#N/A</v>
      </c>
      <c r="I302" t="e">
        <f t="shared" si="33"/>
        <v>#N/A</v>
      </c>
      <c r="J302" t="e">
        <f t="shared" si="28"/>
        <v>#N/A</v>
      </c>
      <c r="K302" s="27" t="e">
        <f t="shared" si="29"/>
        <v>#N/A</v>
      </c>
    </row>
    <row r="303" spans="1:11">
      <c r="A303" s="26">
        <v>253</v>
      </c>
      <c r="B303" s="82" t="e">
        <f t="shared" si="30"/>
        <v>#N/A</v>
      </c>
      <c r="C303" s="58" t="e">
        <f t="shared" si="34"/>
        <v>#N/A</v>
      </c>
      <c r="D303" s="83" t="e">
        <f t="shared" si="31"/>
        <v>#N/A</v>
      </c>
      <c r="E303" t="e">
        <f t="shared" si="27"/>
        <v>#N/A</v>
      </c>
      <c r="G303">
        <v>253</v>
      </c>
      <c r="H303" s="13" t="e">
        <f t="shared" si="32"/>
        <v>#N/A</v>
      </c>
      <c r="I303" t="e">
        <f t="shared" si="33"/>
        <v>#N/A</v>
      </c>
      <c r="J303" t="e">
        <f t="shared" si="28"/>
        <v>#N/A</v>
      </c>
      <c r="K303" s="27" t="e">
        <f t="shared" si="29"/>
        <v>#N/A</v>
      </c>
    </row>
    <row r="304" spans="1:11">
      <c r="A304" s="26">
        <v>254</v>
      </c>
      <c r="B304" s="82" t="e">
        <f t="shared" si="30"/>
        <v>#N/A</v>
      </c>
      <c r="C304" s="58" t="e">
        <f t="shared" si="34"/>
        <v>#N/A</v>
      </c>
      <c r="D304" s="83" t="e">
        <f t="shared" si="31"/>
        <v>#N/A</v>
      </c>
      <c r="E304" t="e">
        <f t="shared" si="27"/>
        <v>#N/A</v>
      </c>
      <c r="G304">
        <v>254</v>
      </c>
      <c r="H304" s="13" t="e">
        <f t="shared" si="32"/>
        <v>#N/A</v>
      </c>
      <c r="I304" t="e">
        <f t="shared" si="33"/>
        <v>#N/A</v>
      </c>
      <c r="J304" t="e">
        <f t="shared" si="28"/>
        <v>#N/A</v>
      </c>
      <c r="K304" s="27" t="e">
        <f t="shared" si="29"/>
        <v>#N/A</v>
      </c>
    </row>
    <row r="305" spans="1:11">
      <c r="A305" s="26">
        <v>255</v>
      </c>
      <c r="B305" s="82" t="e">
        <f t="shared" si="30"/>
        <v>#N/A</v>
      </c>
      <c r="C305" s="58" t="e">
        <f t="shared" si="34"/>
        <v>#N/A</v>
      </c>
      <c r="D305" s="83" t="e">
        <f t="shared" si="31"/>
        <v>#N/A</v>
      </c>
      <c r="E305" t="e">
        <f t="shared" si="27"/>
        <v>#N/A</v>
      </c>
      <c r="G305">
        <v>255</v>
      </c>
      <c r="H305" s="13" t="e">
        <f t="shared" si="32"/>
        <v>#N/A</v>
      </c>
      <c r="I305" t="e">
        <f t="shared" si="33"/>
        <v>#N/A</v>
      </c>
      <c r="J305" t="e">
        <f t="shared" si="28"/>
        <v>#N/A</v>
      </c>
      <c r="K305" s="27" t="e">
        <f t="shared" si="29"/>
        <v>#N/A</v>
      </c>
    </row>
    <row r="306" spans="1:11">
      <c r="A306" s="26">
        <v>256</v>
      </c>
      <c r="B306" s="82" t="e">
        <f t="shared" si="30"/>
        <v>#N/A</v>
      </c>
      <c r="C306" s="58" t="e">
        <f t="shared" si="34"/>
        <v>#N/A</v>
      </c>
      <c r="D306" s="83" t="e">
        <f t="shared" si="31"/>
        <v>#N/A</v>
      </c>
      <c r="E306" t="e">
        <f t="shared" si="27"/>
        <v>#N/A</v>
      </c>
      <c r="G306">
        <v>256</v>
      </c>
      <c r="H306" s="13" t="e">
        <f t="shared" si="32"/>
        <v>#N/A</v>
      </c>
      <c r="I306" t="e">
        <f t="shared" si="33"/>
        <v>#N/A</v>
      </c>
      <c r="J306" t="e">
        <f t="shared" si="28"/>
        <v>#N/A</v>
      </c>
      <c r="K306" s="27" t="e">
        <f t="shared" si="29"/>
        <v>#N/A</v>
      </c>
    </row>
    <row r="307" spans="1:11">
      <c r="A307" s="26">
        <v>257</v>
      </c>
      <c r="B307" s="82" t="e">
        <f t="shared" si="30"/>
        <v>#N/A</v>
      </c>
      <c r="C307" s="58" t="e">
        <f t="shared" si="34"/>
        <v>#N/A</v>
      </c>
      <c r="D307" s="83" t="e">
        <f t="shared" si="31"/>
        <v>#N/A</v>
      </c>
      <c r="E307" t="e">
        <f t="shared" ref="E307:E370" si="35">((D307^2)+(D307*D308)+(D308^2))*B308/3</f>
        <v>#N/A</v>
      </c>
      <c r="G307">
        <v>257</v>
      </c>
      <c r="H307" s="13" t="e">
        <f t="shared" si="32"/>
        <v>#N/A</v>
      </c>
      <c r="I307" t="e">
        <f t="shared" si="33"/>
        <v>#N/A</v>
      </c>
      <c r="J307" t="e">
        <f t="shared" ref="J307:J370" si="36">IF($G$28&lt;$C$14,0,((($C$11^2)-((I307-$C$13)^2))^0.5)+$C$16)</f>
        <v>#N/A</v>
      </c>
      <c r="K307" s="27" t="e">
        <f t="shared" ref="K307:K370" si="37">((J307^2)+(J307*J308)+(J308^2))*H308/3</f>
        <v>#N/A</v>
      </c>
    </row>
    <row r="308" spans="1:11">
      <c r="A308" s="26">
        <v>258</v>
      </c>
      <c r="B308" s="82" t="e">
        <f t="shared" ref="B308:B371" si="38">C308-C307</f>
        <v>#N/A</v>
      </c>
      <c r="C308" s="58" t="e">
        <f t="shared" si="34"/>
        <v>#N/A</v>
      </c>
      <c r="D308" s="83" t="e">
        <f t="shared" ref="D308:D371" si="39">IF($G$28&lt;$C$14,0,((($C$11^2)-((C308-$C$13)^2))^0.5)+$C$16)</f>
        <v>#N/A</v>
      </c>
      <c r="E308" t="e">
        <f t="shared" si="35"/>
        <v>#N/A</v>
      </c>
      <c r="G308">
        <v>258</v>
      </c>
      <c r="H308" s="13" t="e">
        <f t="shared" ref="H308:H371" si="40">I308-I307</f>
        <v>#N/A</v>
      </c>
      <c r="I308" t="e">
        <f t="shared" ref="I308:I371" si="41">($G$27-$C$14)/2000+I307</f>
        <v>#N/A</v>
      </c>
      <c r="J308" t="e">
        <f t="shared" si="36"/>
        <v>#N/A</v>
      </c>
      <c r="K308" s="27" t="e">
        <f t="shared" si="37"/>
        <v>#N/A</v>
      </c>
    </row>
    <row r="309" spans="1:11">
      <c r="A309" s="26">
        <v>259</v>
      </c>
      <c r="B309" s="82" t="e">
        <f t="shared" si="38"/>
        <v>#N/A</v>
      </c>
      <c r="C309" s="58" t="e">
        <f t="shared" si="34"/>
        <v>#N/A</v>
      </c>
      <c r="D309" s="83" t="e">
        <f t="shared" si="39"/>
        <v>#N/A</v>
      </c>
      <c r="E309" t="e">
        <f t="shared" si="35"/>
        <v>#N/A</v>
      </c>
      <c r="G309">
        <v>259</v>
      </c>
      <c r="H309" s="13" t="e">
        <f t="shared" si="40"/>
        <v>#N/A</v>
      </c>
      <c r="I309" t="e">
        <f t="shared" si="41"/>
        <v>#N/A</v>
      </c>
      <c r="J309" t="e">
        <f t="shared" si="36"/>
        <v>#N/A</v>
      </c>
      <c r="K309" s="27" t="e">
        <f t="shared" si="37"/>
        <v>#N/A</v>
      </c>
    </row>
    <row r="310" spans="1:11">
      <c r="A310" s="26">
        <v>260</v>
      </c>
      <c r="B310" s="82" t="e">
        <f t="shared" si="38"/>
        <v>#N/A</v>
      </c>
      <c r="C310" s="58" t="e">
        <f t="shared" si="34"/>
        <v>#N/A</v>
      </c>
      <c r="D310" s="83" t="e">
        <f t="shared" si="39"/>
        <v>#N/A</v>
      </c>
      <c r="E310" t="e">
        <f t="shared" si="35"/>
        <v>#N/A</v>
      </c>
      <c r="G310">
        <v>260</v>
      </c>
      <c r="H310" s="13" t="e">
        <f t="shared" si="40"/>
        <v>#N/A</v>
      </c>
      <c r="I310" t="e">
        <f t="shared" si="41"/>
        <v>#N/A</v>
      </c>
      <c r="J310" t="e">
        <f t="shared" si="36"/>
        <v>#N/A</v>
      </c>
      <c r="K310" s="27" t="e">
        <f t="shared" si="37"/>
        <v>#N/A</v>
      </c>
    </row>
    <row r="311" spans="1:11">
      <c r="A311" s="26">
        <v>261</v>
      </c>
      <c r="B311" s="82" t="e">
        <f t="shared" si="38"/>
        <v>#N/A</v>
      </c>
      <c r="C311" s="58" t="e">
        <f t="shared" si="34"/>
        <v>#N/A</v>
      </c>
      <c r="D311" s="83" t="e">
        <f t="shared" si="39"/>
        <v>#N/A</v>
      </c>
      <c r="E311" t="e">
        <f t="shared" si="35"/>
        <v>#N/A</v>
      </c>
      <c r="G311">
        <v>261</v>
      </c>
      <c r="H311" s="13" t="e">
        <f t="shared" si="40"/>
        <v>#N/A</v>
      </c>
      <c r="I311" t="e">
        <f t="shared" si="41"/>
        <v>#N/A</v>
      </c>
      <c r="J311" t="e">
        <f t="shared" si="36"/>
        <v>#N/A</v>
      </c>
      <c r="K311" s="27" t="e">
        <f t="shared" si="37"/>
        <v>#N/A</v>
      </c>
    </row>
    <row r="312" spans="1:11">
      <c r="A312" s="26">
        <v>262</v>
      </c>
      <c r="B312" s="82" t="e">
        <f t="shared" si="38"/>
        <v>#N/A</v>
      </c>
      <c r="C312" s="58" t="e">
        <f t="shared" si="34"/>
        <v>#N/A</v>
      </c>
      <c r="D312" s="83" t="e">
        <f t="shared" si="39"/>
        <v>#N/A</v>
      </c>
      <c r="E312" t="e">
        <f t="shared" si="35"/>
        <v>#N/A</v>
      </c>
      <c r="G312">
        <v>262</v>
      </c>
      <c r="H312" s="13" t="e">
        <f t="shared" si="40"/>
        <v>#N/A</v>
      </c>
      <c r="I312" t="e">
        <f t="shared" si="41"/>
        <v>#N/A</v>
      </c>
      <c r="J312" t="e">
        <f t="shared" si="36"/>
        <v>#N/A</v>
      </c>
      <c r="K312" s="27" t="e">
        <f t="shared" si="37"/>
        <v>#N/A</v>
      </c>
    </row>
    <row r="313" spans="1:11">
      <c r="A313" s="26">
        <v>263</v>
      </c>
      <c r="B313" s="82" t="e">
        <f t="shared" si="38"/>
        <v>#N/A</v>
      </c>
      <c r="C313" s="58" t="e">
        <f t="shared" si="34"/>
        <v>#N/A</v>
      </c>
      <c r="D313" s="83" t="e">
        <f t="shared" si="39"/>
        <v>#N/A</v>
      </c>
      <c r="E313" t="e">
        <f t="shared" si="35"/>
        <v>#N/A</v>
      </c>
      <c r="G313">
        <v>263</v>
      </c>
      <c r="H313" s="13" t="e">
        <f t="shared" si="40"/>
        <v>#N/A</v>
      </c>
      <c r="I313" t="e">
        <f t="shared" si="41"/>
        <v>#N/A</v>
      </c>
      <c r="J313" t="e">
        <f t="shared" si="36"/>
        <v>#N/A</v>
      </c>
      <c r="K313" s="27" t="e">
        <f t="shared" si="37"/>
        <v>#N/A</v>
      </c>
    </row>
    <row r="314" spans="1:11">
      <c r="A314" s="26">
        <v>264</v>
      </c>
      <c r="B314" s="82" t="e">
        <f t="shared" si="38"/>
        <v>#N/A</v>
      </c>
      <c r="C314" s="58" t="e">
        <f t="shared" si="34"/>
        <v>#N/A</v>
      </c>
      <c r="D314" s="83" t="e">
        <f t="shared" si="39"/>
        <v>#N/A</v>
      </c>
      <c r="E314" t="e">
        <f t="shared" si="35"/>
        <v>#N/A</v>
      </c>
      <c r="G314">
        <v>264</v>
      </c>
      <c r="H314" s="13" t="e">
        <f t="shared" si="40"/>
        <v>#N/A</v>
      </c>
      <c r="I314" t="e">
        <f t="shared" si="41"/>
        <v>#N/A</v>
      </c>
      <c r="J314" t="e">
        <f t="shared" si="36"/>
        <v>#N/A</v>
      </c>
      <c r="K314" s="27" t="e">
        <f t="shared" si="37"/>
        <v>#N/A</v>
      </c>
    </row>
    <row r="315" spans="1:11">
      <c r="A315" s="26">
        <v>265</v>
      </c>
      <c r="B315" s="82" t="e">
        <f t="shared" si="38"/>
        <v>#N/A</v>
      </c>
      <c r="C315" s="58" t="e">
        <f t="shared" si="34"/>
        <v>#N/A</v>
      </c>
      <c r="D315" s="83" t="e">
        <f t="shared" si="39"/>
        <v>#N/A</v>
      </c>
      <c r="E315" t="e">
        <f t="shared" si="35"/>
        <v>#N/A</v>
      </c>
      <c r="G315">
        <v>265</v>
      </c>
      <c r="H315" s="13" t="e">
        <f t="shared" si="40"/>
        <v>#N/A</v>
      </c>
      <c r="I315" t="e">
        <f t="shared" si="41"/>
        <v>#N/A</v>
      </c>
      <c r="J315" t="e">
        <f t="shared" si="36"/>
        <v>#N/A</v>
      </c>
      <c r="K315" s="27" t="e">
        <f t="shared" si="37"/>
        <v>#N/A</v>
      </c>
    </row>
    <row r="316" spans="1:11">
      <c r="A316" s="26">
        <v>266</v>
      </c>
      <c r="B316" s="82" t="e">
        <f t="shared" si="38"/>
        <v>#N/A</v>
      </c>
      <c r="C316" s="58" t="e">
        <f t="shared" si="34"/>
        <v>#N/A</v>
      </c>
      <c r="D316" s="83" t="e">
        <f t="shared" si="39"/>
        <v>#N/A</v>
      </c>
      <c r="E316" t="e">
        <f t="shared" si="35"/>
        <v>#N/A</v>
      </c>
      <c r="G316">
        <v>266</v>
      </c>
      <c r="H316" s="13" t="e">
        <f t="shared" si="40"/>
        <v>#N/A</v>
      </c>
      <c r="I316" t="e">
        <f t="shared" si="41"/>
        <v>#N/A</v>
      </c>
      <c r="J316" t="e">
        <f t="shared" si="36"/>
        <v>#N/A</v>
      </c>
      <c r="K316" s="27" t="e">
        <f t="shared" si="37"/>
        <v>#N/A</v>
      </c>
    </row>
    <row r="317" spans="1:11">
      <c r="A317" s="26">
        <v>267</v>
      </c>
      <c r="B317" s="82" t="e">
        <f t="shared" si="38"/>
        <v>#N/A</v>
      </c>
      <c r="C317" s="58" t="e">
        <f t="shared" si="34"/>
        <v>#N/A</v>
      </c>
      <c r="D317" s="83" t="e">
        <f t="shared" si="39"/>
        <v>#N/A</v>
      </c>
      <c r="E317" t="e">
        <f t="shared" si="35"/>
        <v>#N/A</v>
      </c>
      <c r="G317">
        <v>267</v>
      </c>
      <c r="H317" s="13" t="e">
        <f t="shared" si="40"/>
        <v>#N/A</v>
      </c>
      <c r="I317" t="e">
        <f t="shared" si="41"/>
        <v>#N/A</v>
      </c>
      <c r="J317" t="e">
        <f t="shared" si="36"/>
        <v>#N/A</v>
      </c>
      <c r="K317" s="27" t="e">
        <f t="shared" si="37"/>
        <v>#N/A</v>
      </c>
    </row>
    <row r="318" spans="1:11">
      <c r="A318" s="26">
        <v>268</v>
      </c>
      <c r="B318" s="82" t="e">
        <f t="shared" si="38"/>
        <v>#N/A</v>
      </c>
      <c r="C318" s="58" t="e">
        <f t="shared" si="34"/>
        <v>#N/A</v>
      </c>
      <c r="D318" s="83" t="e">
        <f t="shared" si="39"/>
        <v>#N/A</v>
      </c>
      <c r="E318" t="e">
        <f t="shared" si="35"/>
        <v>#N/A</v>
      </c>
      <c r="G318">
        <v>268</v>
      </c>
      <c r="H318" s="13" t="e">
        <f t="shared" si="40"/>
        <v>#N/A</v>
      </c>
      <c r="I318" t="e">
        <f t="shared" si="41"/>
        <v>#N/A</v>
      </c>
      <c r="J318" t="e">
        <f t="shared" si="36"/>
        <v>#N/A</v>
      </c>
      <c r="K318" s="27" t="e">
        <f t="shared" si="37"/>
        <v>#N/A</v>
      </c>
    </row>
    <row r="319" spans="1:11">
      <c r="A319" s="26">
        <v>269</v>
      </c>
      <c r="B319" s="82" t="e">
        <f t="shared" si="38"/>
        <v>#N/A</v>
      </c>
      <c r="C319" s="58" t="e">
        <f t="shared" si="34"/>
        <v>#N/A</v>
      </c>
      <c r="D319" s="83" t="e">
        <f t="shared" si="39"/>
        <v>#N/A</v>
      </c>
      <c r="E319" t="e">
        <f t="shared" si="35"/>
        <v>#N/A</v>
      </c>
      <c r="G319">
        <v>269</v>
      </c>
      <c r="H319" s="13" t="e">
        <f t="shared" si="40"/>
        <v>#N/A</v>
      </c>
      <c r="I319" t="e">
        <f t="shared" si="41"/>
        <v>#N/A</v>
      </c>
      <c r="J319" t="e">
        <f t="shared" si="36"/>
        <v>#N/A</v>
      </c>
      <c r="K319" s="27" t="e">
        <f t="shared" si="37"/>
        <v>#N/A</v>
      </c>
    </row>
    <row r="320" spans="1:11">
      <c r="A320" s="26">
        <v>270</v>
      </c>
      <c r="B320" s="82" t="e">
        <f t="shared" si="38"/>
        <v>#N/A</v>
      </c>
      <c r="C320" s="58" t="e">
        <f t="shared" si="34"/>
        <v>#N/A</v>
      </c>
      <c r="D320" s="83" t="e">
        <f t="shared" si="39"/>
        <v>#N/A</v>
      </c>
      <c r="E320" t="e">
        <f t="shared" si="35"/>
        <v>#N/A</v>
      </c>
      <c r="G320">
        <v>270</v>
      </c>
      <c r="H320" s="13" t="e">
        <f t="shared" si="40"/>
        <v>#N/A</v>
      </c>
      <c r="I320" t="e">
        <f t="shared" si="41"/>
        <v>#N/A</v>
      </c>
      <c r="J320" t="e">
        <f t="shared" si="36"/>
        <v>#N/A</v>
      </c>
      <c r="K320" s="27" t="e">
        <f t="shared" si="37"/>
        <v>#N/A</v>
      </c>
    </row>
    <row r="321" spans="1:11">
      <c r="A321" s="26">
        <v>271</v>
      </c>
      <c r="B321" s="82" t="e">
        <f t="shared" si="38"/>
        <v>#N/A</v>
      </c>
      <c r="C321" s="58" t="e">
        <f t="shared" si="34"/>
        <v>#N/A</v>
      </c>
      <c r="D321" s="83" t="e">
        <f t="shared" si="39"/>
        <v>#N/A</v>
      </c>
      <c r="E321" t="e">
        <f t="shared" si="35"/>
        <v>#N/A</v>
      </c>
      <c r="G321">
        <v>271</v>
      </c>
      <c r="H321" s="13" t="e">
        <f t="shared" si="40"/>
        <v>#N/A</v>
      </c>
      <c r="I321" t="e">
        <f t="shared" si="41"/>
        <v>#N/A</v>
      </c>
      <c r="J321" t="e">
        <f t="shared" si="36"/>
        <v>#N/A</v>
      </c>
      <c r="K321" s="27" t="e">
        <f t="shared" si="37"/>
        <v>#N/A</v>
      </c>
    </row>
    <row r="322" spans="1:11">
      <c r="A322" s="26">
        <v>272</v>
      </c>
      <c r="B322" s="82" t="e">
        <f t="shared" si="38"/>
        <v>#N/A</v>
      </c>
      <c r="C322" s="58" t="e">
        <f t="shared" si="34"/>
        <v>#N/A</v>
      </c>
      <c r="D322" s="83" t="e">
        <f t="shared" si="39"/>
        <v>#N/A</v>
      </c>
      <c r="E322" t="e">
        <f t="shared" si="35"/>
        <v>#N/A</v>
      </c>
      <c r="G322">
        <v>272</v>
      </c>
      <c r="H322" s="13" t="e">
        <f t="shared" si="40"/>
        <v>#N/A</v>
      </c>
      <c r="I322" t="e">
        <f t="shared" si="41"/>
        <v>#N/A</v>
      </c>
      <c r="J322" t="e">
        <f t="shared" si="36"/>
        <v>#N/A</v>
      </c>
      <c r="K322" s="27" t="e">
        <f t="shared" si="37"/>
        <v>#N/A</v>
      </c>
    </row>
    <row r="323" spans="1:11">
      <c r="A323" s="26">
        <v>273</v>
      </c>
      <c r="B323" s="82" t="e">
        <f t="shared" si="38"/>
        <v>#N/A</v>
      </c>
      <c r="C323" s="58" t="e">
        <f t="shared" si="34"/>
        <v>#N/A</v>
      </c>
      <c r="D323" s="83" t="e">
        <f t="shared" si="39"/>
        <v>#N/A</v>
      </c>
      <c r="E323" t="e">
        <f t="shared" si="35"/>
        <v>#N/A</v>
      </c>
      <c r="G323">
        <v>273</v>
      </c>
      <c r="H323" s="13" t="e">
        <f t="shared" si="40"/>
        <v>#N/A</v>
      </c>
      <c r="I323" t="e">
        <f t="shared" si="41"/>
        <v>#N/A</v>
      </c>
      <c r="J323" t="e">
        <f t="shared" si="36"/>
        <v>#N/A</v>
      </c>
      <c r="K323" s="27" t="e">
        <f t="shared" si="37"/>
        <v>#N/A</v>
      </c>
    </row>
    <row r="324" spans="1:11">
      <c r="A324" s="26">
        <v>274</v>
      </c>
      <c r="B324" s="82" t="e">
        <f t="shared" si="38"/>
        <v>#N/A</v>
      </c>
      <c r="C324" s="58" t="e">
        <f t="shared" si="34"/>
        <v>#N/A</v>
      </c>
      <c r="D324" s="83" t="e">
        <f t="shared" si="39"/>
        <v>#N/A</v>
      </c>
      <c r="E324" t="e">
        <f t="shared" si="35"/>
        <v>#N/A</v>
      </c>
      <c r="G324">
        <v>274</v>
      </c>
      <c r="H324" s="13" t="e">
        <f t="shared" si="40"/>
        <v>#N/A</v>
      </c>
      <c r="I324" t="e">
        <f t="shared" si="41"/>
        <v>#N/A</v>
      </c>
      <c r="J324" t="e">
        <f t="shared" si="36"/>
        <v>#N/A</v>
      </c>
      <c r="K324" s="27" t="e">
        <f t="shared" si="37"/>
        <v>#N/A</v>
      </c>
    </row>
    <row r="325" spans="1:11">
      <c r="A325" s="26">
        <v>275</v>
      </c>
      <c r="B325" s="82" t="e">
        <f t="shared" si="38"/>
        <v>#N/A</v>
      </c>
      <c r="C325" s="58" t="e">
        <f t="shared" si="34"/>
        <v>#N/A</v>
      </c>
      <c r="D325" s="83" t="e">
        <f t="shared" si="39"/>
        <v>#N/A</v>
      </c>
      <c r="E325" t="e">
        <f t="shared" si="35"/>
        <v>#N/A</v>
      </c>
      <c r="G325">
        <v>275</v>
      </c>
      <c r="H325" s="13" t="e">
        <f t="shared" si="40"/>
        <v>#N/A</v>
      </c>
      <c r="I325" t="e">
        <f t="shared" si="41"/>
        <v>#N/A</v>
      </c>
      <c r="J325" t="e">
        <f t="shared" si="36"/>
        <v>#N/A</v>
      </c>
      <c r="K325" s="27" t="e">
        <f t="shared" si="37"/>
        <v>#N/A</v>
      </c>
    </row>
    <row r="326" spans="1:11">
      <c r="A326" s="26">
        <v>276</v>
      </c>
      <c r="B326" s="82" t="e">
        <f t="shared" si="38"/>
        <v>#N/A</v>
      </c>
      <c r="C326" s="58" t="e">
        <f t="shared" si="34"/>
        <v>#N/A</v>
      </c>
      <c r="D326" s="83" t="e">
        <f t="shared" si="39"/>
        <v>#N/A</v>
      </c>
      <c r="E326" t="e">
        <f t="shared" si="35"/>
        <v>#N/A</v>
      </c>
      <c r="G326">
        <v>276</v>
      </c>
      <c r="H326" s="13" t="e">
        <f t="shared" si="40"/>
        <v>#N/A</v>
      </c>
      <c r="I326" t="e">
        <f t="shared" si="41"/>
        <v>#N/A</v>
      </c>
      <c r="J326" t="e">
        <f t="shared" si="36"/>
        <v>#N/A</v>
      </c>
      <c r="K326" s="27" t="e">
        <f t="shared" si="37"/>
        <v>#N/A</v>
      </c>
    </row>
    <row r="327" spans="1:11">
      <c r="A327" s="26">
        <v>277</v>
      </c>
      <c r="B327" s="82" t="e">
        <f t="shared" si="38"/>
        <v>#N/A</v>
      </c>
      <c r="C327" s="58" t="e">
        <f t="shared" si="34"/>
        <v>#N/A</v>
      </c>
      <c r="D327" s="83" t="e">
        <f t="shared" si="39"/>
        <v>#N/A</v>
      </c>
      <c r="E327" t="e">
        <f t="shared" si="35"/>
        <v>#N/A</v>
      </c>
      <c r="G327">
        <v>277</v>
      </c>
      <c r="H327" s="13" t="e">
        <f t="shared" si="40"/>
        <v>#N/A</v>
      </c>
      <c r="I327" t="e">
        <f t="shared" si="41"/>
        <v>#N/A</v>
      </c>
      <c r="J327" t="e">
        <f t="shared" si="36"/>
        <v>#N/A</v>
      </c>
      <c r="K327" s="27" t="e">
        <f t="shared" si="37"/>
        <v>#N/A</v>
      </c>
    </row>
    <row r="328" spans="1:11">
      <c r="A328" s="26">
        <v>278</v>
      </c>
      <c r="B328" s="82" t="e">
        <f t="shared" si="38"/>
        <v>#N/A</v>
      </c>
      <c r="C328" s="58" t="e">
        <f t="shared" si="34"/>
        <v>#N/A</v>
      </c>
      <c r="D328" s="83" t="e">
        <f t="shared" si="39"/>
        <v>#N/A</v>
      </c>
      <c r="E328" t="e">
        <f t="shared" si="35"/>
        <v>#N/A</v>
      </c>
      <c r="G328">
        <v>278</v>
      </c>
      <c r="H328" s="13" t="e">
        <f t="shared" si="40"/>
        <v>#N/A</v>
      </c>
      <c r="I328" t="e">
        <f t="shared" si="41"/>
        <v>#N/A</v>
      </c>
      <c r="J328" t="e">
        <f t="shared" si="36"/>
        <v>#N/A</v>
      </c>
      <c r="K328" s="27" t="e">
        <f t="shared" si="37"/>
        <v>#N/A</v>
      </c>
    </row>
    <row r="329" spans="1:11">
      <c r="A329" s="26">
        <v>279</v>
      </c>
      <c r="B329" s="82" t="e">
        <f t="shared" si="38"/>
        <v>#N/A</v>
      </c>
      <c r="C329" s="58" t="e">
        <f t="shared" si="34"/>
        <v>#N/A</v>
      </c>
      <c r="D329" s="83" t="e">
        <f t="shared" si="39"/>
        <v>#N/A</v>
      </c>
      <c r="E329" t="e">
        <f t="shared" si="35"/>
        <v>#N/A</v>
      </c>
      <c r="G329">
        <v>279</v>
      </c>
      <c r="H329" s="13" t="e">
        <f t="shared" si="40"/>
        <v>#N/A</v>
      </c>
      <c r="I329" t="e">
        <f t="shared" si="41"/>
        <v>#N/A</v>
      </c>
      <c r="J329" t="e">
        <f t="shared" si="36"/>
        <v>#N/A</v>
      </c>
      <c r="K329" s="27" t="e">
        <f t="shared" si="37"/>
        <v>#N/A</v>
      </c>
    </row>
    <row r="330" spans="1:11">
      <c r="A330" s="26">
        <v>280</v>
      </c>
      <c r="B330" s="82" t="e">
        <f t="shared" si="38"/>
        <v>#N/A</v>
      </c>
      <c r="C330" s="58" t="e">
        <f t="shared" si="34"/>
        <v>#N/A</v>
      </c>
      <c r="D330" s="83" t="e">
        <f t="shared" si="39"/>
        <v>#N/A</v>
      </c>
      <c r="E330" t="e">
        <f t="shared" si="35"/>
        <v>#N/A</v>
      </c>
      <c r="G330">
        <v>280</v>
      </c>
      <c r="H330" s="13" t="e">
        <f t="shared" si="40"/>
        <v>#N/A</v>
      </c>
      <c r="I330" t="e">
        <f t="shared" si="41"/>
        <v>#N/A</v>
      </c>
      <c r="J330" t="e">
        <f t="shared" si="36"/>
        <v>#N/A</v>
      </c>
      <c r="K330" s="27" t="e">
        <f t="shared" si="37"/>
        <v>#N/A</v>
      </c>
    </row>
    <row r="331" spans="1:11">
      <c r="A331" s="26">
        <v>281</v>
      </c>
      <c r="B331" s="82" t="e">
        <f t="shared" si="38"/>
        <v>#N/A</v>
      </c>
      <c r="C331" s="58" t="e">
        <f t="shared" si="34"/>
        <v>#N/A</v>
      </c>
      <c r="D331" s="83" t="e">
        <f t="shared" si="39"/>
        <v>#N/A</v>
      </c>
      <c r="E331" t="e">
        <f t="shared" si="35"/>
        <v>#N/A</v>
      </c>
      <c r="G331">
        <v>281</v>
      </c>
      <c r="H331" s="13" t="e">
        <f t="shared" si="40"/>
        <v>#N/A</v>
      </c>
      <c r="I331" t="e">
        <f t="shared" si="41"/>
        <v>#N/A</v>
      </c>
      <c r="J331" t="e">
        <f t="shared" si="36"/>
        <v>#N/A</v>
      </c>
      <c r="K331" s="27" t="e">
        <f t="shared" si="37"/>
        <v>#N/A</v>
      </c>
    </row>
    <row r="332" spans="1:11">
      <c r="A332" s="26">
        <v>282</v>
      </c>
      <c r="B332" s="82" t="e">
        <f t="shared" si="38"/>
        <v>#N/A</v>
      </c>
      <c r="C332" s="58" t="e">
        <f t="shared" si="34"/>
        <v>#N/A</v>
      </c>
      <c r="D332" s="83" t="e">
        <f t="shared" si="39"/>
        <v>#N/A</v>
      </c>
      <c r="E332" t="e">
        <f t="shared" si="35"/>
        <v>#N/A</v>
      </c>
      <c r="G332">
        <v>282</v>
      </c>
      <c r="H332" s="13" t="e">
        <f t="shared" si="40"/>
        <v>#N/A</v>
      </c>
      <c r="I332" t="e">
        <f t="shared" si="41"/>
        <v>#N/A</v>
      </c>
      <c r="J332" t="e">
        <f t="shared" si="36"/>
        <v>#N/A</v>
      </c>
      <c r="K332" s="27" t="e">
        <f t="shared" si="37"/>
        <v>#N/A</v>
      </c>
    </row>
    <row r="333" spans="1:11">
      <c r="A333" s="26">
        <v>283</v>
      </c>
      <c r="B333" s="82" t="e">
        <f t="shared" si="38"/>
        <v>#N/A</v>
      </c>
      <c r="C333" s="58" t="e">
        <f t="shared" si="34"/>
        <v>#N/A</v>
      </c>
      <c r="D333" s="83" t="e">
        <f t="shared" si="39"/>
        <v>#N/A</v>
      </c>
      <c r="E333" t="e">
        <f t="shared" si="35"/>
        <v>#N/A</v>
      </c>
      <c r="G333">
        <v>283</v>
      </c>
      <c r="H333" s="13" t="e">
        <f t="shared" si="40"/>
        <v>#N/A</v>
      </c>
      <c r="I333" t="e">
        <f t="shared" si="41"/>
        <v>#N/A</v>
      </c>
      <c r="J333" t="e">
        <f t="shared" si="36"/>
        <v>#N/A</v>
      </c>
      <c r="K333" s="27" t="e">
        <f t="shared" si="37"/>
        <v>#N/A</v>
      </c>
    </row>
    <row r="334" spans="1:11">
      <c r="A334" s="26">
        <v>284</v>
      </c>
      <c r="B334" s="82" t="e">
        <f t="shared" si="38"/>
        <v>#N/A</v>
      </c>
      <c r="C334" s="58" t="e">
        <f t="shared" si="34"/>
        <v>#N/A</v>
      </c>
      <c r="D334" s="83" t="e">
        <f t="shared" si="39"/>
        <v>#N/A</v>
      </c>
      <c r="E334" t="e">
        <f t="shared" si="35"/>
        <v>#N/A</v>
      </c>
      <c r="G334">
        <v>284</v>
      </c>
      <c r="H334" s="13" t="e">
        <f t="shared" si="40"/>
        <v>#N/A</v>
      </c>
      <c r="I334" t="e">
        <f t="shared" si="41"/>
        <v>#N/A</v>
      </c>
      <c r="J334" t="e">
        <f t="shared" si="36"/>
        <v>#N/A</v>
      </c>
      <c r="K334" s="27" t="e">
        <f t="shared" si="37"/>
        <v>#N/A</v>
      </c>
    </row>
    <row r="335" spans="1:11">
      <c r="A335" s="26">
        <v>285</v>
      </c>
      <c r="B335" s="82" t="e">
        <f t="shared" si="38"/>
        <v>#N/A</v>
      </c>
      <c r="C335" s="58" t="e">
        <f t="shared" si="34"/>
        <v>#N/A</v>
      </c>
      <c r="D335" s="83" t="e">
        <f t="shared" si="39"/>
        <v>#N/A</v>
      </c>
      <c r="E335" t="e">
        <f t="shared" si="35"/>
        <v>#N/A</v>
      </c>
      <c r="G335">
        <v>285</v>
      </c>
      <c r="H335" s="13" t="e">
        <f t="shared" si="40"/>
        <v>#N/A</v>
      </c>
      <c r="I335" t="e">
        <f t="shared" si="41"/>
        <v>#N/A</v>
      </c>
      <c r="J335" t="e">
        <f t="shared" si="36"/>
        <v>#N/A</v>
      </c>
      <c r="K335" s="27" t="e">
        <f t="shared" si="37"/>
        <v>#N/A</v>
      </c>
    </row>
    <row r="336" spans="1:11">
      <c r="A336" s="26">
        <v>286</v>
      </c>
      <c r="B336" s="82" t="e">
        <f t="shared" si="38"/>
        <v>#N/A</v>
      </c>
      <c r="C336" s="58" t="e">
        <f t="shared" ref="C336:C399" si="42">($C$37-$C$36)/2000+C335</f>
        <v>#N/A</v>
      </c>
      <c r="D336" s="83" t="e">
        <f t="shared" si="39"/>
        <v>#N/A</v>
      </c>
      <c r="E336" t="e">
        <f t="shared" si="35"/>
        <v>#N/A</v>
      </c>
      <c r="G336">
        <v>286</v>
      </c>
      <c r="H336" s="13" t="e">
        <f t="shared" si="40"/>
        <v>#N/A</v>
      </c>
      <c r="I336" t="e">
        <f t="shared" si="41"/>
        <v>#N/A</v>
      </c>
      <c r="J336" t="e">
        <f t="shared" si="36"/>
        <v>#N/A</v>
      </c>
      <c r="K336" s="27" t="e">
        <f t="shared" si="37"/>
        <v>#N/A</v>
      </c>
    </row>
    <row r="337" spans="1:11">
      <c r="A337" s="26">
        <v>287</v>
      </c>
      <c r="B337" s="82" t="e">
        <f t="shared" si="38"/>
        <v>#N/A</v>
      </c>
      <c r="C337" s="58" t="e">
        <f t="shared" si="42"/>
        <v>#N/A</v>
      </c>
      <c r="D337" s="83" t="e">
        <f t="shared" si="39"/>
        <v>#N/A</v>
      </c>
      <c r="E337" t="e">
        <f t="shared" si="35"/>
        <v>#N/A</v>
      </c>
      <c r="G337">
        <v>287</v>
      </c>
      <c r="H337" s="13" t="e">
        <f t="shared" si="40"/>
        <v>#N/A</v>
      </c>
      <c r="I337" t="e">
        <f t="shared" si="41"/>
        <v>#N/A</v>
      </c>
      <c r="J337" t="e">
        <f t="shared" si="36"/>
        <v>#N/A</v>
      </c>
      <c r="K337" s="27" t="e">
        <f t="shared" si="37"/>
        <v>#N/A</v>
      </c>
    </row>
    <row r="338" spans="1:11">
      <c r="A338" s="26">
        <v>288</v>
      </c>
      <c r="B338" s="82" t="e">
        <f t="shared" si="38"/>
        <v>#N/A</v>
      </c>
      <c r="C338" s="58" t="e">
        <f t="shared" si="42"/>
        <v>#N/A</v>
      </c>
      <c r="D338" s="83" t="e">
        <f t="shared" si="39"/>
        <v>#N/A</v>
      </c>
      <c r="E338" t="e">
        <f t="shared" si="35"/>
        <v>#N/A</v>
      </c>
      <c r="G338">
        <v>288</v>
      </c>
      <c r="H338" s="13" t="e">
        <f t="shared" si="40"/>
        <v>#N/A</v>
      </c>
      <c r="I338" t="e">
        <f t="shared" si="41"/>
        <v>#N/A</v>
      </c>
      <c r="J338" t="e">
        <f t="shared" si="36"/>
        <v>#N/A</v>
      </c>
      <c r="K338" s="27" t="e">
        <f t="shared" si="37"/>
        <v>#N/A</v>
      </c>
    </row>
    <row r="339" spans="1:11">
      <c r="A339" s="26">
        <v>289</v>
      </c>
      <c r="B339" s="82" t="e">
        <f t="shared" si="38"/>
        <v>#N/A</v>
      </c>
      <c r="C339" s="58" t="e">
        <f t="shared" si="42"/>
        <v>#N/A</v>
      </c>
      <c r="D339" s="83" t="e">
        <f t="shared" si="39"/>
        <v>#N/A</v>
      </c>
      <c r="E339" t="e">
        <f t="shared" si="35"/>
        <v>#N/A</v>
      </c>
      <c r="G339">
        <v>289</v>
      </c>
      <c r="H339" s="13" t="e">
        <f t="shared" si="40"/>
        <v>#N/A</v>
      </c>
      <c r="I339" t="e">
        <f t="shared" si="41"/>
        <v>#N/A</v>
      </c>
      <c r="J339" t="e">
        <f t="shared" si="36"/>
        <v>#N/A</v>
      </c>
      <c r="K339" s="27" t="e">
        <f t="shared" si="37"/>
        <v>#N/A</v>
      </c>
    </row>
    <row r="340" spans="1:11">
      <c r="A340" s="26">
        <v>290</v>
      </c>
      <c r="B340" s="82" t="e">
        <f t="shared" si="38"/>
        <v>#N/A</v>
      </c>
      <c r="C340" s="58" t="e">
        <f t="shared" si="42"/>
        <v>#N/A</v>
      </c>
      <c r="D340" s="83" t="e">
        <f t="shared" si="39"/>
        <v>#N/A</v>
      </c>
      <c r="E340" t="e">
        <f t="shared" si="35"/>
        <v>#N/A</v>
      </c>
      <c r="G340">
        <v>290</v>
      </c>
      <c r="H340" s="13" t="e">
        <f t="shared" si="40"/>
        <v>#N/A</v>
      </c>
      <c r="I340" t="e">
        <f t="shared" si="41"/>
        <v>#N/A</v>
      </c>
      <c r="J340" t="e">
        <f t="shared" si="36"/>
        <v>#N/A</v>
      </c>
      <c r="K340" s="27" t="e">
        <f t="shared" si="37"/>
        <v>#N/A</v>
      </c>
    </row>
    <row r="341" spans="1:11">
      <c r="A341" s="26">
        <v>291</v>
      </c>
      <c r="B341" s="82" t="e">
        <f t="shared" si="38"/>
        <v>#N/A</v>
      </c>
      <c r="C341" s="58" t="e">
        <f t="shared" si="42"/>
        <v>#N/A</v>
      </c>
      <c r="D341" s="83" t="e">
        <f t="shared" si="39"/>
        <v>#N/A</v>
      </c>
      <c r="E341" t="e">
        <f t="shared" si="35"/>
        <v>#N/A</v>
      </c>
      <c r="G341">
        <v>291</v>
      </c>
      <c r="H341" s="13" t="e">
        <f t="shared" si="40"/>
        <v>#N/A</v>
      </c>
      <c r="I341" t="e">
        <f t="shared" si="41"/>
        <v>#N/A</v>
      </c>
      <c r="J341" t="e">
        <f t="shared" si="36"/>
        <v>#N/A</v>
      </c>
      <c r="K341" s="27" t="e">
        <f t="shared" si="37"/>
        <v>#N/A</v>
      </c>
    </row>
    <row r="342" spans="1:11">
      <c r="A342" s="26">
        <v>292</v>
      </c>
      <c r="B342" s="82" t="e">
        <f t="shared" si="38"/>
        <v>#N/A</v>
      </c>
      <c r="C342" s="58" t="e">
        <f t="shared" si="42"/>
        <v>#N/A</v>
      </c>
      <c r="D342" s="83" t="e">
        <f t="shared" si="39"/>
        <v>#N/A</v>
      </c>
      <c r="E342" t="e">
        <f t="shared" si="35"/>
        <v>#N/A</v>
      </c>
      <c r="G342">
        <v>292</v>
      </c>
      <c r="H342" s="13" t="e">
        <f t="shared" si="40"/>
        <v>#N/A</v>
      </c>
      <c r="I342" t="e">
        <f t="shared" si="41"/>
        <v>#N/A</v>
      </c>
      <c r="J342" t="e">
        <f t="shared" si="36"/>
        <v>#N/A</v>
      </c>
      <c r="K342" s="27" t="e">
        <f t="shared" si="37"/>
        <v>#N/A</v>
      </c>
    </row>
    <row r="343" spans="1:11">
      <c r="A343" s="26">
        <v>293</v>
      </c>
      <c r="B343" s="82" t="e">
        <f t="shared" si="38"/>
        <v>#N/A</v>
      </c>
      <c r="C343" s="58" t="e">
        <f t="shared" si="42"/>
        <v>#N/A</v>
      </c>
      <c r="D343" s="83" t="e">
        <f t="shared" si="39"/>
        <v>#N/A</v>
      </c>
      <c r="E343" t="e">
        <f t="shared" si="35"/>
        <v>#N/A</v>
      </c>
      <c r="G343">
        <v>293</v>
      </c>
      <c r="H343" s="13" t="e">
        <f t="shared" si="40"/>
        <v>#N/A</v>
      </c>
      <c r="I343" t="e">
        <f t="shared" si="41"/>
        <v>#N/A</v>
      </c>
      <c r="J343" t="e">
        <f t="shared" si="36"/>
        <v>#N/A</v>
      </c>
      <c r="K343" s="27" t="e">
        <f t="shared" si="37"/>
        <v>#N/A</v>
      </c>
    </row>
    <row r="344" spans="1:11">
      <c r="A344" s="26">
        <v>294</v>
      </c>
      <c r="B344" s="82" t="e">
        <f t="shared" si="38"/>
        <v>#N/A</v>
      </c>
      <c r="C344" s="58" t="e">
        <f t="shared" si="42"/>
        <v>#N/A</v>
      </c>
      <c r="D344" s="83" t="e">
        <f t="shared" si="39"/>
        <v>#N/A</v>
      </c>
      <c r="E344" t="e">
        <f t="shared" si="35"/>
        <v>#N/A</v>
      </c>
      <c r="G344">
        <v>294</v>
      </c>
      <c r="H344" s="13" t="e">
        <f t="shared" si="40"/>
        <v>#N/A</v>
      </c>
      <c r="I344" t="e">
        <f t="shared" si="41"/>
        <v>#N/A</v>
      </c>
      <c r="J344" t="e">
        <f t="shared" si="36"/>
        <v>#N/A</v>
      </c>
      <c r="K344" s="27" t="e">
        <f t="shared" si="37"/>
        <v>#N/A</v>
      </c>
    </row>
    <row r="345" spans="1:11">
      <c r="A345" s="26">
        <v>295</v>
      </c>
      <c r="B345" s="82" t="e">
        <f t="shared" si="38"/>
        <v>#N/A</v>
      </c>
      <c r="C345" s="58" t="e">
        <f t="shared" si="42"/>
        <v>#N/A</v>
      </c>
      <c r="D345" s="83" t="e">
        <f t="shared" si="39"/>
        <v>#N/A</v>
      </c>
      <c r="E345" t="e">
        <f t="shared" si="35"/>
        <v>#N/A</v>
      </c>
      <c r="G345">
        <v>295</v>
      </c>
      <c r="H345" s="13" t="e">
        <f t="shared" si="40"/>
        <v>#N/A</v>
      </c>
      <c r="I345" t="e">
        <f t="shared" si="41"/>
        <v>#N/A</v>
      </c>
      <c r="J345" t="e">
        <f t="shared" si="36"/>
        <v>#N/A</v>
      </c>
      <c r="K345" s="27" t="e">
        <f t="shared" si="37"/>
        <v>#N/A</v>
      </c>
    </row>
    <row r="346" spans="1:11">
      <c r="A346" s="26">
        <v>296</v>
      </c>
      <c r="B346" s="82" t="e">
        <f t="shared" si="38"/>
        <v>#N/A</v>
      </c>
      <c r="C346" s="58" t="e">
        <f t="shared" si="42"/>
        <v>#N/A</v>
      </c>
      <c r="D346" s="83" t="e">
        <f t="shared" si="39"/>
        <v>#N/A</v>
      </c>
      <c r="E346" t="e">
        <f t="shared" si="35"/>
        <v>#N/A</v>
      </c>
      <c r="G346">
        <v>296</v>
      </c>
      <c r="H346" s="13" t="e">
        <f t="shared" si="40"/>
        <v>#N/A</v>
      </c>
      <c r="I346" t="e">
        <f t="shared" si="41"/>
        <v>#N/A</v>
      </c>
      <c r="J346" t="e">
        <f t="shared" si="36"/>
        <v>#N/A</v>
      </c>
      <c r="K346" s="27" t="e">
        <f t="shared" si="37"/>
        <v>#N/A</v>
      </c>
    </row>
    <row r="347" spans="1:11">
      <c r="A347" s="26">
        <v>297</v>
      </c>
      <c r="B347" s="82" t="e">
        <f t="shared" si="38"/>
        <v>#N/A</v>
      </c>
      <c r="C347" s="58" t="e">
        <f t="shared" si="42"/>
        <v>#N/A</v>
      </c>
      <c r="D347" s="83" t="e">
        <f t="shared" si="39"/>
        <v>#N/A</v>
      </c>
      <c r="E347" t="e">
        <f t="shared" si="35"/>
        <v>#N/A</v>
      </c>
      <c r="G347">
        <v>297</v>
      </c>
      <c r="H347" s="13" t="e">
        <f t="shared" si="40"/>
        <v>#N/A</v>
      </c>
      <c r="I347" t="e">
        <f t="shared" si="41"/>
        <v>#N/A</v>
      </c>
      <c r="J347" t="e">
        <f t="shared" si="36"/>
        <v>#N/A</v>
      </c>
      <c r="K347" s="27" t="e">
        <f t="shared" si="37"/>
        <v>#N/A</v>
      </c>
    </row>
    <row r="348" spans="1:11">
      <c r="A348" s="26">
        <v>298</v>
      </c>
      <c r="B348" s="82" t="e">
        <f t="shared" si="38"/>
        <v>#N/A</v>
      </c>
      <c r="C348" s="58" t="e">
        <f t="shared" si="42"/>
        <v>#N/A</v>
      </c>
      <c r="D348" s="83" t="e">
        <f t="shared" si="39"/>
        <v>#N/A</v>
      </c>
      <c r="E348" t="e">
        <f t="shared" si="35"/>
        <v>#N/A</v>
      </c>
      <c r="G348">
        <v>298</v>
      </c>
      <c r="H348" s="13" t="e">
        <f t="shared" si="40"/>
        <v>#N/A</v>
      </c>
      <c r="I348" t="e">
        <f t="shared" si="41"/>
        <v>#N/A</v>
      </c>
      <c r="J348" t="e">
        <f t="shared" si="36"/>
        <v>#N/A</v>
      </c>
      <c r="K348" s="27" t="e">
        <f t="shared" si="37"/>
        <v>#N/A</v>
      </c>
    </row>
    <row r="349" spans="1:11">
      <c r="A349" s="26">
        <v>299</v>
      </c>
      <c r="B349" s="82" t="e">
        <f t="shared" si="38"/>
        <v>#N/A</v>
      </c>
      <c r="C349" s="58" t="e">
        <f t="shared" si="42"/>
        <v>#N/A</v>
      </c>
      <c r="D349" s="83" t="e">
        <f t="shared" si="39"/>
        <v>#N/A</v>
      </c>
      <c r="E349" t="e">
        <f t="shared" si="35"/>
        <v>#N/A</v>
      </c>
      <c r="G349">
        <v>299</v>
      </c>
      <c r="H349" s="13" t="e">
        <f t="shared" si="40"/>
        <v>#N/A</v>
      </c>
      <c r="I349" t="e">
        <f t="shared" si="41"/>
        <v>#N/A</v>
      </c>
      <c r="J349" t="e">
        <f t="shared" si="36"/>
        <v>#N/A</v>
      </c>
      <c r="K349" s="27" t="e">
        <f t="shared" si="37"/>
        <v>#N/A</v>
      </c>
    </row>
    <row r="350" spans="1:11">
      <c r="A350" s="26">
        <v>300</v>
      </c>
      <c r="B350" s="82" t="e">
        <f t="shared" si="38"/>
        <v>#N/A</v>
      </c>
      <c r="C350" s="58" t="e">
        <f t="shared" si="42"/>
        <v>#N/A</v>
      </c>
      <c r="D350" s="83" t="e">
        <f t="shared" si="39"/>
        <v>#N/A</v>
      </c>
      <c r="E350" t="e">
        <f t="shared" si="35"/>
        <v>#N/A</v>
      </c>
      <c r="G350">
        <v>300</v>
      </c>
      <c r="H350" s="13" t="e">
        <f t="shared" si="40"/>
        <v>#N/A</v>
      </c>
      <c r="I350" t="e">
        <f t="shared" si="41"/>
        <v>#N/A</v>
      </c>
      <c r="J350" t="e">
        <f t="shared" si="36"/>
        <v>#N/A</v>
      </c>
      <c r="K350" s="27" t="e">
        <f t="shared" si="37"/>
        <v>#N/A</v>
      </c>
    </row>
    <row r="351" spans="1:11">
      <c r="A351" s="26">
        <v>301</v>
      </c>
      <c r="B351" s="82" t="e">
        <f t="shared" si="38"/>
        <v>#N/A</v>
      </c>
      <c r="C351" s="58" t="e">
        <f t="shared" si="42"/>
        <v>#N/A</v>
      </c>
      <c r="D351" s="83" t="e">
        <f t="shared" si="39"/>
        <v>#N/A</v>
      </c>
      <c r="E351" t="e">
        <f t="shared" si="35"/>
        <v>#N/A</v>
      </c>
      <c r="G351">
        <v>301</v>
      </c>
      <c r="H351" s="13" t="e">
        <f t="shared" si="40"/>
        <v>#N/A</v>
      </c>
      <c r="I351" t="e">
        <f t="shared" si="41"/>
        <v>#N/A</v>
      </c>
      <c r="J351" t="e">
        <f t="shared" si="36"/>
        <v>#N/A</v>
      </c>
      <c r="K351" s="27" t="e">
        <f t="shared" si="37"/>
        <v>#N/A</v>
      </c>
    </row>
    <row r="352" spans="1:11">
      <c r="A352" s="26">
        <v>302</v>
      </c>
      <c r="B352" s="82" t="e">
        <f t="shared" si="38"/>
        <v>#N/A</v>
      </c>
      <c r="C352" s="58" t="e">
        <f t="shared" si="42"/>
        <v>#N/A</v>
      </c>
      <c r="D352" s="83" t="e">
        <f t="shared" si="39"/>
        <v>#N/A</v>
      </c>
      <c r="E352" t="e">
        <f t="shared" si="35"/>
        <v>#N/A</v>
      </c>
      <c r="G352">
        <v>302</v>
      </c>
      <c r="H352" s="13" t="e">
        <f t="shared" si="40"/>
        <v>#N/A</v>
      </c>
      <c r="I352" t="e">
        <f t="shared" si="41"/>
        <v>#N/A</v>
      </c>
      <c r="J352" t="e">
        <f t="shared" si="36"/>
        <v>#N/A</v>
      </c>
      <c r="K352" s="27" t="e">
        <f t="shared" si="37"/>
        <v>#N/A</v>
      </c>
    </row>
    <row r="353" spans="1:11">
      <c r="A353" s="26">
        <v>303</v>
      </c>
      <c r="B353" s="82" t="e">
        <f t="shared" si="38"/>
        <v>#N/A</v>
      </c>
      <c r="C353" s="58" t="e">
        <f t="shared" si="42"/>
        <v>#N/A</v>
      </c>
      <c r="D353" s="83" t="e">
        <f t="shared" si="39"/>
        <v>#N/A</v>
      </c>
      <c r="E353" t="e">
        <f t="shared" si="35"/>
        <v>#N/A</v>
      </c>
      <c r="G353">
        <v>303</v>
      </c>
      <c r="H353" s="13" t="e">
        <f t="shared" si="40"/>
        <v>#N/A</v>
      </c>
      <c r="I353" t="e">
        <f t="shared" si="41"/>
        <v>#N/A</v>
      </c>
      <c r="J353" t="e">
        <f t="shared" si="36"/>
        <v>#N/A</v>
      </c>
      <c r="K353" s="27" t="e">
        <f t="shared" si="37"/>
        <v>#N/A</v>
      </c>
    </row>
    <row r="354" spans="1:11">
      <c r="A354" s="26">
        <v>304</v>
      </c>
      <c r="B354" s="82" t="e">
        <f t="shared" si="38"/>
        <v>#N/A</v>
      </c>
      <c r="C354" s="58" t="e">
        <f t="shared" si="42"/>
        <v>#N/A</v>
      </c>
      <c r="D354" s="83" t="e">
        <f t="shared" si="39"/>
        <v>#N/A</v>
      </c>
      <c r="E354" t="e">
        <f t="shared" si="35"/>
        <v>#N/A</v>
      </c>
      <c r="G354">
        <v>304</v>
      </c>
      <c r="H354" s="13" t="e">
        <f t="shared" si="40"/>
        <v>#N/A</v>
      </c>
      <c r="I354" t="e">
        <f t="shared" si="41"/>
        <v>#N/A</v>
      </c>
      <c r="J354" t="e">
        <f t="shared" si="36"/>
        <v>#N/A</v>
      </c>
      <c r="K354" s="27" t="e">
        <f t="shared" si="37"/>
        <v>#N/A</v>
      </c>
    </row>
    <row r="355" spans="1:11">
      <c r="A355" s="26">
        <v>305</v>
      </c>
      <c r="B355" s="82" t="e">
        <f t="shared" si="38"/>
        <v>#N/A</v>
      </c>
      <c r="C355" s="58" t="e">
        <f t="shared" si="42"/>
        <v>#N/A</v>
      </c>
      <c r="D355" s="83" t="e">
        <f t="shared" si="39"/>
        <v>#N/A</v>
      </c>
      <c r="E355" t="e">
        <f t="shared" si="35"/>
        <v>#N/A</v>
      </c>
      <c r="G355">
        <v>305</v>
      </c>
      <c r="H355" s="13" t="e">
        <f t="shared" si="40"/>
        <v>#N/A</v>
      </c>
      <c r="I355" t="e">
        <f t="shared" si="41"/>
        <v>#N/A</v>
      </c>
      <c r="J355" t="e">
        <f t="shared" si="36"/>
        <v>#N/A</v>
      </c>
      <c r="K355" s="27" t="e">
        <f t="shared" si="37"/>
        <v>#N/A</v>
      </c>
    </row>
    <row r="356" spans="1:11">
      <c r="A356" s="26">
        <v>306</v>
      </c>
      <c r="B356" s="82" t="e">
        <f t="shared" si="38"/>
        <v>#N/A</v>
      </c>
      <c r="C356" s="58" t="e">
        <f t="shared" si="42"/>
        <v>#N/A</v>
      </c>
      <c r="D356" s="83" t="e">
        <f t="shared" si="39"/>
        <v>#N/A</v>
      </c>
      <c r="E356" t="e">
        <f t="shared" si="35"/>
        <v>#N/A</v>
      </c>
      <c r="G356">
        <v>306</v>
      </c>
      <c r="H356" s="13" t="e">
        <f t="shared" si="40"/>
        <v>#N/A</v>
      </c>
      <c r="I356" t="e">
        <f t="shared" si="41"/>
        <v>#N/A</v>
      </c>
      <c r="J356" t="e">
        <f t="shared" si="36"/>
        <v>#N/A</v>
      </c>
      <c r="K356" s="27" t="e">
        <f t="shared" si="37"/>
        <v>#N/A</v>
      </c>
    </row>
    <row r="357" spans="1:11">
      <c r="A357" s="26">
        <v>307</v>
      </c>
      <c r="B357" s="82" t="e">
        <f t="shared" si="38"/>
        <v>#N/A</v>
      </c>
      <c r="C357" s="58" t="e">
        <f t="shared" si="42"/>
        <v>#N/A</v>
      </c>
      <c r="D357" s="83" t="e">
        <f t="shared" si="39"/>
        <v>#N/A</v>
      </c>
      <c r="E357" t="e">
        <f t="shared" si="35"/>
        <v>#N/A</v>
      </c>
      <c r="G357">
        <v>307</v>
      </c>
      <c r="H357" s="13" t="e">
        <f t="shared" si="40"/>
        <v>#N/A</v>
      </c>
      <c r="I357" t="e">
        <f t="shared" si="41"/>
        <v>#N/A</v>
      </c>
      <c r="J357" t="e">
        <f t="shared" si="36"/>
        <v>#N/A</v>
      </c>
      <c r="K357" s="27" t="e">
        <f t="shared" si="37"/>
        <v>#N/A</v>
      </c>
    </row>
    <row r="358" spans="1:11">
      <c r="A358" s="26">
        <v>308</v>
      </c>
      <c r="B358" s="82" t="e">
        <f t="shared" si="38"/>
        <v>#N/A</v>
      </c>
      <c r="C358" s="58" t="e">
        <f t="shared" si="42"/>
        <v>#N/A</v>
      </c>
      <c r="D358" s="83" t="e">
        <f t="shared" si="39"/>
        <v>#N/A</v>
      </c>
      <c r="E358" t="e">
        <f t="shared" si="35"/>
        <v>#N/A</v>
      </c>
      <c r="G358">
        <v>308</v>
      </c>
      <c r="H358" s="13" t="e">
        <f t="shared" si="40"/>
        <v>#N/A</v>
      </c>
      <c r="I358" t="e">
        <f t="shared" si="41"/>
        <v>#N/A</v>
      </c>
      <c r="J358" t="e">
        <f t="shared" si="36"/>
        <v>#N/A</v>
      </c>
      <c r="K358" s="27" t="e">
        <f t="shared" si="37"/>
        <v>#N/A</v>
      </c>
    </row>
    <row r="359" spans="1:11">
      <c r="A359" s="26">
        <v>309</v>
      </c>
      <c r="B359" s="82" t="e">
        <f t="shared" si="38"/>
        <v>#N/A</v>
      </c>
      <c r="C359" s="58" t="e">
        <f t="shared" si="42"/>
        <v>#N/A</v>
      </c>
      <c r="D359" s="83" t="e">
        <f t="shared" si="39"/>
        <v>#N/A</v>
      </c>
      <c r="E359" t="e">
        <f t="shared" si="35"/>
        <v>#N/A</v>
      </c>
      <c r="G359">
        <v>309</v>
      </c>
      <c r="H359" s="13" t="e">
        <f t="shared" si="40"/>
        <v>#N/A</v>
      </c>
      <c r="I359" t="e">
        <f t="shared" si="41"/>
        <v>#N/A</v>
      </c>
      <c r="J359" t="e">
        <f t="shared" si="36"/>
        <v>#N/A</v>
      </c>
      <c r="K359" s="27" t="e">
        <f t="shared" si="37"/>
        <v>#N/A</v>
      </c>
    </row>
    <row r="360" spans="1:11">
      <c r="A360" s="26">
        <v>310</v>
      </c>
      <c r="B360" s="82" t="e">
        <f t="shared" si="38"/>
        <v>#N/A</v>
      </c>
      <c r="C360" s="58" t="e">
        <f t="shared" si="42"/>
        <v>#N/A</v>
      </c>
      <c r="D360" s="83" t="e">
        <f t="shared" si="39"/>
        <v>#N/A</v>
      </c>
      <c r="E360" t="e">
        <f t="shared" si="35"/>
        <v>#N/A</v>
      </c>
      <c r="G360">
        <v>310</v>
      </c>
      <c r="H360" s="13" t="e">
        <f t="shared" si="40"/>
        <v>#N/A</v>
      </c>
      <c r="I360" t="e">
        <f t="shared" si="41"/>
        <v>#N/A</v>
      </c>
      <c r="J360" t="e">
        <f t="shared" si="36"/>
        <v>#N/A</v>
      </c>
      <c r="K360" s="27" t="e">
        <f t="shared" si="37"/>
        <v>#N/A</v>
      </c>
    </row>
    <row r="361" spans="1:11">
      <c r="A361" s="26">
        <v>311</v>
      </c>
      <c r="B361" s="82" t="e">
        <f t="shared" si="38"/>
        <v>#N/A</v>
      </c>
      <c r="C361" s="58" t="e">
        <f t="shared" si="42"/>
        <v>#N/A</v>
      </c>
      <c r="D361" s="83" t="e">
        <f t="shared" si="39"/>
        <v>#N/A</v>
      </c>
      <c r="E361" t="e">
        <f t="shared" si="35"/>
        <v>#N/A</v>
      </c>
      <c r="G361">
        <v>311</v>
      </c>
      <c r="H361" s="13" t="e">
        <f t="shared" si="40"/>
        <v>#N/A</v>
      </c>
      <c r="I361" t="e">
        <f t="shared" si="41"/>
        <v>#N/A</v>
      </c>
      <c r="J361" t="e">
        <f t="shared" si="36"/>
        <v>#N/A</v>
      </c>
      <c r="K361" s="27" t="e">
        <f t="shared" si="37"/>
        <v>#N/A</v>
      </c>
    </row>
    <row r="362" spans="1:11">
      <c r="A362" s="26">
        <v>312</v>
      </c>
      <c r="B362" s="82" t="e">
        <f t="shared" si="38"/>
        <v>#N/A</v>
      </c>
      <c r="C362" s="58" t="e">
        <f t="shared" si="42"/>
        <v>#N/A</v>
      </c>
      <c r="D362" s="83" t="e">
        <f t="shared" si="39"/>
        <v>#N/A</v>
      </c>
      <c r="E362" t="e">
        <f t="shared" si="35"/>
        <v>#N/A</v>
      </c>
      <c r="G362">
        <v>312</v>
      </c>
      <c r="H362" s="13" t="e">
        <f t="shared" si="40"/>
        <v>#N/A</v>
      </c>
      <c r="I362" t="e">
        <f t="shared" si="41"/>
        <v>#N/A</v>
      </c>
      <c r="J362" t="e">
        <f t="shared" si="36"/>
        <v>#N/A</v>
      </c>
      <c r="K362" s="27" t="e">
        <f t="shared" si="37"/>
        <v>#N/A</v>
      </c>
    </row>
    <row r="363" spans="1:11">
      <c r="A363" s="26">
        <v>313</v>
      </c>
      <c r="B363" s="82" t="e">
        <f t="shared" si="38"/>
        <v>#N/A</v>
      </c>
      <c r="C363" s="58" t="e">
        <f t="shared" si="42"/>
        <v>#N/A</v>
      </c>
      <c r="D363" s="83" t="e">
        <f t="shared" si="39"/>
        <v>#N/A</v>
      </c>
      <c r="E363" t="e">
        <f t="shared" si="35"/>
        <v>#N/A</v>
      </c>
      <c r="G363">
        <v>313</v>
      </c>
      <c r="H363" s="13" t="e">
        <f t="shared" si="40"/>
        <v>#N/A</v>
      </c>
      <c r="I363" t="e">
        <f t="shared" si="41"/>
        <v>#N/A</v>
      </c>
      <c r="J363" t="e">
        <f t="shared" si="36"/>
        <v>#N/A</v>
      </c>
      <c r="K363" s="27" t="e">
        <f t="shared" si="37"/>
        <v>#N/A</v>
      </c>
    </row>
    <row r="364" spans="1:11">
      <c r="A364" s="26">
        <v>314</v>
      </c>
      <c r="B364" s="82" t="e">
        <f t="shared" si="38"/>
        <v>#N/A</v>
      </c>
      <c r="C364" s="58" t="e">
        <f t="shared" si="42"/>
        <v>#N/A</v>
      </c>
      <c r="D364" s="83" t="e">
        <f t="shared" si="39"/>
        <v>#N/A</v>
      </c>
      <c r="E364" t="e">
        <f t="shared" si="35"/>
        <v>#N/A</v>
      </c>
      <c r="G364">
        <v>314</v>
      </c>
      <c r="H364" s="13" t="e">
        <f t="shared" si="40"/>
        <v>#N/A</v>
      </c>
      <c r="I364" t="e">
        <f t="shared" si="41"/>
        <v>#N/A</v>
      </c>
      <c r="J364" t="e">
        <f t="shared" si="36"/>
        <v>#N/A</v>
      </c>
      <c r="K364" s="27" t="e">
        <f t="shared" si="37"/>
        <v>#N/A</v>
      </c>
    </row>
    <row r="365" spans="1:11">
      <c r="A365" s="26">
        <v>315</v>
      </c>
      <c r="B365" s="82" t="e">
        <f t="shared" si="38"/>
        <v>#N/A</v>
      </c>
      <c r="C365" s="58" t="e">
        <f t="shared" si="42"/>
        <v>#N/A</v>
      </c>
      <c r="D365" s="83" t="e">
        <f t="shared" si="39"/>
        <v>#N/A</v>
      </c>
      <c r="E365" t="e">
        <f t="shared" si="35"/>
        <v>#N/A</v>
      </c>
      <c r="G365">
        <v>315</v>
      </c>
      <c r="H365" s="13" t="e">
        <f t="shared" si="40"/>
        <v>#N/A</v>
      </c>
      <c r="I365" t="e">
        <f t="shared" si="41"/>
        <v>#N/A</v>
      </c>
      <c r="J365" t="e">
        <f t="shared" si="36"/>
        <v>#N/A</v>
      </c>
      <c r="K365" s="27" t="e">
        <f t="shared" si="37"/>
        <v>#N/A</v>
      </c>
    </row>
    <row r="366" spans="1:11">
      <c r="A366" s="26">
        <v>316</v>
      </c>
      <c r="B366" s="82" t="e">
        <f t="shared" si="38"/>
        <v>#N/A</v>
      </c>
      <c r="C366" s="58" t="e">
        <f t="shared" si="42"/>
        <v>#N/A</v>
      </c>
      <c r="D366" s="83" t="e">
        <f t="shared" si="39"/>
        <v>#N/A</v>
      </c>
      <c r="E366" t="e">
        <f t="shared" si="35"/>
        <v>#N/A</v>
      </c>
      <c r="G366">
        <v>316</v>
      </c>
      <c r="H366" s="13" t="e">
        <f t="shared" si="40"/>
        <v>#N/A</v>
      </c>
      <c r="I366" t="e">
        <f t="shared" si="41"/>
        <v>#N/A</v>
      </c>
      <c r="J366" t="e">
        <f t="shared" si="36"/>
        <v>#N/A</v>
      </c>
      <c r="K366" s="27" t="e">
        <f t="shared" si="37"/>
        <v>#N/A</v>
      </c>
    </row>
    <row r="367" spans="1:11">
      <c r="A367" s="26">
        <v>317</v>
      </c>
      <c r="B367" s="82" t="e">
        <f t="shared" si="38"/>
        <v>#N/A</v>
      </c>
      <c r="C367" s="58" t="e">
        <f t="shared" si="42"/>
        <v>#N/A</v>
      </c>
      <c r="D367" s="83" t="e">
        <f t="shared" si="39"/>
        <v>#N/A</v>
      </c>
      <c r="E367" t="e">
        <f t="shared" si="35"/>
        <v>#N/A</v>
      </c>
      <c r="G367">
        <v>317</v>
      </c>
      <c r="H367" s="13" t="e">
        <f t="shared" si="40"/>
        <v>#N/A</v>
      </c>
      <c r="I367" t="e">
        <f t="shared" si="41"/>
        <v>#N/A</v>
      </c>
      <c r="J367" t="e">
        <f t="shared" si="36"/>
        <v>#N/A</v>
      </c>
      <c r="K367" s="27" t="e">
        <f t="shared" si="37"/>
        <v>#N/A</v>
      </c>
    </row>
    <row r="368" spans="1:11">
      <c r="A368" s="26">
        <v>318</v>
      </c>
      <c r="B368" s="82" t="e">
        <f t="shared" si="38"/>
        <v>#N/A</v>
      </c>
      <c r="C368" s="58" t="e">
        <f t="shared" si="42"/>
        <v>#N/A</v>
      </c>
      <c r="D368" s="83" t="e">
        <f t="shared" si="39"/>
        <v>#N/A</v>
      </c>
      <c r="E368" t="e">
        <f t="shared" si="35"/>
        <v>#N/A</v>
      </c>
      <c r="G368">
        <v>318</v>
      </c>
      <c r="H368" s="13" t="e">
        <f t="shared" si="40"/>
        <v>#N/A</v>
      </c>
      <c r="I368" t="e">
        <f t="shared" si="41"/>
        <v>#N/A</v>
      </c>
      <c r="J368" t="e">
        <f t="shared" si="36"/>
        <v>#N/A</v>
      </c>
      <c r="K368" s="27" t="e">
        <f t="shared" si="37"/>
        <v>#N/A</v>
      </c>
    </row>
    <row r="369" spans="1:11">
      <c r="A369" s="26">
        <v>319</v>
      </c>
      <c r="B369" s="82" t="e">
        <f t="shared" si="38"/>
        <v>#N/A</v>
      </c>
      <c r="C369" s="58" t="e">
        <f t="shared" si="42"/>
        <v>#N/A</v>
      </c>
      <c r="D369" s="83" t="e">
        <f t="shared" si="39"/>
        <v>#N/A</v>
      </c>
      <c r="E369" t="e">
        <f t="shared" si="35"/>
        <v>#N/A</v>
      </c>
      <c r="G369">
        <v>319</v>
      </c>
      <c r="H369" s="13" t="e">
        <f t="shared" si="40"/>
        <v>#N/A</v>
      </c>
      <c r="I369" t="e">
        <f t="shared" si="41"/>
        <v>#N/A</v>
      </c>
      <c r="J369" t="e">
        <f t="shared" si="36"/>
        <v>#N/A</v>
      </c>
      <c r="K369" s="27" t="e">
        <f t="shared" si="37"/>
        <v>#N/A</v>
      </c>
    </row>
    <row r="370" spans="1:11">
      <c r="A370" s="26">
        <v>320</v>
      </c>
      <c r="B370" s="82" t="e">
        <f t="shared" si="38"/>
        <v>#N/A</v>
      </c>
      <c r="C370" s="58" t="e">
        <f t="shared" si="42"/>
        <v>#N/A</v>
      </c>
      <c r="D370" s="83" t="e">
        <f t="shared" si="39"/>
        <v>#N/A</v>
      </c>
      <c r="E370" t="e">
        <f t="shared" si="35"/>
        <v>#N/A</v>
      </c>
      <c r="G370">
        <v>320</v>
      </c>
      <c r="H370" s="13" t="e">
        <f t="shared" si="40"/>
        <v>#N/A</v>
      </c>
      <c r="I370" t="e">
        <f t="shared" si="41"/>
        <v>#N/A</v>
      </c>
      <c r="J370" t="e">
        <f t="shared" si="36"/>
        <v>#N/A</v>
      </c>
      <c r="K370" s="27" t="e">
        <f t="shared" si="37"/>
        <v>#N/A</v>
      </c>
    </row>
    <row r="371" spans="1:11">
      <c r="A371" s="26">
        <v>321</v>
      </c>
      <c r="B371" s="82" t="e">
        <f t="shared" si="38"/>
        <v>#N/A</v>
      </c>
      <c r="C371" s="58" t="e">
        <f t="shared" si="42"/>
        <v>#N/A</v>
      </c>
      <c r="D371" s="83" t="e">
        <f t="shared" si="39"/>
        <v>#N/A</v>
      </c>
      <c r="E371" t="e">
        <f t="shared" ref="E371:E434" si="43">((D371^2)+(D371*D372)+(D372^2))*B372/3</f>
        <v>#N/A</v>
      </c>
      <c r="G371">
        <v>321</v>
      </c>
      <c r="H371" s="13" t="e">
        <f t="shared" si="40"/>
        <v>#N/A</v>
      </c>
      <c r="I371" t="e">
        <f t="shared" si="41"/>
        <v>#N/A</v>
      </c>
      <c r="J371" t="e">
        <f t="shared" ref="J371:J434" si="44">IF($G$28&lt;$C$14,0,((($C$11^2)-((I371-$C$13)^2))^0.5)+$C$16)</f>
        <v>#N/A</v>
      </c>
      <c r="K371" s="27" t="e">
        <f t="shared" ref="K371:K434" si="45">((J371^2)+(J371*J372)+(J372^2))*H372/3</f>
        <v>#N/A</v>
      </c>
    </row>
    <row r="372" spans="1:11">
      <c r="A372" s="26">
        <v>322</v>
      </c>
      <c r="B372" s="82" t="e">
        <f t="shared" ref="B372:B435" si="46">C372-C371</f>
        <v>#N/A</v>
      </c>
      <c r="C372" s="58" t="e">
        <f t="shared" si="42"/>
        <v>#N/A</v>
      </c>
      <c r="D372" s="83" t="e">
        <f t="shared" ref="D372:D435" si="47">IF($G$28&lt;$C$14,0,((($C$11^2)-((C372-$C$13)^2))^0.5)+$C$16)</f>
        <v>#N/A</v>
      </c>
      <c r="E372" t="e">
        <f t="shared" si="43"/>
        <v>#N/A</v>
      </c>
      <c r="G372">
        <v>322</v>
      </c>
      <c r="H372" s="13" t="e">
        <f t="shared" ref="H372:H435" si="48">I372-I371</f>
        <v>#N/A</v>
      </c>
      <c r="I372" t="e">
        <f t="shared" ref="I372:I435" si="49">($G$27-$C$14)/2000+I371</f>
        <v>#N/A</v>
      </c>
      <c r="J372" t="e">
        <f t="shared" si="44"/>
        <v>#N/A</v>
      </c>
      <c r="K372" s="27" t="e">
        <f t="shared" si="45"/>
        <v>#N/A</v>
      </c>
    </row>
    <row r="373" spans="1:11">
      <c r="A373" s="26">
        <v>323</v>
      </c>
      <c r="B373" s="82" t="e">
        <f t="shared" si="46"/>
        <v>#N/A</v>
      </c>
      <c r="C373" s="58" t="e">
        <f t="shared" si="42"/>
        <v>#N/A</v>
      </c>
      <c r="D373" s="83" t="e">
        <f t="shared" si="47"/>
        <v>#N/A</v>
      </c>
      <c r="E373" t="e">
        <f t="shared" si="43"/>
        <v>#N/A</v>
      </c>
      <c r="G373">
        <v>323</v>
      </c>
      <c r="H373" s="13" t="e">
        <f t="shared" si="48"/>
        <v>#N/A</v>
      </c>
      <c r="I373" t="e">
        <f t="shared" si="49"/>
        <v>#N/A</v>
      </c>
      <c r="J373" t="e">
        <f t="shared" si="44"/>
        <v>#N/A</v>
      </c>
      <c r="K373" s="27" t="e">
        <f t="shared" si="45"/>
        <v>#N/A</v>
      </c>
    </row>
    <row r="374" spans="1:11">
      <c r="A374" s="26">
        <v>324</v>
      </c>
      <c r="B374" s="82" t="e">
        <f t="shared" si="46"/>
        <v>#N/A</v>
      </c>
      <c r="C374" s="58" t="e">
        <f t="shared" si="42"/>
        <v>#N/A</v>
      </c>
      <c r="D374" s="83" t="e">
        <f t="shared" si="47"/>
        <v>#N/A</v>
      </c>
      <c r="E374" t="e">
        <f t="shared" si="43"/>
        <v>#N/A</v>
      </c>
      <c r="G374">
        <v>324</v>
      </c>
      <c r="H374" s="13" t="e">
        <f t="shared" si="48"/>
        <v>#N/A</v>
      </c>
      <c r="I374" t="e">
        <f t="shared" si="49"/>
        <v>#N/A</v>
      </c>
      <c r="J374" t="e">
        <f t="shared" si="44"/>
        <v>#N/A</v>
      </c>
      <c r="K374" s="27" t="e">
        <f t="shared" si="45"/>
        <v>#N/A</v>
      </c>
    </row>
    <row r="375" spans="1:11">
      <c r="A375" s="26">
        <v>325</v>
      </c>
      <c r="B375" s="82" t="e">
        <f t="shared" si="46"/>
        <v>#N/A</v>
      </c>
      <c r="C375" s="58" t="e">
        <f t="shared" si="42"/>
        <v>#N/A</v>
      </c>
      <c r="D375" s="83" t="e">
        <f t="shared" si="47"/>
        <v>#N/A</v>
      </c>
      <c r="E375" t="e">
        <f t="shared" si="43"/>
        <v>#N/A</v>
      </c>
      <c r="G375">
        <v>325</v>
      </c>
      <c r="H375" s="13" t="e">
        <f t="shared" si="48"/>
        <v>#N/A</v>
      </c>
      <c r="I375" t="e">
        <f t="shared" si="49"/>
        <v>#N/A</v>
      </c>
      <c r="J375" t="e">
        <f t="shared" si="44"/>
        <v>#N/A</v>
      </c>
      <c r="K375" s="27" t="e">
        <f t="shared" si="45"/>
        <v>#N/A</v>
      </c>
    </row>
    <row r="376" spans="1:11">
      <c r="A376" s="26">
        <v>326</v>
      </c>
      <c r="B376" s="82" t="e">
        <f t="shared" si="46"/>
        <v>#N/A</v>
      </c>
      <c r="C376" s="58" t="e">
        <f t="shared" si="42"/>
        <v>#N/A</v>
      </c>
      <c r="D376" s="83" t="e">
        <f t="shared" si="47"/>
        <v>#N/A</v>
      </c>
      <c r="E376" t="e">
        <f t="shared" si="43"/>
        <v>#N/A</v>
      </c>
      <c r="G376">
        <v>326</v>
      </c>
      <c r="H376" s="13" t="e">
        <f t="shared" si="48"/>
        <v>#N/A</v>
      </c>
      <c r="I376" t="e">
        <f t="shared" si="49"/>
        <v>#N/A</v>
      </c>
      <c r="J376" t="e">
        <f t="shared" si="44"/>
        <v>#N/A</v>
      </c>
      <c r="K376" s="27" t="e">
        <f t="shared" si="45"/>
        <v>#N/A</v>
      </c>
    </row>
    <row r="377" spans="1:11">
      <c r="A377" s="26">
        <v>327</v>
      </c>
      <c r="B377" s="82" t="e">
        <f t="shared" si="46"/>
        <v>#N/A</v>
      </c>
      <c r="C377" s="58" t="e">
        <f t="shared" si="42"/>
        <v>#N/A</v>
      </c>
      <c r="D377" s="83" t="e">
        <f t="shared" si="47"/>
        <v>#N/A</v>
      </c>
      <c r="E377" t="e">
        <f t="shared" si="43"/>
        <v>#N/A</v>
      </c>
      <c r="G377">
        <v>327</v>
      </c>
      <c r="H377" s="13" t="e">
        <f t="shared" si="48"/>
        <v>#N/A</v>
      </c>
      <c r="I377" t="e">
        <f t="shared" si="49"/>
        <v>#N/A</v>
      </c>
      <c r="J377" t="e">
        <f t="shared" si="44"/>
        <v>#N/A</v>
      </c>
      <c r="K377" s="27" t="e">
        <f t="shared" si="45"/>
        <v>#N/A</v>
      </c>
    </row>
    <row r="378" spans="1:11">
      <c r="A378" s="26">
        <v>328</v>
      </c>
      <c r="B378" s="82" t="e">
        <f t="shared" si="46"/>
        <v>#N/A</v>
      </c>
      <c r="C378" s="58" t="e">
        <f t="shared" si="42"/>
        <v>#N/A</v>
      </c>
      <c r="D378" s="83" t="e">
        <f t="shared" si="47"/>
        <v>#N/A</v>
      </c>
      <c r="E378" t="e">
        <f t="shared" si="43"/>
        <v>#N/A</v>
      </c>
      <c r="G378">
        <v>328</v>
      </c>
      <c r="H378" s="13" t="e">
        <f t="shared" si="48"/>
        <v>#N/A</v>
      </c>
      <c r="I378" t="e">
        <f t="shared" si="49"/>
        <v>#N/A</v>
      </c>
      <c r="J378" t="e">
        <f t="shared" si="44"/>
        <v>#N/A</v>
      </c>
      <c r="K378" s="27" t="e">
        <f t="shared" si="45"/>
        <v>#N/A</v>
      </c>
    </row>
    <row r="379" spans="1:11">
      <c r="A379" s="26">
        <v>329</v>
      </c>
      <c r="B379" s="82" t="e">
        <f t="shared" si="46"/>
        <v>#N/A</v>
      </c>
      <c r="C379" s="58" t="e">
        <f t="shared" si="42"/>
        <v>#N/A</v>
      </c>
      <c r="D379" s="83" t="e">
        <f t="shared" si="47"/>
        <v>#N/A</v>
      </c>
      <c r="E379" t="e">
        <f t="shared" si="43"/>
        <v>#N/A</v>
      </c>
      <c r="G379">
        <v>329</v>
      </c>
      <c r="H379" s="13" t="e">
        <f t="shared" si="48"/>
        <v>#N/A</v>
      </c>
      <c r="I379" t="e">
        <f t="shared" si="49"/>
        <v>#N/A</v>
      </c>
      <c r="J379" t="e">
        <f t="shared" si="44"/>
        <v>#N/A</v>
      </c>
      <c r="K379" s="27" t="e">
        <f t="shared" si="45"/>
        <v>#N/A</v>
      </c>
    </row>
    <row r="380" spans="1:11">
      <c r="A380" s="26">
        <v>330</v>
      </c>
      <c r="B380" s="82" t="e">
        <f t="shared" si="46"/>
        <v>#N/A</v>
      </c>
      <c r="C380" s="58" t="e">
        <f t="shared" si="42"/>
        <v>#N/A</v>
      </c>
      <c r="D380" s="83" t="e">
        <f t="shared" si="47"/>
        <v>#N/A</v>
      </c>
      <c r="E380" t="e">
        <f t="shared" si="43"/>
        <v>#N/A</v>
      </c>
      <c r="G380">
        <v>330</v>
      </c>
      <c r="H380" s="13" t="e">
        <f t="shared" si="48"/>
        <v>#N/A</v>
      </c>
      <c r="I380" t="e">
        <f t="shared" si="49"/>
        <v>#N/A</v>
      </c>
      <c r="J380" t="e">
        <f t="shared" si="44"/>
        <v>#N/A</v>
      </c>
      <c r="K380" s="27" t="e">
        <f t="shared" si="45"/>
        <v>#N/A</v>
      </c>
    </row>
    <row r="381" spans="1:11">
      <c r="A381" s="26">
        <v>331</v>
      </c>
      <c r="B381" s="82" t="e">
        <f t="shared" si="46"/>
        <v>#N/A</v>
      </c>
      <c r="C381" s="58" t="e">
        <f t="shared" si="42"/>
        <v>#N/A</v>
      </c>
      <c r="D381" s="83" t="e">
        <f t="shared" si="47"/>
        <v>#N/A</v>
      </c>
      <c r="E381" t="e">
        <f t="shared" si="43"/>
        <v>#N/A</v>
      </c>
      <c r="G381">
        <v>331</v>
      </c>
      <c r="H381" s="13" t="e">
        <f t="shared" si="48"/>
        <v>#N/A</v>
      </c>
      <c r="I381" t="e">
        <f t="shared" si="49"/>
        <v>#N/A</v>
      </c>
      <c r="J381" t="e">
        <f t="shared" si="44"/>
        <v>#N/A</v>
      </c>
      <c r="K381" s="27" t="e">
        <f t="shared" si="45"/>
        <v>#N/A</v>
      </c>
    </row>
    <row r="382" spans="1:11">
      <c r="A382" s="26">
        <v>332</v>
      </c>
      <c r="B382" s="82" t="e">
        <f t="shared" si="46"/>
        <v>#N/A</v>
      </c>
      <c r="C382" s="58" t="e">
        <f t="shared" si="42"/>
        <v>#N/A</v>
      </c>
      <c r="D382" s="83" t="e">
        <f t="shared" si="47"/>
        <v>#N/A</v>
      </c>
      <c r="E382" t="e">
        <f t="shared" si="43"/>
        <v>#N/A</v>
      </c>
      <c r="G382">
        <v>332</v>
      </c>
      <c r="H382" s="13" t="e">
        <f t="shared" si="48"/>
        <v>#N/A</v>
      </c>
      <c r="I382" t="e">
        <f t="shared" si="49"/>
        <v>#N/A</v>
      </c>
      <c r="J382" t="e">
        <f t="shared" si="44"/>
        <v>#N/A</v>
      </c>
      <c r="K382" s="27" t="e">
        <f t="shared" si="45"/>
        <v>#N/A</v>
      </c>
    </row>
    <row r="383" spans="1:11">
      <c r="A383" s="26">
        <v>333</v>
      </c>
      <c r="B383" s="82" t="e">
        <f t="shared" si="46"/>
        <v>#N/A</v>
      </c>
      <c r="C383" s="58" t="e">
        <f t="shared" si="42"/>
        <v>#N/A</v>
      </c>
      <c r="D383" s="83" t="e">
        <f t="shared" si="47"/>
        <v>#N/A</v>
      </c>
      <c r="E383" t="e">
        <f t="shared" si="43"/>
        <v>#N/A</v>
      </c>
      <c r="G383">
        <v>333</v>
      </c>
      <c r="H383" s="13" t="e">
        <f t="shared" si="48"/>
        <v>#N/A</v>
      </c>
      <c r="I383" t="e">
        <f t="shared" si="49"/>
        <v>#N/A</v>
      </c>
      <c r="J383" t="e">
        <f t="shared" si="44"/>
        <v>#N/A</v>
      </c>
      <c r="K383" s="27" t="e">
        <f t="shared" si="45"/>
        <v>#N/A</v>
      </c>
    </row>
    <row r="384" spans="1:11">
      <c r="A384" s="26">
        <v>334</v>
      </c>
      <c r="B384" s="82" t="e">
        <f t="shared" si="46"/>
        <v>#N/A</v>
      </c>
      <c r="C384" s="58" t="e">
        <f t="shared" si="42"/>
        <v>#N/A</v>
      </c>
      <c r="D384" s="83" t="e">
        <f t="shared" si="47"/>
        <v>#N/A</v>
      </c>
      <c r="E384" t="e">
        <f t="shared" si="43"/>
        <v>#N/A</v>
      </c>
      <c r="G384">
        <v>334</v>
      </c>
      <c r="H384" s="13" t="e">
        <f t="shared" si="48"/>
        <v>#N/A</v>
      </c>
      <c r="I384" t="e">
        <f t="shared" si="49"/>
        <v>#N/A</v>
      </c>
      <c r="J384" t="e">
        <f t="shared" si="44"/>
        <v>#N/A</v>
      </c>
      <c r="K384" s="27" t="e">
        <f t="shared" si="45"/>
        <v>#N/A</v>
      </c>
    </row>
    <row r="385" spans="1:11">
      <c r="A385" s="26">
        <v>335</v>
      </c>
      <c r="B385" s="82" t="e">
        <f t="shared" si="46"/>
        <v>#N/A</v>
      </c>
      <c r="C385" s="58" t="e">
        <f t="shared" si="42"/>
        <v>#N/A</v>
      </c>
      <c r="D385" s="83" t="e">
        <f t="shared" si="47"/>
        <v>#N/A</v>
      </c>
      <c r="E385" t="e">
        <f t="shared" si="43"/>
        <v>#N/A</v>
      </c>
      <c r="G385">
        <v>335</v>
      </c>
      <c r="H385" s="13" t="e">
        <f t="shared" si="48"/>
        <v>#N/A</v>
      </c>
      <c r="I385" t="e">
        <f t="shared" si="49"/>
        <v>#N/A</v>
      </c>
      <c r="J385" t="e">
        <f t="shared" si="44"/>
        <v>#N/A</v>
      </c>
      <c r="K385" s="27" t="e">
        <f t="shared" si="45"/>
        <v>#N/A</v>
      </c>
    </row>
    <row r="386" spans="1:11">
      <c r="A386" s="26">
        <v>336</v>
      </c>
      <c r="B386" s="82" t="e">
        <f t="shared" si="46"/>
        <v>#N/A</v>
      </c>
      <c r="C386" s="58" t="e">
        <f t="shared" si="42"/>
        <v>#N/A</v>
      </c>
      <c r="D386" s="83" t="e">
        <f t="shared" si="47"/>
        <v>#N/A</v>
      </c>
      <c r="E386" t="e">
        <f t="shared" si="43"/>
        <v>#N/A</v>
      </c>
      <c r="G386">
        <v>336</v>
      </c>
      <c r="H386" s="13" t="e">
        <f t="shared" si="48"/>
        <v>#N/A</v>
      </c>
      <c r="I386" t="e">
        <f t="shared" si="49"/>
        <v>#N/A</v>
      </c>
      <c r="J386" t="e">
        <f t="shared" si="44"/>
        <v>#N/A</v>
      </c>
      <c r="K386" s="27" t="e">
        <f t="shared" si="45"/>
        <v>#N/A</v>
      </c>
    </row>
    <row r="387" spans="1:11">
      <c r="A387" s="26">
        <v>337</v>
      </c>
      <c r="B387" s="82" t="e">
        <f t="shared" si="46"/>
        <v>#N/A</v>
      </c>
      <c r="C387" s="58" t="e">
        <f t="shared" si="42"/>
        <v>#N/A</v>
      </c>
      <c r="D387" s="83" t="e">
        <f t="shared" si="47"/>
        <v>#N/A</v>
      </c>
      <c r="E387" t="e">
        <f t="shared" si="43"/>
        <v>#N/A</v>
      </c>
      <c r="G387">
        <v>337</v>
      </c>
      <c r="H387" s="13" t="e">
        <f t="shared" si="48"/>
        <v>#N/A</v>
      </c>
      <c r="I387" t="e">
        <f t="shared" si="49"/>
        <v>#N/A</v>
      </c>
      <c r="J387" t="e">
        <f t="shared" si="44"/>
        <v>#N/A</v>
      </c>
      <c r="K387" s="27" t="e">
        <f t="shared" si="45"/>
        <v>#N/A</v>
      </c>
    </row>
    <row r="388" spans="1:11">
      <c r="A388" s="26">
        <v>338</v>
      </c>
      <c r="B388" s="82" t="e">
        <f t="shared" si="46"/>
        <v>#N/A</v>
      </c>
      <c r="C388" s="58" t="e">
        <f t="shared" si="42"/>
        <v>#N/A</v>
      </c>
      <c r="D388" s="83" t="e">
        <f t="shared" si="47"/>
        <v>#N/A</v>
      </c>
      <c r="E388" t="e">
        <f t="shared" si="43"/>
        <v>#N/A</v>
      </c>
      <c r="G388">
        <v>338</v>
      </c>
      <c r="H388" s="13" t="e">
        <f t="shared" si="48"/>
        <v>#N/A</v>
      </c>
      <c r="I388" t="e">
        <f t="shared" si="49"/>
        <v>#N/A</v>
      </c>
      <c r="J388" t="e">
        <f t="shared" si="44"/>
        <v>#N/A</v>
      </c>
      <c r="K388" s="27" t="e">
        <f t="shared" si="45"/>
        <v>#N/A</v>
      </c>
    </row>
    <row r="389" spans="1:11">
      <c r="A389" s="26">
        <v>339</v>
      </c>
      <c r="B389" s="82" t="e">
        <f t="shared" si="46"/>
        <v>#N/A</v>
      </c>
      <c r="C389" s="58" t="e">
        <f t="shared" si="42"/>
        <v>#N/A</v>
      </c>
      <c r="D389" s="83" t="e">
        <f t="shared" si="47"/>
        <v>#N/A</v>
      </c>
      <c r="E389" t="e">
        <f t="shared" si="43"/>
        <v>#N/A</v>
      </c>
      <c r="G389">
        <v>339</v>
      </c>
      <c r="H389" s="13" t="e">
        <f t="shared" si="48"/>
        <v>#N/A</v>
      </c>
      <c r="I389" t="e">
        <f t="shared" si="49"/>
        <v>#N/A</v>
      </c>
      <c r="J389" t="e">
        <f t="shared" si="44"/>
        <v>#N/A</v>
      </c>
      <c r="K389" s="27" t="e">
        <f t="shared" si="45"/>
        <v>#N/A</v>
      </c>
    </row>
    <row r="390" spans="1:11">
      <c r="A390" s="26">
        <v>340</v>
      </c>
      <c r="B390" s="82" t="e">
        <f t="shared" si="46"/>
        <v>#N/A</v>
      </c>
      <c r="C390" s="58" t="e">
        <f t="shared" si="42"/>
        <v>#N/A</v>
      </c>
      <c r="D390" s="83" t="e">
        <f t="shared" si="47"/>
        <v>#N/A</v>
      </c>
      <c r="E390" t="e">
        <f t="shared" si="43"/>
        <v>#N/A</v>
      </c>
      <c r="G390">
        <v>340</v>
      </c>
      <c r="H390" s="13" t="e">
        <f t="shared" si="48"/>
        <v>#N/A</v>
      </c>
      <c r="I390" t="e">
        <f t="shared" si="49"/>
        <v>#N/A</v>
      </c>
      <c r="J390" t="e">
        <f t="shared" si="44"/>
        <v>#N/A</v>
      </c>
      <c r="K390" s="27" t="e">
        <f t="shared" si="45"/>
        <v>#N/A</v>
      </c>
    </row>
    <row r="391" spans="1:11">
      <c r="A391" s="26">
        <v>341</v>
      </c>
      <c r="B391" s="82" t="e">
        <f t="shared" si="46"/>
        <v>#N/A</v>
      </c>
      <c r="C391" s="58" t="e">
        <f t="shared" si="42"/>
        <v>#N/A</v>
      </c>
      <c r="D391" s="83" t="e">
        <f t="shared" si="47"/>
        <v>#N/A</v>
      </c>
      <c r="E391" t="e">
        <f t="shared" si="43"/>
        <v>#N/A</v>
      </c>
      <c r="G391">
        <v>341</v>
      </c>
      <c r="H391" s="13" t="e">
        <f t="shared" si="48"/>
        <v>#N/A</v>
      </c>
      <c r="I391" t="e">
        <f t="shared" si="49"/>
        <v>#N/A</v>
      </c>
      <c r="J391" t="e">
        <f t="shared" si="44"/>
        <v>#N/A</v>
      </c>
      <c r="K391" s="27" t="e">
        <f t="shared" si="45"/>
        <v>#N/A</v>
      </c>
    </row>
    <row r="392" spans="1:11">
      <c r="A392" s="26">
        <v>342</v>
      </c>
      <c r="B392" s="82" t="e">
        <f t="shared" si="46"/>
        <v>#N/A</v>
      </c>
      <c r="C392" s="58" t="e">
        <f t="shared" si="42"/>
        <v>#N/A</v>
      </c>
      <c r="D392" s="83" t="e">
        <f t="shared" si="47"/>
        <v>#N/A</v>
      </c>
      <c r="E392" t="e">
        <f t="shared" si="43"/>
        <v>#N/A</v>
      </c>
      <c r="G392">
        <v>342</v>
      </c>
      <c r="H392" s="13" t="e">
        <f t="shared" si="48"/>
        <v>#N/A</v>
      </c>
      <c r="I392" t="e">
        <f t="shared" si="49"/>
        <v>#N/A</v>
      </c>
      <c r="J392" t="e">
        <f t="shared" si="44"/>
        <v>#N/A</v>
      </c>
      <c r="K392" s="27" t="e">
        <f t="shared" si="45"/>
        <v>#N/A</v>
      </c>
    </row>
    <row r="393" spans="1:11">
      <c r="A393" s="26">
        <v>343</v>
      </c>
      <c r="B393" s="82" t="e">
        <f t="shared" si="46"/>
        <v>#N/A</v>
      </c>
      <c r="C393" s="58" t="e">
        <f t="shared" si="42"/>
        <v>#N/A</v>
      </c>
      <c r="D393" s="83" t="e">
        <f t="shared" si="47"/>
        <v>#N/A</v>
      </c>
      <c r="E393" t="e">
        <f t="shared" si="43"/>
        <v>#N/A</v>
      </c>
      <c r="G393">
        <v>343</v>
      </c>
      <c r="H393" s="13" t="e">
        <f t="shared" si="48"/>
        <v>#N/A</v>
      </c>
      <c r="I393" t="e">
        <f t="shared" si="49"/>
        <v>#N/A</v>
      </c>
      <c r="J393" t="e">
        <f t="shared" si="44"/>
        <v>#N/A</v>
      </c>
      <c r="K393" s="27" t="e">
        <f t="shared" si="45"/>
        <v>#N/A</v>
      </c>
    </row>
    <row r="394" spans="1:11">
      <c r="A394" s="26">
        <v>344</v>
      </c>
      <c r="B394" s="82" t="e">
        <f t="shared" si="46"/>
        <v>#N/A</v>
      </c>
      <c r="C394" s="58" t="e">
        <f t="shared" si="42"/>
        <v>#N/A</v>
      </c>
      <c r="D394" s="83" t="e">
        <f t="shared" si="47"/>
        <v>#N/A</v>
      </c>
      <c r="E394" t="e">
        <f t="shared" si="43"/>
        <v>#N/A</v>
      </c>
      <c r="G394">
        <v>344</v>
      </c>
      <c r="H394" s="13" t="e">
        <f t="shared" si="48"/>
        <v>#N/A</v>
      </c>
      <c r="I394" t="e">
        <f t="shared" si="49"/>
        <v>#N/A</v>
      </c>
      <c r="J394" t="e">
        <f t="shared" si="44"/>
        <v>#N/A</v>
      </c>
      <c r="K394" s="27" t="e">
        <f t="shared" si="45"/>
        <v>#N/A</v>
      </c>
    </row>
    <row r="395" spans="1:11">
      <c r="A395" s="26">
        <v>345</v>
      </c>
      <c r="B395" s="82" t="e">
        <f t="shared" si="46"/>
        <v>#N/A</v>
      </c>
      <c r="C395" s="58" t="e">
        <f t="shared" si="42"/>
        <v>#N/A</v>
      </c>
      <c r="D395" s="83" t="e">
        <f t="shared" si="47"/>
        <v>#N/A</v>
      </c>
      <c r="E395" t="e">
        <f t="shared" si="43"/>
        <v>#N/A</v>
      </c>
      <c r="G395">
        <v>345</v>
      </c>
      <c r="H395" s="13" t="e">
        <f t="shared" si="48"/>
        <v>#N/A</v>
      </c>
      <c r="I395" t="e">
        <f t="shared" si="49"/>
        <v>#N/A</v>
      </c>
      <c r="J395" t="e">
        <f t="shared" si="44"/>
        <v>#N/A</v>
      </c>
      <c r="K395" s="27" t="e">
        <f t="shared" si="45"/>
        <v>#N/A</v>
      </c>
    </row>
    <row r="396" spans="1:11">
      <c r="A396" s="26">
        <v>346</v>
      </c>
      <c r="B396" s="82" t="e">
        <f t="shared" si="46"/>
        <v>#N/A</v>
      </c>
      <c r="C396" s="58" t="e">
        <f t="shared" si="42"/>
        <v>#N/A</v>
      </c>
      <c r="D396" s="83" t="e">
        <f t="shared" si="47"/>
        <v>#N/A</v>
      </c>
      <c r="E396" t="e">
        <f t="shared" si="43"/>
        <v>#N/A</v>
      </c>
      <c r="G396">
        <v>346</v>
      </c>
      <c r="H396" s="13" t="e">
        <f t="shared" si="48"/>
        <v>#N/A</v>
      </c>
      <c r="I396" t="e">
        <f t="shared" si="49"/>
        <v>#N/A</v>
      </c>
      <c r="J396" t="e">
        <f t="shared" si="44"/>
        <v>#N/A</v>
      </c>
      <c r="K396" s="27" t="e">
        <f t="shared" si="45"/>
        <v>#N/A</v>
      </c>
    </row>
    <row r="397" spans="1:11">
      <c r="A397" s="26">
        <v>347</v>
      </c>
      <c r="B397" s="82" t="e">
        <f t="shared" si="46"/>
        <v>#N/A</v>
      </c>
      <c r="C397" s="58" t="e">
        <f t="shared" si="42"/>
        <v>#N/A</v>
      </c>
      <c r="D397" s="83" t="e">
        <f t="shared" si="47"/>
        <v>#N/A</v>
      </c>
      <c r="E397" t="e">
        <f t="shared" si="43"/>
        <v>#N/A</v>
      </c>
      <c r="G397">
        <v>347</v>
      </c>
      <c r="H397" s="13" t="e">
        <f t="shared" si="48"/>
        <v>#N/A</v>
      </c>
      <c r="I397" t="e">
        <f t="shared" si="49"/>
        <v>#N/A</v>
      </c>
      <c r="J397" t="e">
        <f t="shared" si="44"/>
        <v>#N/A</v>
      </c>
      <c r="K397" s="27" t="e">
        <f t="shared" si="45"/>
        <v>#N/A</v>
      </c>
    </row>
    <row r="398" spans="1:11">
      <c r="A398" s="26">
        <v>348</v>
      </c>
      <c r="B398" s="82" t="e">
        <f t="shared" si="46"/>
        <v>#N/A</v>
      </c>
      <c r="C398" s="58" t="e">
        <f t="shared" si="42"/>
        <v>#N/A</v>
      </c>
      <c r="D398" s="83" t="e">
        <f t="shared" si="47"/>
        <v>#N/A</v>
      </c>
      <c r="E398" t="e">
        <f t="shared" si="43"/>
        <v>#N/A</v>
      </c>
      <c r="G398">
        <v>348</v>
      </c>
      <c r="H398" s="13" t="e">
        <f t="shared" si="48"/>
        <v>#N/A</v>
      </c>
      <c r="I398" t="e">
        <f t="shared" si="49"/>
        <v>#N/A</v>
      </c>
      <c r="J398" t="e">
        <f t="shared" si="44"/>
        <v>#N/A</v>
      </c>
      <c r="K398" s="27" t="e">
        <f t="shared" si="45"/>
        <v>#N/A</v>
      </c>
    </row>
    <row r="399" spans="1:11">
      <c r="A399" s="26">
        <v>349</v>
      </c>
      <c r="B399" s="82" t="e">
        <f t="shared" si="46"/>
        <v>#N/A</v>
      </c>
      <c r="C399" s="58" t="e">
        <f t="shared" si="42"/>
        <v>#N/A</v>
      </c>
      <c r="D399" s="83" t="e">
        <f t="shared" si="47"/>
        <v>#N/A</v>
      </c>
      <c r="E399" t="e">
        <f t="shared" si="43"/>
        <v>#N/A</v>
      </c>
      <c r="G399">
        <v>349</v>
      </c>
      <c r="H399" s="13" t="e">
        <f t="shared" si="48"/>
        <v>#N/A</v>
      </c>
      <c r="I399" t="e">
        <f t="shared" si="49"/>
        <v>#N/A</v>
      </c>
      <c r="J399" t="e">
        <f t="shared" si="44"/>
        <v>#N/A</v>
      </c>
      <c r="K399" s="27" t="e">
        <f t="shared" si="45"/>
        <v>#N/A</v>
      </c>
    </row>
    <row r="400" spans="1:11">
      <c r="A400" s="26">
        <v>350</v>
      </c>
      <c r="B400" s="82" t="e">
        <f t="shared" si="46"/>
        <v>#N/A</v>
      </c>
      <c r="C400" s="58" t="e">
        <f t="shared" ref="C400:C463" si="50">($C$37-$C$36)/2000+C399</f>
        <v>#N/A</v>
      </c>
      <c r="D400" s="83" t="e">
        <f t="shared" si="47"/>
        <v>#N/A</v>
      </c>
      <c r="E400" t="e">
        <f t="shared" si="43"/>
        <v>#N/A</v>
      </c>
      <c r="G400">
        <v>350</v>
      </c>
      <c r="H400" s="13" t="e">
        <f t="shared" si="48"/>
        <v>#N/A</v>
      </c>
      <c r="I400" t="e">
        <f t="shared" si="49"/>
        <v>#N/A</v>
      </c>
      <c r="J400" t="e">
        <f t="shared" si="44"/>
        <v>#N/A</v>
      </c>
      <c r="K400" s="27" t="e">
        <f t="shared" si="45"/>
        <v>#N/A</v>
      </c>
    </row>
    <row r="401" spans="1:11">
      <c r="A401" s="26">
        <v>351</v>
      </c>
      <c r="B401" s="82" t="e">
        <f t="shared" si="46"/>
        <v>#N/A</v>
      </c>
      <c r="C401" s="58" t="e">
        <f t="shared" si="50"/>
        <v>#N/A</v>
      </c>
      <c r="D401" s="83" t="e">
        <f t="shared" si="47"/>
        <v>#N/A</v>
      </c>
      <c r="E401" t="e">
        <f t="shared" si="43"/>
        <v>#N/A</v>
      </c>
      <c r="G401">
        <v>351</v>
      </c>
      <c r="H401" s="13" t="e">
        <f t="shared" si="48"/>
        <v>#N/A</v>
      </c>
      <c r="I401" t="e">
        <f t="shared" si="49"/>
        <v>#N/A</v>
      </c>
      <c r="J401" t="e">
        <f t="shared" si="44"/>
        <v>#N/A</v>
      </c>
      <c r="K401" s="27" t="e">
        <f t="shared" si="45"/>
        <v>#N/A</v>
      </c>
    </row>
    <row r="402" spans="1:11">
      <c r="A402" s="26">
        <v>352</v>
      </c>
      <c r="B402" s="82" t="e">
        <f t="shared" si="46"/>
        <v>#N/A</v>
      </c>
      <c r="C402" s="58" t="e">
        <f t="shared" si="50"/>
        <v>#N/A</v>
      </c>
      <c r="D402" s="83" t="e">
        <f t="shared" si="47"/>
        <v>#N/A</v>
      </c>
      <c r="E402" t="e">
        <f t="shared" si="43"/>
        <v>#N/A</v>
      </c>
      <c r="G402">
        <v>352</v>
      </c>
      <c r="H402" s="13" t="e">
        <f t="shared" si="48"/>
        <v>#N/A</v>
      </c>
      <c r="I402" t="e">
        <f t="shared" si="49"/>
        <v>#N/A</v>
      </c>
      <c r="J402" t="e">
        <f t="shared" si="44"/>
        <v>#N/A</v>
      </c>
      <c r="K402" s="27" t="e">
        <f t="shared" si="45"/>
        <v>#N/A</v>
      </c>
    </row>
    <row r="403" spans="1:11">
      <c r="A403" s="26">
        <v>353</v>
      </c>
      <c r="B403" s="82" t="e">
        <f t="shared" si="46"/>
        <v>#N/A</v>
      </c>
      <c r="C403" s="58" t="e">
        <f t="shared" si="50"/>
        <v>#N/A</v>
      </c>
      <c r="D403" s="83" t="e">
        <f t="shared" si="47"/>
        <v>#N/A</v>
      </c>
      <c r="E403" t="e">
        <f t="shared" si="43"/>
        <v>#N/A</v>
      </c>
      <c r="G403">
        <v>353</v>
      </c>
      <c r="H403" s="13" t="e">
        <f t="shared" si="48"/>
        <v>#N/A</v>
      </c>
      <c r="I403" t="e">
        <f t="shared" si="49"/>
        <v>#N/A</v>
      </c>
      <c r="J403" t="e">
        <f t="shared" si="44"/>
        <v>#N/A</v>
      </c>
      <c r="K403" s="27" t="e">
        <f t="shared" si="45"/>
        <v>#N/A</v>
      </c>
    </row>
    <row r="404" spans="1:11">
      <c r="A404" s="26">
        <v>354</v>
      </c>
      <c r="B404" s="82" t="e">
        <f t="shared" si="46"/>
        <v>#N/A</v>
      </c>
      <c r="C404" s="58" t="e">
        <f t="shared" si="50"/>
        <v>#N/A</v>
      </c>
      <c r="D404" s="83" t="e">
        <f t="shared" si="47"/>
        <v>#N/A</v>
      </c>
      <c r="E404" t="e">
        <f t="shared" si="43"/>
        <v>#N/A</v>
      </c>
      <c r="G404">
        <v>354</v>
      </c>
      <c r="H404" s="13" t="e">
        <f t="shared" si="48"/>
        <v>#N/A</v>
      </c>
      <c r="I404" t="e">
        <f t="shared" si="49"/>
        <v>#N/A</v>
      </c>
      <c r="J404" t="e">
        <f t="shared" si="44"/>
        <v>#N/A</v>
      </c>
      <c r="K404" s="27" t="e">
        <f t="shared" si="45"/>
        <v>#N/A</v>
      </c>
    </row>
    <row r="405" spans="1:11">
      <c r="A405" s="26">
        <v>355</v>
      </c>
      <c r="B405" s="82" t="e">
        <f t="shared" si="46"/>
        <v>#N/A</v>
      </c>
      <c r="C405" s="58" t="e">
        <f t="shared" si="50"/>
        <v>#N/A</v>
      </c>
      <c r="D405" s="83" t="e">
        <f t="shared" si="47"/>
        <v>#N/A</v>
      </c>
      <c r="E405" t="e">
        <f t="shared" si="43"/>
        <v>#N/A</v>
      </c>
      <c r="G405">
        <v>355</v>
      </c>
      <c r="H405" s="13" t="e">
        <f t="shared" si="48"/>
        <v>#N/A</v>
      </c>
      <c r="I405" t="e">
        <f t="shared" si="49"/>
        <v>#N/A</v>
      </c>
      <c r="J405" t="e">
        <f t="shared" si="44"/>
        <v>#N/A</v>
      </c>
      <c r="K405" s="27" t="e">
        <f t="shared" si="45"/>
        <v>#N/A</v>
      </c>
    </row>
    <row r="406" spans="1:11">
      <c r="A406" s="26">
        <v>356</v>
      </c>
      <c r="B406" s="82" t="e">
        <f t="shared" si="46"/>
        <v>#N/A</v>
      </c>
      <c r="C406" s="58" t="e">
        <f t="shared" si="50"/>
        <v>#N/A</v>
      </c>
      <c r="D406" s="83" t="e">
        <f t="shared" si="47"/>
        <v>#N/A</v>
      </c>
      <c r="E406" t="e">
        <f t="shared" si="43"/>
        <v>#N/A</v>
      </c>
      <c r="G406">
        <v>356</v>
      </c>
      <c r="H406" s="13" t="e">
        <f t="shared" si="48"/>
        <v>#N/A</v>
      </c>
      <c r="I406" t="e">
        <f t="shared" si="49"/>
        <v>#N/A</v>
      </c>
      <c r="J406" t="e">
        <f t="shared" si="44"/>
        <v>#N/A</v>
      </c>
      <c r="K406" s="27" t="e">
        <f t="shared" si="45"/>
        <v>#N/A</v>
      </c>
    </row>
    <row r="407" spans="1:11">
      <c r="A407" s="26">
        <v>357</v>
      </c>
      <c r="B407" s="82" t="e">
        <f t="shared" si="46"/>
        <v>#N/A</v>
      </c>
      <c r="C407" s="58" t="e">
        <f t="shared" si="50"/>
        <v>#N/A</v>
      </c>
      <c r="D407" s="83" t="e">
        <f t="shared" si="47"/>
        <v>#N/A</v>
      </c>
      <c r="E407" t="e">
        <f t="shared" si="43"/>
        <v>#N/A</v>
      </c>
      <c r="G407">
        <v>357</v>
      </c>
      <c r="H407" s="13" t="e">
        <f t="shared" si="48"/>
        <v>#N/A</v>
      </c>
      <c r="I407" t="e">
        <f t="shared" si="49"/>
        <v>#N/A</v>
      </c>
      <c r="J407" t="e">
        <f t="shared" si="44"/>
        <v>#N/A</v>
      </c>
      <c r="K407" s="27" t="e">
        <f t="shared" si="45"/>
        <v>#N/A</v>
      </c>
    </row>
    <row r="408" spans="1:11">
      <c r="A408" s="26">
        <v>358</v>
      </c>
      <c r="B408" s="82" t="e">
        <f t="shared" si="46"/>
        <v>#N/A</v>
      </c>
      <c r="C408" s="58" t="e">
        <f t="shared" si="50"/>
        <v>#N/A</v>
      </c>
      <c r="D408" s="83" t="e">
        <f t="shared" si="47"/>
        <v>#N/A</v>
      </c>
      <c r="E408" t="e">
        <f t="shared" si="43"/>
        <v>#N/A</v>
      </c>
      <c r="G408">
        <v>358</v>
      </c>
      <c r="H408" s="13" t="e">
        <f t="shared" si="48"/>
        <v>#N/A</v>
      </c>
      <c r="I408" t="e">
        <f t="shared" si="49"/>
        <v>#N/A</v>
      </c>
      <c r="J408" t="e">
        <f t="shared" si="44"/>
        <v>#N/A</v>
      </c>
      <c r="K408" s="27" t="e">
        <f t="shared" si="45"/>
        <v>#N/A</v>
      </c>
    </row>
    <row r="409" spans="1:11">
      <c r="A409" s="26">
        <v>359</v>
      </c>
      <c r="B409" s="82" t="e">
        <f t="shared" si="46"/>
        <v>#N/A</v>
      </c>
      <c r="C409" s="58" t="e">
        <f t="shared" si="50"/>
        <v>#N/A</v>
      </c>
      <c r="D409" s="83" t="e">
        <f t="shared" si="47"/>
        <v>#N/A</v>
      </c>
      <c r="E409" t="e">
        <f t="shared" si="43"/>
        <v>#N/A</v>
      </c>
      <c r="G409">
        <v>359</v>
      </c>
      <c r="H409" s="13" t="e">
        <f t="shared" si="48"/>
        <v>#N/A</v>
      </c>
      <c r="I409" t="e">
        <f t="shared" si="49"/>
        <v>#N/A</v>
      </c>
      <c r="J409" t="e">
        <f t="shared" si="44"/>
        <v>#N/A</v>
      </c>
      <c r="K409" s="27" t="e">
        <f t="shared" si="45"/>
        <v>#N/A</v>
      </c>
    </row>
    <row r="410" spans="1:11">
      <c r="A410" s="26">
        <v>360</v>
      </c>
      <c r="B410" s="82" t="e">
        <f t="shared" si="46"/>
        <v>#N/A</v>
      </c>
      <c r="C410" s="58" t="e">
        <f t="shared" si="50"/>
        <v>#N/A</v>
      </c>
      <c r="D410" s="83" t="e">
        <f t="shared" si="47"/>
        <v>#N/A</v>
      </c>
      <c r="E410" t="e">
        <f t="shared" si="43"/>
        <v>#N/A</v>
      </c>
      <c r="G410">
        <v>360</v>
      </c>
      <c r="H410" s="13" t="e">
        <f t="shared" si="48"/>
        <v>#N/A</v>
      </c>
      <c r="I410" t="e">
        <f t="shared" si="49"/>
        <v>#N/A</v>
      </c>
      <c r="J410" t="e">
        <f t="shared" si="44"/>
        <v>#N/A</v>
      </c>
      <c r="K410" s="27" t="e">
        <f t="shared" si="45"/>
        <v>#N/A</v>
      </c>
    </row>
    <row r="411" spans="1:11">
      <c r="A411" s="26">
        <v>361</v>
      </c>
      <c r="B411" s="82" t="e">
        <f t="shared" si="46"/>
        <v>#N/A</v>
      </c>
      <c r="C411" s="58" t="e">
        <f t="shared" si="50"/>
        <v>#N/A</v>
      </c>
      <c r="D411" s="83" t="e">
        <f t="shared" si="47"/>
        <v>#N/A</v>
      </c>
      <c r="E411" t="e">
        <f t="shared" si="43"/>
        <v>#N/A</v>
      </c>
      <c r="G411">
        <v>361</v>
      </c>
      <c r="H411" s="13" t="e">
        <f t="shared" si="48"/>
        <v>#N/A</v>
      </c>
      <c r="I411" t="e">
        <f t="shared" si="49"/>
        <v>#N/A</v>
      </c>
      <c r="J411" t="e">
        <f t="shared" si="44"/>
        <v>#N/A</v>
      </c>
      <c r="K411" s="27" t="e">
        <f t="shared" si="45"/>
        <v>#N/A</v>
      </c>
    </row>
    <row r="412" spans="1:11">
      <c r="A412" s="26">
        <v>362</v>
      </c>
      <c r="B412" s="82" t="e">
        <f t="shared" si="46"/>
        <v>#N/A</v>
      </c>
      <c r="C412" s="58" t="e">
        <f t="shared" si="50"/>
        <v>#N/A</v>
      </c>
      <c r="D412" s="83" t="e">
        <f t="shared" si="47"/>
        <v>#N/A</v>
      </c>
      <c r="E412" t="e">
        <f t="shared" si="43"/>
        <v>#N/A</v>
      </c>
      <c r="G412">
        <v>362</v>
      </c>
      <c r="H412" s="13" t="e">
        <f t="shared" si="48"/>
        <v>#N/A</v>
      </c>
      <c r="I412" t="e">
        <f t="shared" si="49"/>
        <v>#N/A</v>
      </c>
      <c r="J412" t="e">
        <f t="shared" si="44"/>
        <v>#N/A</v>
      </c>
      <c r="K412" s="27" t="e">
        <f t="shared" si="45"/>
        <v>#N/A</v>
      </c>
    </row>
    <row r="413" spans="1:11">
      <c r="A413" s="26">
        <v>363</v>
      </c>
      <c r="B413" s="82" t="e">
        <f t="shared" si="46"/>
        <v>#N/A</v>
      </c>
      <c r="C413" s="58" t="e">
        <f t="shared" si="50"/>
        <v>#N/A</v>
      </c>
      <c r="D413" s="83" t="e">
        <f t="shared" si="47"/>
        <v>#N/A</v>
      </c>
      <c r="E413" t="e">
        <f t="shared" si="43"/>
        <v>#N/A</v>
      </c>
      <c r="G413">
        <v>363</v>
      </c>
      <c r="H413" s="13" t="e">
        <f t="shared" si="48"/>
        <v>#N/A</v>
      </c>
      <c r="I413" t="e">
        <f t="shared" si="49"/>
        <v>#N/A</v>
      </c>
      <c r="J413" t="e">
        <f t="shared" si="44"/>
        <v>#N/A</v>
      </c>
      <c r="K413" s="27" t="e">
        <f t="shared" si="45"/>
        <v>#N/A</v>
      </c>
    </row>
    <row r="414" spans="1:11">
      <c r="A414" s="26">
        <v>364</v>
      </c>
      <c r="B414" s="82" t="e">
        <f t="shared" si="46"/>
        <v>#N/A</v>
      </c>
      <c r="C414" s="58" t="e">
        <f t="shared" si="50"/>
        <v>#N/A</v>
      </c>
      <c r="D414" s="83" t="e">
        <f t="shared" si="47"/>
        <v>#N/A</v>
      </c>
      <c r="E414" t="e">
        <f t="shared" si="43"/>
        <v>#N/A</v>
      </c>
      <c r="G414">
        <v>364</v>
      </c>
      <c r="H414" s="13" t="e">
        <f t="shared" si="48"/>
        <v>#N/A</v>
      </c>
      <c r="I414" t="e">
        <f t="shared" si="49"/>
        <v>#N/A</v>
      </c>
      <c r="J414" t="e">
        <f t="shared" si="44"/>
        <v>#N/A</v>
      </c>
      <c r="K414" s="27" t="e">
        <f t="shared" si="45"/>
        <v>#N/A</v>
      </c>
    </row>
    <row r="415" spans="1:11">
      <c r="A415" s="26">
        <v>365</v>
      </c>
      <c r="B415" s="82" t="e">
        <f t="shared" si="46"/>
        <v>#N/A</v>
      </c>
      <c r="C415" s="58" t="e">
        <f t="shared" si="50"/>
        <v>#N/A</v>
      </c>
      <c r="D415" s="83" t="e">
        <f t="shared" si="47"/>
        <v>#N/A</v>
      </c>
      <c r="E415" t="e">
        <f t="shared" si="43"/>
        <v>#N/A</v>
      </c>
      <c r="G415">
        <v>365</v>
      </c>
      <c r="H415" s="13" t="e">
        <f t="shared" si="48"/>
        <v>#N/A</v>
      </c>
      <c r="I415" t="e">
        <f t="shared" si="49"/>
        <v>#N/A</v>
      </c>
      <c r="J415" t="e">
        <f t="shared" si="44"/>
        <v>#N/A</v>
      </c>
      <c r="K415" s="27" t="e">
        <f t="shared" si="45"/>
        <v>#N/A</v>
      </c>
    </row>
    <row r="416" spans="1:11">
      <c r="A416" s="26">
        <v>366</v>
      </c>
      <c r="B416" s="82" t="e">
        <f t="shared" si="46"/>
        <v>#N/A</v>
      </c>
      <c r="C416" s="58" t="e">
        <f t="shared" si="50"/>
        <v>#N/A</v>
      </c>
      <c r="D416" s="83" t="e">
        <f t="shared" si="47"/>
        <v>#N/A</v>
      </c>
      <c r="E416" t="e">
        <f t="shared" si="43"/>
        <v>#N/A</v>
      </c>
      <c r="G416">
        <v>366</v>
      </c>
      <c r="H416" s="13" t="e">
        <f t="shared" si="48"/>
        <v>#N/A</v>
      </c>
      <c r="I416" t="e">
        <f t="shared" si="49"/>
        <v>#N/A</v>
      </c>
      <c r="J416" t="e">
        <f t="shared" si="44"/>
        <v>#N/A</v>
      </c>
      <c r="K416" s="27" t="e">
        <f t="shared" si="45"/>
        <v>#N/A</v>
      </c>
    </row>
    <row r="417" spans="1:11">
      <c r="A417" s="26">
        <v>367</v>
      </c>
      <c r="B417" s="82" t="e">
        <f t="shared" si="46"/>
        <v>#N/A</v>
      </c>
      <c r="C417" s="58" t="e">
        <f t="shared" si="50"/>
        <v>#N/A</v>
      </c>
      <c r="D417" s="83" t="e">
        <f t="shared" si="47"/>
        <v>#N/A</v>
      </c>
      <c r="E417" t="e">
        <f t="shared" si="43"/>
        <v>#N/A</v>
      </c>
      <c r="G417">
        <v>367</v>
      </c>
      <c r="H417" s="13" t="e">
        <f t="shared" si="48"/>
        <v>#N/A</v>
      </c>
      <c r="I417" t="e">
        <f t="shared" si="49"/>
        <v>#N/A</v>
      </c>
      <c r="J417" t="e">
        <f t="shared" si="44"/>
        <v>#N/A</v>
      </c>
      <c r="K417" s="27" t="e">
        <f t="shared" si="45"/>
        <v>#N/A</v>
      </c>
    </row>
    <row r="418" spans="1:11">
      <c r="A418" s="26">
        <v>368</v>
      </c>
      <c r="B418" s="82" t="e">
        <f t="shared" si="46"/>
        <v>#N/A</v>
      </c>
      <c r="C418" s="58" t="e">
        <f t="shared" si="50"/>
        <v>#N/A</v>
      </c>
      <c r="D418" s="83" t="e">
        <f t="shared" si="47"/>
        <v>#N/A</v>
      </c>
      <c r="E418" t="e">
        <f t="shared" si="43"/>
        <v>#N/A</v>
      </c>
      <c r="G418">
        <v>368</v>
      </c>
      <c r="H418" s="13" t="e">
        <f t="shared" si="48"/>
        <v>#N/A</v>
      </c>
      <c r="I418" t="e">
        <f t="shared" si="49"/>
        <v>#N/A</v>
      </c>
      <c r="J418" t="e">
        <f t="shared" si="44"/>
        <v>#N/A</v>
      </c>
      <c r="K418" s="27" t="e">
        <f t="shared" si="45"/>
        <v>#N/A</v>
      </c>
    </row>
    <row r="419" spans="1:11">
      <c r="A419" s="26">
        <v>369</v>
      </c>
      <c r="B419" s="82" t="e">
        <f t="shared" si="46"/>
        <v>#N/A</v>
      </c>
      <c r="C419" s="58" t="e">
        <f t="shared" si="50"/>
        <v>#N/A</v>
      </c>
      <c r="D419" s="83" t="e">
        <f t="shared" si="47"/>
        <v>#N/A</v>
      </c>
      <c r="E419" t="e">
        <f t="shared" si="43"/>
        <v>#N/A</v>
      </c>
      <c r="G419">
        <v>369</v>
      </c>
      <c r="H419" s="13" t="e">
        <f t="shared" si="48"/>
        <v>#N/A</v>
      </c>
      <c r="I419" t="e">
        <f t="shared" si="49"/>
        <v>#N/A</v>
      </c>
      <c r="J419" t="e">
        <f t="shared" si="44"/>
        <v>#N/A</v>
      </c>
      <c r="K419" s="27" t="e">
        <f t="shared" si="45"/>
        <v>#N/A</v>
      </c>
    </row>
    <row r="420" spans="1:11">
      <c r="A420" s="26">
        <v>370</v>
      </c>
      <c r="B420" s="82" t="e">
        <f t="shared" si="46"/>
        <v>#N/A</v>
      </c>
      <c r="C420" s="58" t="e">
        <f t="shared" si="50"/>
        <v>#N/A</v>
      </c>
      <c r="D420" s="83" t="e">
        <f t="shared" si="47"/>
        <v>#N/A</v>
      </c>
      <c r="E420" t="e">
        <f t="shared" si="43"/>
        <v>#N/A</v>
      </c>
      <c r="G420">
        <v>370</v>
      </c>
      <c r="H420" s="13" t="e">
        <f t="shared" si="48"/>
        <v>#N/A</v>
      </c>
      <c r="I420" t="e">
        <f t="shared" si="49"/>
        <v>#N/A</v>
      </c>
      <c r="J420" t="e">
        <f t="shared" si="44"/>
        <v>#N/A</v>
      </c>
      <c r="K420" s="27" t="e">
        <f t="shared" si="45"/>
        <v>#N/A</v>
      </c>
    </row>
    <row r="421" spans="1:11">
      <c r="A421" s="26">
        <v>371</v>
      </c>
      <c r="B421" s="82" t="e">
        <f t="shared" si="46"/>
        <v>#N/A</v>
      </c>
      <c r="C421" s="58" t="e">
        <f t="shared" si="50"/>
        <v>#N/A</v>
      </c>
      <c r="D421" s="83" t="e">
        <f t="shared" si="47"/>
        <v>#N/A</v>
      </c>
      <c r="E421" t="e">
        <f t="shared" si="43"/>
        <v>#N/A</v>
      </c>
      <c r="G421">
        <v>371</v>
      </c>
      <c r="H421" s="13" t="e">
        <f t="shared" si="48"/>
        <v>#N/A</v>
      </c>
      <c r="I421" t="e">
        <f t="shared" si="49"/>
        <v>#N/A</v>
      </c>
      <c r="J421" t="e">
        <f t="shared" si="44"/>
        <v>#N/A</v>
      </c>
      <c r="K421" s="27" t="e">
        <f t="shared" si="45"/>
        <v>#N/A</v>
      </c>
    </row>
    <row r="422" spans="1:11">
      <c r="A422" s="26">
        <v>372</v>
      </c>
      <c r="B422" s="82" t="e">
        <f t="shared" si="46"/>
        <v>#N/A</v>
      </c>
      <c r="C422" s="58" t="e">
        <f t="shared" si="50"/>
        <v>#N/A</v>
      </c>
      <c r="D422" s="83" t="e">
        <f t="shared" si="47"/>
        <v>#N/A</v>
      </c>
      <c r="E422" t="e">
        <f t="shared" si="43"/>
        <v>#N/A</v>
      </c>
      <c r="G422">
        <v>372</v>
      </c>
      <c r="H422" s="13" t="e">
        <f t="shared" si="48"/>
        <v>#N/A</v>
      </c>
      <c r="I422" t="e">
        <f t="shared" si="49"/>
        <v>#N/A</v>
      </c>
      <c r="J422" t="e">
        <f t="shared" si="44"/>
        <v>#N/A</v>
      </c>
      <c r="K422" s="27" t="e">
        <f t="shared" si="45"/>
        <v>#N/A</v>
      </c>
    </row>
    <row r="423" spans="1:11">
      <c r="A423" s="26">
        <v>373</v>
      </c>
      <c r="B423" s="82" t="e">
        <f t="shared" si="46"/>
        <v>#N/A</v>
      </c>
      <c r="C423" s="58" t="e">
        <f t="shared" si="50"/>
        <v>#N/A</v>
      </c>
      <c r="D423" s="83" t="e">
        <f t="shared" si="47"/>
        <v>#N/A</v>
      </c>
      <c r="E423" t="e">
        <f t="shared" si="43"/>
        <v>#N/A</v>
      </c>
      <c r="G423">
        <v>373</v>
      </c>
      <c r="H423" s="13" t="e">
        <f t="shared" si="48"/>
        <v>#N/A</v>
      </c>
      <c r="I423" t="e">
        <f t="shared" si="49"/>
        <v>#N/A</v>
      </c>
      <c r="J423" t="e">
        <f t="shared" si="44"/>
        <v>#N/A</v>
      </c>
      <c r="K423" s="27" t="e">
        <f t="shared" si="45"/>
        <v>#N/A</v>
      </c>
    </row>
    <row r="424" spans="1:11">
      <c r="A424" s="26">
        <v>374</v>
      </c>
      <c r="B424" s="82" t="e">
        <f t="shared" si="46"/>
        <v>#N/A</v>
      </c>
      <c r="C424" s="58" t="e">
        <f t="shared" si="50"/>
        <v>#N/A</v>
      </c>
      <c r="D424" s="83" t="e">
        <f t="shared" si="47"/>
        <v>#N/A</v>
      </c>
      <c r="E424" t="e">
        <f t="shared" si="43"/>
        <v>#N/A</v>
      </c>
      <c r="G424">
        <v>374</v>
      </c>
      <c r="H424" s="13" t="e">
        <f t="shared" si="48"/>
        <v>#N/A</v>
      </c>
      <c r="I424" t="e">
        <f t="shared" si="49"/>
        <v>#N/A</v>
      </c>
      <c r="J424" t="e">
        <f t="shared" si="44"/>
        <v>#N/A</v>
      </c>
      <c r="K424" s="27" t="e">
        <f t="shared" si="45"/>
        <v>#N/A</v>
      </c>
    </row>
    <row r="425" spans="1:11">
      <c r="A425" s="26">
        <v>375</v>
      </c>
      <c r="B425" s="82" t="e">
        <f t="shared" si="46"/>
        <v>#N/A</v>
      </c>
      <c r="C425" s="58" t="e">
        <f t="shared" si="50"/>
        <v>#N/A</v>
      </c>
      <c r="D425" s="83" t="e">
        <f t="shared" si="47"/>
        <v>#N/A</v>
      </c>
      <c r="E425" t="e">
        <f t="shared" si="43"/>
        <v>#N/A</v>
      </c>
      <c r="G425">
        <v>375</v>
      </c>
      <c r="H425" s="13" t="e">
        <f t="shared" si="48"/>
        <v>#N/A</v>
      </c>
      <c r="I425" t="e">
        <f t="shared" si="49"/>
        <v>#N/A</v>
      </c>
      <c r="J425" t="e">
        <f t="shared" si="44"/>
        <v>#N/A</v>
      </c>
      <c r="K425" s="27" t="e">
        <f t="shared" si="45"/>
        <v>#N/A</v>
      </c>
    </row>
    <row r="426" spans="1:11">
      <c r="A426" s="26">
        <v>376</v>
      </c>
      <c r="B426" s="82" t="e">
        <f t="shared" si="46"/>
        <v>#N/A</v>
      </c>
      <c r="C426" s="58" t="e">
        <f t="shared" si="50"/>
        <v>#N/A</v>
      </c>
      <c r="D426" s="83" t="e">
        <f t="shared" si="47"/>
        <v>#N/A</v>
      </c>
      <c r="E426" t="e">
        <f t="shared" si="43"/>
        <v>#N/A</v>
      </c>
      <c r="G426">
        <v>376</v>
      </c>
      <c r="H426" s="13" t="e">
        <f t="shared" si="48"/>
        <v>#N/A</v>
      </c>
      <c r="I426" t="e">
        <f t="shared" si="49"/>
        <v>#N/A</v>
      </c>
      <c r="J426" t="e">
        <f t="shared" si="44"/>
        <v>#N/A</v>
      </c>
      <c r="K426" s="27" t="e">
        <f t="shared" si="45"/>
        <v>#N/A</v>
      </c>
    </row>
    <row r="427" spans="1:11">
      <c r="A427" s="26">
        <v>377</v>
      </c>
      <c r="B427" s="82" t="e">
        <f t="shared" si="46"/>
        <v>#N/A</v>
      </c>
      <c r="C427" s="58" t="e">
        <f t="shared" si="50"/>
        <v>#N/A</v>
      </c>
      <c r="D427" s="83" t="e">
        <f t="shared" si="47"/>
        <v>#N/A</v>
      </c>
      <c r="E427" t="e">
        <f t="shared" si="43"/>
        <v>#N/A</v>
      </c>
      <c r="G427">
        <v>377</v>
      </c>
      <c r="H427" s="13" t="e">
        <f t="shared" si="48"/>
        <v>#N/A</v>
      </c>
      <c r="I427" t="e">
        <f t="shared" si="49"/>
        <v>#N/A</v>
      </c>
      <c r="J427" t="e">
        <f t="shared" si="44"/>
        <v>#N/A</v>
      </c>
      <c r="K427" s="27" t="e">
        <f t="shared" si="45"/>
        <v>#N/A</v>
      </c>
    </row>
    <row r="428" spans="1:11">
      <c r="A428" s="26">
        <v>378</v>
      </c>
      <c r="B428" s="82" t="e">
        <f t="shared" si="46"/>
        <v>#N/A</v>
      </c>
      <c r="C428" s="58" t="e">
        <f t="shared" si="50"/>
        <v>#N/A</v>
      </c>
      <c r="D428" s="83" t="e">
        <f t="shared" si="47"/>
        <v>#N/A</v>
      </c>
      <c r="E428" t="e">
        <f t="shared" si="43"/>
        <v>#N/A</v>
      </c>
      <c r="G428">
        <v>378</v>
      </c>
      <c r="H428" s="13" t="e">
        <f t="shared" si="48"/>
        <v>#N/A</v>
      </c>
      <c r="I428" t="e">
        <f t="shared" si="49"/>
        <v>#N/A</v>
      </c>
      <c r="J428" t="e">
        <f t="shared" si="44"/>
        <v>#N/A</v>
      </c>
      <c r="K428" s="27" t="e">
        <f t="shared" si="45"/>
        <v>#N/A</v>
      </c>
    </row>
    <row r="429" spans="1:11">
      <c r="A429" s="26">
        <v>379</v>
      </c>
      <c r="B429" s="82" t="e">
        <f t="shared" si="46"/>
        <v>#N/A</v>
      </c>
      <c r="C429" s="58" t="e">
        <f t="shared" si="50"/>
        <v>#N/A</v>
      </c>
      <c r="D429" s="83" t="e">
        <f t="shared" si="47"/>
        <v>#N/A</v>
      </c>
      <c r="E429" t="e">
        <f t="shared" si="43"/>
        <v>#N/A</v>
      </c>
      <c r="G429">
        <v>379</v>
      </c>
      <c r="H429" s="13" t="e">
        <f t="shared" si="48"/>
        <v>#N/A</v>
      </c>
      <c r="I429" t="e">
        <f t="shared" si="49"/>
        <v>#N/A</v>
      </c>
      <c r="J429" t="e">
        <f t="shared" si="44"/>
        <v>#N/A</v>
      </c>
      <c r="K429" s="27" t="e">
        <f t="shared" si="45"/>
        <v>#N/A</v>
      </c>
    </row>
    <row r="430" spans="1:11">
      <c r="A430" s="26">
        <v>380</v>
      </c>
      <c r="B430" s="82" t="e">
        <f t="shared" si="46"/>
        <v>#N/A</v>
      </c>
      <c r="C430" s="58" t="e">
        <f t="shared" si="50"/>
        <v>#N/A</v>
      </c>
      <c r="D430" s="83" t="e">
        <f t="shared" si="47"/>
        <v>#N/A</v>
      </c>
      <c r="E430" t="e">
        <f t="shared" si="43"/>
        <v>#N/A</v>
      </c>
      <c r="G430">
        <v>380</v>
      </c>
      <c r="H430" s="13" t="e">
        <f t="shared" si="48"/>
        <v>#N/A</v>
      </c>
      <c r="I430" t="e">
        <f t="shared" si="49"/>
        <v>#N/A</v>
      </c>
      <c r="J430" t="e">
        <f t="shared" si="44"/>
        <v>#N/A</v>
      </c>
      <c r="K430" s="27" t="e">
        <f t="shared" si="45"/>
        <v>#N/A</v>
      </c>
    </row>
    <row r="431" spans="1:11">
      <c r="A431" s="26">
        <v>381</v>
      </c>
      <c r="B431" s="82" t="e">
        <f t="shared" si="46"/>
        <v>#N/A</v>
      </c>
      <c r="C431" s="58" t="e">
        <f t="shared" si="50"/>
        <v>#N/A</v>
      </c>
      <c r="D431" s="83" t="e">
        <f t="shared" si="47"/>
        <v>#N/A</v>
      </c>
      <c r="E431" t="e">
        <f t="shared" si="43"/>
        <v>#N/A</v>
      </c>
      <c r="G431">
        <v>381</v>
      </c>
      <c r="H431" s="13" t="e">
        <f t="shared" si="48"/>
        <v>#N/A</v>
      </c>
      <c r="I431" t="e">
        <f t="shared" si="49"/>
        <v>#N/A</v>
      </c>
      <c r="J431" t="e">
        <f t="shared" si="44"/>
        <v>#N/A</v>
      </c>
      <c r="K431" s="27" t="e">
        <f t="shared" si="45"/>
        <v>#N/A</v>
      </c>
    </row>
    <row r="432" spans="1:11">
      <c r="A432" s="26">
        <v>382</v>
      </c>
      <c r="B432" s="82" t="e">
        <f t="shared" si="46"/>
        <v>#N/A</v>
      </c>
      <c r="C432" s="58" t="e">
        <f t="shared" si="50"/>
        <v>#N/A</v>
      </c>
      <c r="D432" s="83" t="e">
        <f t="shared" si="47"/>
        <v>#N/A</v>
      </c>
      <c r="E432" t="e">
        <f t="shared" si="43"/>
        <v>#N/A</v>
      </c>
      <c r="G432">
        <v>382</v>
      </c>
      <c r="H432" s="13" t="e">
        <f t="shared" si="48"/>
        <v>#N/A</v>
      </c>
      <c r="I432" t="e">
        <f t="shared" si="49"/>
        <v>#N/A</v>
      </c>
      <c r="J432" t="e">
        <f t="shared" si="44"/>
        <v>#N/A</v>
      </c>
      <c r="K432" s="27" t="e">
        <f t="shared" si="45"/>
        <v>#N/A</v>
      </c>
    </row>
    <row r="433" spans="1:11">
      <c r="A433" s="26">
        <v>383</v>
      </c>
      <c r="B433" s="82" t="e">
        <f t="shared" si="46"/>
        <v>#N/A</v>
      </c>
      <c r="C433" s="58" t="e">
        <f t="shared" si="50"/>
        <v>#N/A</v>
      </c>
      <c r="D433" s="83" t="e">
        <f t="shared" si="47"/>
        <v>#N/A</v>
      </c>
      <c r="E433" t="e">
        <f t="shared" si="43"/>
        <v>#N/A</v>
      </c>
      <c r="G433">
        <v>383</v>
      </c>
      <c r="H433" s="13" t="e">
        <f t="shared" si="48"/>
        <v>#N/A</v>
      </c>
      <c r="I433" t="e">
        <f t="shared" si="49"/>
        <v>#N/A</v>
      </c>
      <c r="J433" t="e">
        <f t="shared" si="44"/>
        <v>#N/A</v>
      </c>
      <c r="K433" s="27" t="e">
        <f t="shared" si="45"/>
        <v>#N/A</v>
      </c>
    </row>
    <row r="434" spans="1:11">
      <c r="A434" s="26">
        <v>384</v>
      </c>
      <c r="B434" s="82" t="e">
        <f t="shared" si="46"/>
        <v>#N/A</v>
      </c>
      <c r="C434" s="58" t="e">
        <f t="shared" si="50"/>
        <v>#N/A</v>
      </c>
      <c r="D434" s="83" t="e">
        <f t="shared" si="47"/>
        <v>#N/A</v>
      </c>
      <c r="E434" t="e">
        <f t="shared" si="43"/>
        <v>#N/A</v>
      </c>
      <c r="G434">
        <v>384</v>
      </c>
      <c r="H434" s="13" t="e">
        <f t="shared" si="48"/>
        <v>#N/A</v>
      </c>
      <c r="I434" t="e">
        <f t="shared" si="49"/>
        <v>#N/A</v>
      </c>
      <c r="J434" t="e">
        <f t="shared" si="44"/>
        <v>#N/A</v>
      </c>
      <c r="K434" s="27" t="e">
        <f t="shared" si="45"/>
        <v>#N/A</v>
      </c>
    </row>
    <row r="435" spans="1:11">
      <c r="A435" s="26">
        <v>385</v>
      </c>
      <c r="B435" s="82" t="e">
        <f t="shared" si="46"/>
        <v>#N/A</v>
      </c>
      <c r="C435" s="58" t="e">
        <f t="shared" si="50"/>
        <v>#N/A</v>
      </c>
      <c r="D435" s="83" t="e">
        <f t="shared" si="47"/>
        <v>#N/A</v>
      </c>
      <c r="E435" t="e">
        <f t="shared" ref="E435:E498" si="51">((D435^2)+(D435*D436)+(D436^2))*B436/3</f>
        <v>#N/A</v>
      </c>
      <c r="G435">
        <v>385</v>
      </c>
      <c r="H435" s="13" t="e">
        <f t="shared" si="48"/>
        <v>#N/A</v>
      </c>
      <c r="I435" t="e">
        <f t="shared" si="49"/>
        <v>#N/A</v>
      </c>
      <c r="J435" t="e">
        <f t="shared" ref="J435:J498" si="52">IF($G$28&lt;$C$14,0,((($C$11^2)-((I435-$C$13)^2))^0.5)+$C$16)</f>
        <v>#N/A</v>
      </c>
      <c r="K435" s="27" t="e">
        <f t="shared" ref="K435:K498" si="53">((J435^2)+(J435*J436)+(J436^2))*H436/3</f>
        <v>#N/A</v>
      </c>
    </row>
    <row r="436" spans="1:11">
      <c r="A436" s="26">
        <v>386</v>
      </c>
      <c r="B436" s="82" t="e">
        <f t="shared" ref="B436:B499" si="54">C436-C435</f>
        <v>#N/A</v>
      </c>
      <c r="C436" s="58" t="e">
        <f t="shared" si="50"/>
        <v>#N/A</v>
      </c>
      <c r="D436" s="83" t="e">
        <f t="shared" ref="D436:D499" si="55">IF($G$28&lt;$C$14,0,((($C$11^2)-((C436-$C$13)^2))^0.5)+$C$16)</f>
        <v>#N/A</v>
      </c>
      <c r="E436" t="e">
        <f t="shared" si="51"/>
        <v>#N/A</v>
      </c>
      <c r="G436">
        <v>386</v>
      </c>
      <c r="H436" s="13" t="e">
        <f t="shared" ref="H436:H499" si="56">I436-I435</f>
        <v>#N/A</v>
      </c>
      <c r="I436" t="e">
        <f t="shared" ref="I436:I499" si="57">($G$27-$C$14)/2000+I435</f>
        <v>#N/A</v>
      </c>
      <c r="J436" t="e">
        <f t="shared" si="52"/>
        <v>#N/A</v>
      </c>
      <c r="K436" s="27" t="e">
        <f t="shared" si="53"/>
        <v>#N/A</v>
      </c>
    </row>
    <row r="437" spans="1:11">
      <c r="A437" s="26">
        <v>387</v>
      </c>
      <c r="B437" s="82" t="e">
        <f t="shared" si="54"/>
        <v>#N/A</v>
      </c>
      <c r="C437" s="58" t="e">
        <f t="shared" si="50"/>
        <v>#N/A</v>
      </c>
      <c r="D437" s="83" t="e">
        <f t="shared" si="55"/>
        <v>#N/A</v>
      </c>
      <c r="E437" t="e">
        <f t="shared" si="51"/>
        <v>#N/A</v>
      </c>
      <c r="G437">
        <v>387</v>
      </c>
      <c r="H437" s="13" t="e">
        <f t="shared" si="56"/>
        <v>#N/A</v>
      </c>
      <c r="I437" t="e">
        <f t="shared" si="57"/>
        <v>#N/A</v>
      </c>
      <c r="J437" t="e">
        <f t="shared" si="52"/>
        <v>#N/A</v>
      </c>
      <c r="K437" s="27" t="e">
        <f t="shared" si="53"/>
        <v>#N/A</v>
      </c>
    </row>
    <row r="438" spans="1:11">
      <c r="A438" s="26">
        <v>388</v>
      </c>
      <c r="B438" s="82" t="e">
        <f t="shared" si="54"/>
        <v>#N/A</v>
      </c>
      <c r="C438" s="58" t="e">
        <f t="shared" si="50"/>
        <v>#N/A</v>
      </c>
      <c r="D438" s="83" t="e">
        <f t="shared" si="55"/>
        <v>#N/A</v>
      </c>
      <c r="E438" t="e">
        <f t="shared" si="51"/>
        <v>#N/A</v>
      </c>
      <c r="G438">
        <v>388</v>
      </c>
      <c r="H438" s="13" t="e">
        <f t="shared" si="56"/>
        <v>#N/A</v>
      </c>
      <c r="I438" t="e">
        <f t="shared" si="57"/>
        <v>#N/A</v>
      </c>
      <c r="J438" t="e">
        <f t="shared" si="52"/>
        <v>#N/A</v>
      </c>
      <c r="K438" s="27" t="e">
        <f t="shared" si="53"/>
        <v>#N/A</v>
      </c>
    </row>
    <row r="439" spans="1:11">
      <c r="A439" s="26">
        <v>389</v>
      </c>
      <c r="B439" s="82" t="e">
        <f t="shared" si="54"/>
        <v>#N/A</v>
      </c>
      <c r="C439" s="58" t="e">
        <f t="shared" si="50"/>
        <v>#N/A</v>
      </c>
      <c r="D439" s="83" t="e">
        <f t="shared" si="55"/>
        <v>#N/A</v>
      </c>
      <c r="E439" t="e">
        <f t="shared" si="51"/>
        <v>#N/A</v>
      </c>
      <c r="G439">
        <v>389</v>
      </c>
      <c r="H439" s="13" t="e">
        <f t="shared" si="56"/>
        <v>#N/A</v>
      </c>
      <c r="I439" t="e">
        <f t="shared" si="57"/>
        <v>#N/A</v>
      </c>
      <c r="J439" t="e">
        <f t="shared" si="52"/>
        <v>#N/A</v>
      </c>
      <c r="K439" s="27" t="e">
        <f t="shared" si="53"/>
        <v>#N/A</v>
      </c>
    </row>
    <row r="440" spans="1:11">
      <c r="A440" s="26">
        <v>390</v>
      </c>
      <c r="B440" s="82" t="e">
        <f t="shared" si="54"/>
        <v>#N/A</v>
      </c>
      <c r="C440" s="58" t="e">
        <f t="shared" si="50"/>
        <v>#N/A</v>
      </c>
      <c r="D440" s="83" t="e">
        <f t="shared" si="55"/>
        <v>#N/A</v>
      </c>
      <c r="E440" t="e">
        <f t="shared" si="51"/>
        <v>#N/A</v>
      </c>
      <c r="G440">
        <v>390</v>
      </c>
      <c r="H440" s="13" t="e">
        <f t="shared" si="56"/>
        <v>#N/A</v>
      </c>
      <c r="I440" t="e">
        <f t="shared" si="57"/>
        <v>#N/A</v>
      </c>
      <c r="J440" t="e">
        <f t="shared" si="52"/>
        <v>#N/A</v>
      </c>
      <c r="K440" s="27" t="e">
        <f t="shared" si="53"/>
        <v>#N/A</v>
      </c>
    </row>
    <row r="441" spans="1:11">
      <c r="A441" s="26">
        <v>391</v>
      </c>
      <c r="B441" s="82" t="e">
        <f t="shared" si="54"/>
        <v>#N/A</v>
      </c>
      <c r="C441" s="58" t="e">
        <f t="shared" si="50"/>
        <v>#N/A</v>
      </c>
      <c r="D441" s="83" t="e">
        <f t="shared" si="55"/>
        <v>#N/A</v>
      </c>
      <c r="E441" t="e">
        <f t="shared" si="51"/>
        <v>#N/A</v>
      </c>
      <c r="G441">
        <v>391</v>
      </c>
      <c r="H441" s="13" t="e">
        <f t="shared" si="56"/>
        <v>#N/A</v>
      </c>
      <c r="I441" t="e">
        <f t="shared" si="57"/>
        <v>#N/A</v>
      </c>
      <c r="J441" t="e">
        <f t="shared" si="52"/>
        <v>#N/A</v>
      </c>
      <c r="K441" s="27" t="e">
        <f t="shared" si="53"/>
        <v>#N/A</v>
      </c>
    </row>
    <row r="442" spans="1:11">
      <c r="A442" s="26">
        <v>392</v>
      </c>
      <c r="B442" s="82" t="e">
        <f t="shared" si="54"/>
        <v>#N/A</v>
      </c>
      <c r="C442" s="58" t="e">
        <f t="shared" si="50"/>
        <v>#N/A</v>
      </c>
      <c r="D442" s="83" t="e">
        <f t="shared" si="55"/>
        <v>#N/A</v>
      </c>
      <c r="E442" t="e">
        <f t="shared" si="51"/>
        <v>#N/A</v>
      </c>
      <c r="G442">
        <v>392</v>
      </c>
      <c r="H442" s="13" t="e">
        <f t="shared" si="56"/>
        <v>#N/A</v>
      </c>
      <c r="I442" t="e">
        <f t="shared" si="57"/>
        <v>#N/A</v>
      </c>
      <c r="J442" t="e">
        <f t="shared" si="52"/>
        <v>#N/A</v>
      </c>
      <c r="K442" s="27" t="e">
        <f t="shared" si="53"/>
        <v>#N/A</v>
      </c>
    </row>
    <row r="443" spans="1:11">
      <c r="A443" s="26">
        <v>393</v>
      </c>
      <c r="B443" s="82" t="e">
        <f t="shared" si="54"/>
        <v>#N/A</v>
      </c>
      <c r="C443" s="58" t="e">
        <f t="shared" si="50"/>
        <v>#N/A</v>
      </c>
      <c r="D443" s="83" t="e">
        <f t="shared" si="55"/>
        <v>#N/A</v>
      </c>
      <c r="E443" t="e">
        <f t="shared" si="51"/>
        <v>#N/A</v>
      </c>
      <c r="G443">
        <v>393</v>
      </c>
      <c r="H443" s="13" t="e">
        <f t="shared" si="56"/>
        <v>#N/A</v>
      </c>
      <c r="I443" t="e">
        <f t="shared" si="57"/>
        <v>#N/A</v>
      </c>
      <c r="J443" t="e">
        <f t="shared" si="52"/>
        <v>#N/A</v>
      </c>
      <c r="K443" s="27" t="e">
        <f t="shared" si="53"/>
        <v>#N/A</v>
      </c>
    </row>
    <row r="444" spans="1:11">
      <c r="A444" s="26">
        <v>394</v>
      </c>
      <c r="B444" s="82" t="e">
        <f t="shared" si="54"/>
        <v>#N/A</v>
      </c>
      <c r="C444" s="58" t="e">
        <f t="shared" si="50"/>
        <v>#N/A</v>
      </c>
      <c r="D444" s="83" t="e">
        <f t="shared" si="55"/>
        <v>#N/A</v>
      </c>
      <c r="E444" t="e">
        <f t="shared" si="51"/>
        <v>#N/A</v>
      </c>
      <c r="G444">
        <v>394</v>
      </c>
      <c r="H444" s="13" t="e">
        <f t="shared" si="56"/>
        <v>#N/A</v>
      </c>
      <c r="I444" t="e">
        <f t="shared" si="57"/>
        <v>#N/A</v>
      </c>
      <c r="J444" t="e">
        <f t="shared" si="52"/>
        <v>#N/A</v>
      </c>
      <c r="K444" s="27" t="e">
        <f t="shared" si="53"/>
        <v>#N/A</v>
      </c>
    </row>
    <row r="445" spans="1:11">
      <c r="A445" s="26">
        <v>395</v>
      </c>
      <c r="B445" s="82" t="e">
        <f t="shared" si="54"/>
        <v>#N/A</v>
      </c>
      <c r="C445" s="58" t="e">
        <f t="shared" si="50"/>
        <v>#N/A</v>
      </c>
      <c r="D445" s="83" t="e">
        <f t="shared" si="55"/>
        <v>#N/A</v>
      </c>
      <c r="E445" t="e">
        <f t="shared" si="51"/>
        <v>#N/A</v>
      </c>
      <c r="G445">
        <v>395</v>
      </c>
      <c r="H445" s="13" t="e">
        <f t="shared" si="56"/>
        <v>#N/A</v>
      </c>
      <c r="I445" t="e">
        <f t="shared" si="57"/>
        <v>#N/A</v>
      </c>
      <c r="J445" t="e">
        <f t="shared" si="52"/>
        <v>#N/A</v>
      </c>
      <c r="K445" s="27" t="e">
        <f t="shared" si="53"/>
        <v>#N/A</v>
      </c>
    </row>
    <row r="446" spans="1:11">
      <c r="A446" s="26">
        <v>396</v>
      </c>
      <c r="B446" s="82" t="e">
        <f t="shared" si="54"/>
        <v>#N/A</v>
      </c>
      <c r="C446" s="58" t="e">
        <f t="shared" si="50"/>
        <v>#N/A</v>
      </c>
      <c r="D446" s="83" t="e">
        <f t="shared" si="55"/>
        <v>#N/A</v>
      </c>
      <c r="E446" t="e">
        <f t="shared" si="51"/>
        <v>#N/A</v>
      </c>
      <c r="G446">
        <v>396</v>
      </c>
      <c r="H446" s="13" t="e">
        <f t="shared" si="56"/>
        <v>#N/A</v>
      </c>
      <c r="I446" t="e">
        <f t="shared" si="57"/>
        <v>#N/A</v>
      </c>
      <c r="J446" t="e">
        <f t="shared" si="52"/>
        <v>#N/A</v>
      </c>
      <c r="K446" s="27" t="e">
        <f t="shared" si="53"/>
        <v>#N/A</v>
      </c>
    </row>
    <row r="447" spans="1:11">
      <c r="A447" s="26">
        <v>397</v>
      </c>
      <c r="B447" s="82" t="e">
        <f t="shared" si="54"/>
        <v>#N/A</v>
      </c>
      <c r="C447" s="58" t="e">
        <f t="shared" si="50"/>
        <v>#N/A</v>
      </c>
      <c r="D447" s="83" t="e">
        <f t="shared" si="55"/>
        <v>#N/A</v>
      </c>
      <c r="E447" t="e">
        <f t="shared" si="51"/>
        <v>#N/A</v>
      </c>
      <c r="G447">
        <v>397</v>
      </c>
      <c r="H447" s="13" t="e">
        <f t="shared" si="56"/>
        <v>#N/A</v>
      </c>
      <c r="I447" t="e">
        <f t="shared" si="57"/>
        <v>#N/A</v>
      </c>
      <c r="J447" t="e">
        <f t="shared" si="52"/>
        <v>#N/A</v>
      </c>
      <c r="K447" s="27" t="e">
        <f t="shared" si="53"/>
        <v>#N/A</v>
      </c>
    </row>
    <row r="448" spans="1:11">
      <c r="A448" s="26">
        <v>398</v>
      </c>
      <c r="B448" s="82" t="e">
        <f t="shared" si="54"/>
        <v>#N/A</v>
      </c>
      <c r="C448" s="58" t="e">
        <f t="shared" si="50"/>
        <v>#N/A</v>
      </c>
      <c r="D448" s="83" t="e">
        <f t="shared" si="55"/>
        <v>#N/A</v>
      </c>
      <c r="E448" t="e">
        <f t="shared" si="51"/>
        <v>#N/A</v>
      </c>
      <c r="G448">
        <v>398</v>
      </c>
      <c r="H448" s="13" t="e">
        <f t="shared" si="56"/>
        <v>#N/A</v>
      </c>
      <c r="I448" t="e">
        <f t="shared" si="57"/>
        <v>#N/A</v>
      </c>
      <c r="J448" t="e">
        <f t="shared" si="52"/>
        <v>#N/A</v>
      </c>
      <c r="K448" s="27" t="e">
        <f t="shared" si="53"/>
        <v>#N/A</v>
      </c>
    </row>
    <row r="449" spans="1:11">
      <c r="A449" s="26">
        <v>399</v>
      </c>
      <c r="B449" s="82" t="e">
        <f t="shared" si="54"/>
        <v>#N/A</v>
      </c>
      <c r="C449" s="58" t="e">
        <f t="shared" si="50"/>
        <v>#N/A</v>
      </c>
      <c r="D449" s="83" t="e">
        <f t="shared" si="55"/>
        <v>#N/A</v>
      </c>
      <c r="E449" t="e">
        <f t="shared" si="51"/>
        <v>#N/A</v>
      </c>
      <c r="G449">
        <v>399</v>
      </c>
      <c r="H449" s="13" t="e">
        <f t="shared" si="56"/>
        <v>#N/A</v>
      </c>
      <c r="I449" t="e">
        <f t="shared" si="57"/>
        <v>#N/A</v>
      </c>
      <c r="J449" t="e">
        <f t="shared" si="52"/>
        <v>#N/A</v>
      </c>
      <c r="K449" s="27" t="e">
        <f t="shared" si="53"/>
        <v>#N/A</v>
      </c>
    </row>
    <row r="450" spans="1:11">
      <c r="A450" s="26">
        <v>400</v>
      </c>
      <c r="B450" s="82" t="e">
        <f t="shared" si="54"/>
        <v>#N/A</v>
      </c>
      <c r="C450" s="58" t="e">
        <f t="shared" si="50"/>
        <v>#N/A</v>
      </c>
      <c r="D450" s="83" t="e">
        <f t="shared" si="55"/>
        <v>#N/A</v>
      </c>
      <c r="E450" t="e">
        <f t="shared" si="51"/>
        <v>#N/A</v>
      </c>
      <c r="G450">
        <v>400</v>
      </c>
      <c r="H450" s="13" t="e">
        <f t="shared" si="56"/>
        <v>#N/A</v>
      </c>
      <c r="I450" t="e">
        <f t="shared" si="57"/>
        <v>#N/A</v>
      </c>
      <c r="J450" t="e">
        <f t="shared" si="52"/>
        <v>#N/A</v>
      </c>
      <c r="K450" s="27" t="e">
        <f t="shared" si="53"/>
        <v>#N/A</v>
      </c>
    </row>
    <row r="451" spans="1:11">
      <c r="A451" s="26">
        <v>401</v>
      </c>
      <c r="B451" s="82" t="e">
        <f t="shared" si="54"/>
        <v>#N/A</v>
      </c>
      <c r="C451" s="58" t="e">
        <f t="shared" si="50"/>
        <v>#N/A</v>
      </c>
      <c r="D451" s="83" t="e">
        <f t="shared" si="55"/>
        <v>#N/A</v>
      </c>
      <c r="E451" t="e">
        <f t="shared" si="51"/>
        <v>#N/A</v>
      </c>
      <c r="G451">
        <v>401</v>
      </c>
      <c r="H451" s="13" t="e">
        <f t="shared" si="56"/>
        <v>#N/A</v>
      </c>
      <c r="I451" t="e">
        <f t="shared" si="57"/>
        <v>#N/A</v>
      </c>
      <c r="J451" t="e">
        <f t="shared" si="52"/>
        <v>#N/A</v>
      </c>
      <c r="K451" s="27" t="e">
        <f t="shared" si="53"/>
        <v>#N/A</v>
      </c>
    </row>
    <row r="452" spans="1:11">
      <c r="A452" s="26">
        <v>402</v>
      </c>
      <c r="B452" s="82" t="e">
        <f t="shared" si="54"/>
        <v>#N/A</v>
      </c>
      <c r="C452" s="58" t="e">
        <f t="shared" si="50"/>
        <v>#N/A</v>
      </c>
      <c r="D452" s="83" t="e">
        <f t="shared" si="55"/>
        <v>#N/A</v>
      </c>
      <c r="E452" t="e">
        <f t="shared" si="51"/>
        <v>#N/A</v>
      </c>
      <c r="G452">
        <v>402</v>
      </c>
      <c r="H452" s="13" t="e">
        <f t="shared" si="56"/>
        <v>#N/A</v>
      </c>
      <c r="I452" t="e">
        <f t="shared" si="57"/>
        <v>#N/A</v>
      </c>
      <c r="J452" t="e">
        <f t="shared" si="52"/>
        <v>#N/A</v>
      </c>
      <c r="K452" s="27" t="e">
        <f t="shared" si="53"/>
        <v>#N/A</v>
      </c>
    </row>
    <row r="453" spans="1:11">
      <c r="A453" s="26">
        <v>403</v>
      </c>
      <c r="B453" s="82" t="e">
        <f t="shared" si="54"/>
        <v>#N/A</v>
      </c>
      <c r="C453" s="58" t="e">
        <f t="shared" si="50"/>
        <v>#N/A</v>
      </c>
      <c r="D453" s="83" t="e">
        <f t="shared" si="55"/>
        <v>#N/A</v>
      </c>
      <c r="E453" t="e">
        <f t="shared" si="51"/>
        <v>#N/A</v>
      </c>
      <c r="G453">
        <v>403</v>
      </c>
      <c r="H453" s="13" t="e">
        <f t="shared" si="56"/>
        <v>#N/A</v>
      </c>
      <c r="I453" t="e">
        <f t="shared" si="57"/>
        <v>#N/A</v>
      </c>
      <c r="J453" t="e">
        <f t="shared" si="52"/>
        <v>#N/A</v>
      </c>
      <c r="K453" s="27" t="e">
        <f t="shared" si="53"/>
        <v>#N/A</v>
      </c>
    </row>
    <row r="454" spans="1:11">
      <c r="A454" s="26">
        <v>404</v>
      </c>
      <c r="B454" s="82" t="e">
        <f t="shared" si="54"/>
        <v>#N/A</v>
      </c>
      <c r="C454" s="58" t="e">
        <f t="shared" si="50"/>
        <v>#N/A</v>
      </c>
      <c r="D454" s="83" t="e">
        <f t="shared" si="55"/>
        <v>#N/A</v>
      </c>
      <c r="E454" t="e">
        <f t="shared" si="51"/>
        <v>#N/A</v>
      </c>
      <c r="G454">
        <v>404</v>
      </c>
      <c r="H454" s="13" t="e">
        <f t="shared" si="56"/>
        <v>#N/A</v>
      </c>
      <c r="I454" t="e">
        <f t="shared" si="57"/>
        <v>#N/A</v>
      </c>
      <c r="J454" t="e">
        <f t="shared" si="52"/>
        <v>#N/A</v>
      </c>
      <c r="K454" s="27" t="e">
        <f t="shared" si="53"/>
        <v>#N/A</v>
      </c>
    </row>
    <row r="455" spans="1:11">
      <c r="A455" s="26">
        <v>405</v>
      </c>
      <c r="B455" s="82" t="e">
        <f t="shared" si="54"/>
        <v>#N/A</v>
      </c>
      <c r="C455" s="58" t="e">
        <f t="shared" si="50"/>
        <v>#N/A</v>
      </c>
      <c r="D455" s="83" t="e">
        <f t="shared" si="55"/>
        <v>#N/A</v>
      </c>
      <c r="E455" t="e">
        <f t="shared" si="51"/>
        <v>#N/A</v>
      </c>
      <c r="G455">
        <v>405</v>
      </c>
      <c r="H455" s="13" t="e">
        <f t="shared" si="56"/>
        <v>#N/A</v>
      </c>
      <c r="I455" t="e">
        <f t="shared" si="57"/>
        <v>#N/A</v>
      </c>
      <c r="J455" t="e">
        <f t="shared" si="52"/>
        <v>#N/A</v>
      </c>
      <c r="K455" s="27" t="e">
        <f t="shared" si="53"/>
        <v>#N/A</v>
      </c>
    </row>
    <row r="456" spans="1:11">
      <c r="A456" s="26">
        <v>406</v>
      </c>
      <c r="B456" s="82" t="e">
        <f t="shared" si="54"/>
        <v>#N/A</v>
      </c>
      <c r="C456" s="58" t="e">
        <f t="shared" si="50"/>
        <v>#N/A</v>
      </c>
      <c r="D456" s="83" t="e">
        <f t="shared" si="55"/>
        <v>#N/A</v>
      </c>
      <c r="E456" t="e">
        <f t="shared" si="51"/>
        <v>#N/A</v>
      </c>
      <c r="G456">
        <v>406</v>
      </c>
      <c r="H456" s="13" t="e">
        <f t="shared" si="56"/>
        <v>#N/A</v>
      </c>
      <c r="I456" t="e">
        <f t="shared" si="57"/>
        <v>#N/A</v>
      </c>
      <c r="J456" t="e">
        <f t="shared" si="52"/>
        <v>#N/A</v>
      </c>
      <c r="K456" s="27" t="e">
        <f t="shared" si="53"/>
        <v>#N/A</v>
      </c>
    </row>
    <row r="457" spans="1:11">
      <c r="A457" s="26">
        <v>407</v>
      </c>
      <c r="B457" s="82" t="e">
        <f t="shared" si="54"/>
        <v>#N/A</v>
      </c>
      <c r="C457" s="58" t="e">
        <f t="shared" si="50"/>
        <v>#N/A</v>
      </c>
      <c r="D457" s="83" t="e">
        <f t="shared" si="55"/>
        <v>#N/A</v>
      </c>
      <c r="E457" t="e">
        <f t="shared" si="51"/>
        <v>#N/A</v>
      </c>
      <c r="G457">
        <v>407</v>
      </c>
      <c r="H457" s="13" t="e">
        <f t="shared" si="56"/>
        <v>#N/A</v>
      </c>
      <c r="I457" t="e">
        <f t="shared" si="57"/>
        <v>#N/A</v>
      </c>
      <c r="J457" t="e">
        <f t="shared" si="52"/>
        <v>#N/A</v>
      </c>
      <c r="K457" s="27" t="e">
        <f t="shared" si="53"/>
        <v>#N/A</v>
      </c>
    </row>
    <row r="458" spans="1:11">
      <c r="A458" s="26">
        <v>408</v>
      </c>
      <c r="B458" s="82" t="e">
        <f t="shared" si="54"/>
        <v>#N/A</v>
      </c>
      <c r="C458" s="58" t="e">
        <f t="shared" si="50"/>
        <v>#N/A</v>
      </c>
      <c r="D458" s="83" t="e">
        <f t="shared" si="55"/>
        <v>#N/A</v>
      </c>
      <c r="E458" t="e">
        <f t="shared" si="51"/>
        <v>#N/A</v>
      </c>
      <c r="G458">
        <v>408</v>
      </c>
      <c r="H458" s="13" t="e">
        <f t="shared" si="56"/>
        <v>#N/A</v>
      </c>
      <c r="I458" t="e">
        <f t="shared" si="57"/>
        <v>#N/A</v>
      </c>
      <c r="J458" t="e">
        <f t="shared" si="52"/>
        <v>#N/A</v>
      </c>
      <c r="K458" s="27" t="e">
        <f t="shared" si="53"/>
        <v>#N/A</v>
      </c>
    </row>
    <row r="459" spans="1:11">
      <c r="A459" s="26">
        <v>409</v>
      </c>
      <c r="B459" s="82" t="e">
        <f t="shared" si="54"/>
        <v>#N/A</v>
      </c>
      <c r="C459" s="58" t="e">
        <f t="shared" si="50"/>
        <v>#N/A</v>
      </c>
      <c r="D459" s="83" t="e">
        <f t="shared" si="55"/>
        <v>#N/A</v>
      </c>
      <c r="E459" t="e">
        <f t="shared" si="51"/>
        <v>#N/A</v>
      </c>
      <c r="G459">
        <v>409</v>
      </c>
      <c r="H459" s="13" t="e">
        <f t="shared" si="56"/>
        <v>#N/A</v>
      </c>
      <c r="I459" t="e">
        <f t="shared" si="57"/>
        <v>#N/A</v>
      </c>
      <c r="J459" t="e">
        <f t="shared" si="52"/>
        <v>#N/A</v>
      </c>
      <c r="K459" s="27" t="e">
        <f t="shared" si="53"/>
        <v>#N/A</v>
      </c>
    </row>
    <row r="460" spans="1:11">
      <c r="A460" s="26">
        <v>410</v>
      </c>
      <c r="B460" s="82" t="e">
        <f t="shared" si="54"/>
        <v>#N/A</v>
      </c>
      <c r="C460" s="58" t="e">
        <f t="shared" si="50"/>
        <v>#N/A</v>
      </c>
      <c r="D460" s="83" t="e">
        <f t="shared" si="55"/>
        <v>#N/A</v>
      </c>
      <c r="E460" t="e">
        <f t="shared" si="51"/>
        <v>#N/A</v>
      </c>
      <c r="G460">
        <v>410</v>
      </c>
      <c r="H460" s="13" t="e">
        <f t="shared" si="56"/>
        <v>#N/A</v>
      </c>
      <c r="I460" t="e">
        <f t="shared" si="57"/>
        <v>#N/A</v>
      </c>
      <c r="J460" t="e">
        <f t="shared" si="52"/>
        <v>#N/A</v>
      </c>
      <c r="K460" s="27" t="e">
        <f t="shared" si="53"/>
        <v>#N/A</v>
      </c>
    </row>
    <row r="461" spans="1:11">
      <c r="A461" s="26">
        <v>411</v>
      </c>
      <c r="B461" s="82" t="e">
        <f t="shared" si="54"/>
        <v>#N/A</v>
      </c>
      <c r="C461" s="58" t="e">
        <f t="shared" si="50"/>
        <v>#N/A</v>
      </c>
      <c r="D461" s="83" t="e">
        <f t="shared" si="55"/>
        <v>#N/A</v>
      </c>
      <c r="E461" t="e">
        <f t="shared" si="51"/>
        <v>#N/A</v>
      </c>
      <c r="G461">
        <v>411</v>
      </c>
      <c r="H461" s="13" t="e">
        <f t="shared" si="56"/>
        <v>#N/A</v>
      </c>
      <c r="I461" t="e">
        <f t="shared" si="57"/>
        <v>#N/A</v>
      </c>
      <c r="J461" t="e">
        <f t="shared" si="52"/>
        <v>#N/A</v>
      </c>
      <c r="K461" s="27" t="e">
        <f t="shared" si="53"/>
        <v>#N/A</v>
      </c>
    </row>
    <row r="462" spans="1:11">
      <c r="A462" s="26">
        <v>412</v>
      </c>
      <c r="B462" s="82" t="e">
        <f t="shared" si="54"/>
        <v>#N/A</v>
      </c>
      <c r="C462" s="58" t="e">
        <f t="shared" si="50"/>
        <v>#N/A</v>
      </c>
      <c r="D462" s="83" t="e">
        <f t="shared" si="55"/>
        <v>#N/A</v>
      </c>
      <c r="E462" t="e">
        <f t="shared" si="51"/>
        <v>#N/A</v>
      </c>
      <c r="G462">
        <v>412</v>
      </c>
      <c r="H462" s="13" t="e">
        <f t="shared" si="56"/>
        <v>#N/A</v>
      </c>
      <c r="I462" t="e">
        <f t="shared" si="57"/>
        <v>#N/A</v>
      </c>
      <c r="J462" t="e">
        <f t="shared" si="52"/>
        <v>#N/A</v>
      </c>
      <c r="K462" s="27" t="e">
        <f t="shared" si="53"/>
        <v>#N/A</v>
      </c>
    </row>
    <row r="463" spans="1:11">
      <c r="A463" s="26">
        <v>413</v>
      </c>
      <c r="B463" s="82" t="e">
        <f t="shared" si="54"/>
        <v>#N/A</v>
      </c>
      <c r="C463" s="58" t="e">
        <f t="shared" si="50"/>
        <v>#N/A</v>
      </c>
      <c r="D463" s="83" t="e">
        <f t="shared" si="55"/>
        <v>#N/A</v>
      </c>
      <c r="E463" t="e">
        <f t="shared" si="51"/>
        <v>#N/A</v>
      </c>
      <c r="G463">
        <v>413</v>
      </c>
      <c r="H463" s="13" t="e">
        <f t="shared" si="56"/>
        <v>#N/A</v>
      </c>
      <c r="I463" t="e">
        <f t="shared" si="57"/>
        <v>#N/A</v>
      </c>
      <c r="J463" t="e">
        <f t="shared" si="52"/>
        <v>#N/A</v>
      </c>
      <c r="K463" s="27" t="e">
        <f t="shared" si="53"/>
        <v>#N/A</v>
      </c>
    </row>
    <row r="464" spans="1:11">
      <c r="A464" s="26">
        <v>414</v>
      </c>
      <c r="B464" s="82" t="e">
        <f t="shared" si="54"/>
        <v>#N/A</v>
      </c>
      <c r="C464" s="58" t="e">
        <f t="shared" ref="C464:C527" si="58">($C$37-$C$36)/2000+C463</f>
        <v>#N/A</v>
      </c>
      <c r="D464" s="83" t="e">
        <f t="shared" si="55"/>
        <v>#N/A</v>
      </c>
      <c r="E464" t="e">
        <f t="shared" si="51"/>
        <v>#N/A</v>
      </c>
      <c r="G464">
        <v>414</v>
      </c>
      <c r="H464" s="13" t="e">
        <f t="shared" si="56"/>
        <v>#N/A</v>
      </c>
      <c r="I464" t="e">
        <f t="shared" si="57"/>
        <v>#N/A</v>
      </c>
      <c r="J464" t="e">
        <f t="shared" si="52"/>
        <v>#N/A</v>
      </c>
      <c r="K464" s="27" t="e">
        <f t="shared" si="53"/>
        <v>#N/A</v>
      </c>
    </row>
    <row r="465" spans="1:11">
      <c r="A465" s="26">
        <v>415</v>
      </c>
      <c r="B465" s="82" t="e">
        <f t="shared" si="54"/>
        <v>#N/A</v>
      </c>
      <c r="C465" s="58" t="e">
        <f t="shared" si="58"/>
        <v>#N/A</v>
      </c>
      <c r="D465" s="83" t="e">
        <f t="shared" si="55"/>
        <v>#N/A</v>
      </c>
      <c r="E465" t="e">
        <f t="shared" si="51"/>
        <v>#N/A</v>
      </c>
      <c r="G465">
        <v>415</v>
      </c>
      <c r="H465" s="13" t="e">
        <f t="shared" si="56"/>
        <v>#N/A</v>
      </c>
      <c r="I465" t="e">
        <f t="shared" si="57"/>
        <v>#N/A</v>
      </c>
      <c r="J465" t="e">
        <f t="shared" si="52"/>
        <v>#N/A</v>
      </c>
      <c r="K465" s="27" t="e">
        <f t="shared" si="53"/>
        <v>#N/A</v>
      </c>
    </row>
    <row r="466" spans="1:11">
      <c r="A466" s="26">
        <v>416</v>
      </c>
      <c r="B466" s="82" t="e">
        <f t="shared" si="54"/>
        <v>#N/A</v>
      </c>
      <c r="C466" s="58" t="e">
        <f t="shared" si="58"/>
        <v>#N/A</v>
      </c>
      <c r="D466" s="83" t="e">
        <f t="shared" si="55"/>
        <v>#N/A</v>
      </c>
      <c r="E466" t="e">
        <f t="shared" si="51"/>
        <v>#N/A</v>
      </c>
      <c r="G466">
        <v>416</v>
      </c>
      <c r="H466" s="13" t="e">
        <f t="shared" si="56"/>
        <v>#N/A</v>
      </c>
      <c r="I466" t="e">
        <f t="shared" si="57"/>
        <v>#N/A</v>
      </c>
      <c r="J466" t="e">
        <f t="shared" si="52"/>
        <v>#N/A</v>
      </c>
      <c r="K466" s="27" t="e">
        <f t="shared" si="53"/>
        <v>#N/A</v>
      </c>
    </row>
    <row r="467" spans="1:11">
      <c r="A467" s="26">
        <v>417</v>
      </c>
      <c r="B467" s="82" t="e">
        <f t="shared" si="54"/>
        <v>#N/A</v>
      </c>
      <c r="C467" s="58" t="e">
        <f t="shared" si="58"/>
        <v>#N/A</v>
      </c>
      <c r="D467" s="83" t="e">
        <f t="shared" si="55"/>
        <v>#N/A</v>
      </c>
      <c r="E467" t="e">
        <f t="shared" si="51"/>
        <v>#N/A</v>
      </c>
      <c r="G467">
        <v>417</v>
      </c>
      <c r="H467" s="13" t="e">
        <f t="shared" si="56"/>
        <v>#N/A</v>
      </c>
      <c r="I467" t="e">
        <f t="shared" si="57"/>
        <v>#N/A</v>
      </c>
      <c r="J467" t="e">
        <f t="shared" si="52"/>
        <v>#N/A</v>
      </c>
      <c r="K467" s="27" t="e">
        <f t="shared" si="53"/>
        <v>#N/A</v>
      </c>
    </row>
    <row r="468" spans="1:11">
      <c r="A468" s="26">
        <v>418</v>
      </c>
      <c r="B468" s="82" t="e">
        <f t="shared" si="54"/>
        <v>#N/A</v>
      </c>
      <c r="C468" s="58" t="e">
        <f t="shared" si="58"/>
        <v>#N/A</v>
      </c>
      <c r="D468" s="83" t="e">
        <f t="shared" si="55"/>
        <v>#N/A</v>
      </c>
      <c r="E468" t="e">
        <f t="shared" si="51"/>
        <v>#N/A</v>
      </c>
      <c r="G468">
        <v>418</v>
      </c>
      <c r="H468" s="13" t="e">
        <f t="shared" si="56"/>
        <v>#N/A</v>
      </c>
      <c r="I468" t="e">
        <f t="shared" si="57"/>
        <v>#N/A</v>
      </c>
      <c r="J468" t="e">
        <f t="shared" si="52"/>
        <v>#N/A</v>
      </c>
      <c r="K468" s="27" t="e">
        <f t="shared" si="53"/>
        <v>#N/A</v>
      </c>
    </row>
    <row r="469" spans="1:11">
      <c r="A469" s="26">
        <v>419</v>
      </c>
      <c r="B469" s="82" t="e">
        <f t="shared" si="54"/>
        <v>#N/A</v>
      </c>
      <c r="C469" s="58" t="e">
        <f t="shared" si="58"/>
        <v>#N/A</v>
      </c>
      <c r="D469" s="83" t="e">
        <f t="shared" si="55"/>
        <v>#N/A</v>
      </c>
      <c r="E469" t="e">
        <f t="shared" si="51"/>
        <v>#N/A</v>
      </c>
      <c r="G469">
        <v>419</v>
      </c>
      <c r="H469" s="13" t="e">
        <f t="shared" si="56"/>
        <v>#N/A</v>
      </c>
      <c r="I469" t="e">
        <f t="shared" si="57"/>
        <v>#N/A</v>
      </c>
      <c r="J469" t="e">
        <f t="shared" si="52"/>
        <v>#N/A</v>
      </c>
      <c r="K469" s="27" t="e">
        <f t="shared" si="53"/>
        <v>#N/A</v>
      </c>
    </row>
    <row r="470" spans="1:11">
      <c r="A470" s="26">
        <v>420</v>
      </c>
      <c r="B470" s="82" t="e">
        <f t="shared" si="54"/>
        <v>#N/A</v>
      </c>
      <c r="C470" s="58" t="e">
        <f t="shared" si="58"/>
        <v>#N/A</v>
      </c>
      <c r="D470" s="83" t="e">
        <f t="shared" si="55"/>
        <v>#N/A</v>
      </c>
      <c r="E470" t="e">
        <f t="shared" si="51"/>
        <v>#N/A</v>
      </c>
      <c r="G470">
        <v>420</v>
      </c>
      <c r="H470" s="13" t="e">
        <f t="shared" si="56"/>
        <v>#N/A</v>
      </c>
      <c r="I470" t="e">
        <f t="shared" si="57"/>
        <v>#N/A</v>
      </c>
      <c r="J470" t="e">
        <f t="shared" si="52"/>
        <v>#N/A</v>
      </c>
      <c r="K470" s="27" t="e">
        <f t="shared" si="53"/>
        <v>#N/A</v>
      </c>
    </row>
    <row r="471" spans="1:11">
      <c r="A471" s="26">
        <v>421</v>
      </c>
      <c r="B471" s="82" t="e">
        <f t="shared" si="54"/>
        <v>#N/A</v>
      </c>
      <c r="C471" s="58" t="e">
        <f t="shared" si="58"/>
        <v>#N/A</v>
      </c>
      <c r="D471" s="83" t="e">
        <f t="shared" si="55"/>
        <v>#N/A</v>
      </c>
      <c r="E471" t="e">
        <f t="shared" si="51"/>
        <v>#N/A</v>
      </c>
      <c r="G471">
        <v>421</v>
      </c>
      <c r="H471" s="13" t="e">
        <f t="shared" si="56"/>
        <v>#N/A</v>
      </c>
      <c r="I471" t="e">
        <f t="shared" si="57"/>
        <v>#N/A</v>
      </c>
      <c r="J471" t="e">
        <f t="shared" si="52"/>
        <v>#N/A</v>
      </c>
      <c r="K471" s="27" t="e">
        <f t="shared" si="53"/>
        <v>#N/A</v>
      </c>
    </row>
    <row r="472" spans="1:11">
      <c r="A472" s="26">
        <v>422</v>
      </c>
      <c r="B472" s="82" t="e">
        <f t="shared" si="54"/>
        <v>#N/A</v>
      </c>
      <c r="C472" s="58" t="e">
        <f t="shared" si="58"/>
        <v>#N/A</v>
      </c>
      <c r="D472" s="83" t="e">
        <f t="shared" si="55"/>
        <v>#N/A</v>
      </c>
      <c r="E472" t="e">
        <f t="shared" si="51"/>
        <v>#N/A</v>
      </c>
      <c r="G472">
        <v>422</v>
      </c>
      <c r="H472" s="13" t="e">
        <f t="shared" si="56"/>
        <v>#N/A</v>
      </c>
      <c r="I472" t="e">
        <f t="shared" si="57"/>
        <v>#N/A</v>
      </c>
      <c r="J472" t="e">
        <f t="shared" si="52"/>
        <v>#N/A</v>
      </c>
      <c r="K472" s="27" t="e">
        <f t="shared" si="53"/>
        <v>#N/A</v>
      </c>
    </row>
    <row r="473" spans="1:11">
      <c r="A473" s="26">
        <v>423</v>
      </c>
      <c r="B473" s="82" t="e">
        <f t="shared" si="54"/>
        <v>#N/A</v>
      </c>
      <c r="C473" s="58" t="e">
        <f t="shared" si="58"/>
        <v>#N/A</v>
      </c>
      <c r="D473" s="83" t="e">
        <f t="shared" si="55"/>
        <v>#N/A</v>
      </c>
      <c r="E473" t="e">
        <f t="shared" si="51"/>
        <v>#N/A</v>
      </c>
      <c r="G473">
        <v>423</v>
      </c>
      <c r="H473" s="13" t="e">
        <f t="shared" si="56"/>
        <v>#N/A</v>
      </c>
      <c r="I473" t="e">
        <f t="shared" si="57"/>
        <v>#N/A</v>
      </c>
      <c r="J473" t="e">
        <f t="shared" si="52"/>
        <v>#N/A</v>
      </c>
      <c r="K473" s="27" t="e">
        <f t="shared" si="53"/>
        <v>#N/A</v>
      </c>
    </row>
    <row r="474" spans="1:11">
      <c r="A474" s="26">
        <v>424</v>
      </c>
      <c r="B474" s="82" t="e">
        <f t="shared" si="54"/>
        <v>#N/A</v>
      </c>
      <c r="C474" s="58" t="e">
        <f t="shared" si="58"/>
        <v>#N/A</v>
      </c>
      <c r="D474" s="83" t="e">
        <f t="shared" si="55"/>
        <v>#N/A</v>
      </c>
      <c r="E474" t="e">
        <f t="shared" si="51"/>
        <v>#N/A</v>
      </c>
      <c r="G474">
        <v>424</v>
      </c>
      <c r="H474" s="13" t="e">
        <f t="shared" si="56"/>
        <v>#N/A</v>
      </c>
      <c r="I474" t="e">
        <f t="shared" si="57"/>
        <v>#N/A</v>
      </c>
      <c r="J474" t="e">
        <f t="shared" si="52"/>
        <v>#N/A</v>
      </c>
      <c r="K474" s="27" t="e">
        <f t="shared" si="53"/>
        <v>#N/A</v>
      </c>
    </row>
    <row r="475" spans="1:11">
      <c r="A475" s="26">
        <v>425</v>
      </c>
      <c r="B475" s="82" t="e">
        <f t="shared" si="54"/>
        <v>#N/A</v>
      </c>
      <c r="C475" s="58" t="e">
        <f t="shared" si="58"/>
        <v>#N/A</v>
      </c>
      <c r="D475" s="83" t="e">
        <f t="shared" si="55"/>
        <v>#N/A</v>
      </c>
      <c r="E475" t="e">
        <f t="shared" si="51"/>
        <v>#N/A</v>
      </c>
      <c r="G475">
        <v>425</v>
      </c>
      <c r="H475" s="13" t="e">
        <f t="shared" si="56"/>
        <v>#N/A</v>
      </c>
      <c r="I475" t="e">
        <f t="shared" si="57"/>
        <v>#N/A</v>
      </c>
      <c r="J475" t="e">
        <f t="shared" si="52"/>
        <v>#N/A</v>
      </c>
      <c r="K475" s="27" t="e">
        <f t="shared" si="53"/>
        <v>#N/A</v>
      </c>
    </row>
    <row r="476" spans="1:11">
      <c r="A476" s="26">
        <v>426</v>
      </c>
      <c r="B476" s="82" t="e">
        <f t="shared" si="54"/>
        <v>#N/A</v>
      </c>
      <c r="C476" s="58" t="e">
        <f t="shared" si="58"/>
        <v>#N/A</v>
      </c>
      <c r="D476" s="83" t="e">
        <f t="shared" si="55"/>
        <v>#N/A</v>
      </c>
      <c r="E476" t="e">
        <f t="shared" si="51"/>
        <v>#N/A</v>
      </c>
      <c r="G476">
        <v>426</v>
      </c>
      <c r="H476" s="13" t="e">
        <f t="shared" si="56"/>
        <v>#N/A</v>
      </c>
      <c r="I476" t="e">
        <f t="shared" si="57"/>
        <v>#N/A</v>
      </c>
      <c r="J476" t="e">
        <f t="shared" si="52"/>
        <v>#N/A</v>
      </c>
      <c r="K476" s="27" t="e">
        <f t="shared" si="53"/>
        <v>#N/A</v>
      </c>
    </row>
    <row r="477" spans="1:11">
      <c r="A477" s="26">
        <v>427</v>
      </c>
      <c r="B477" s="82" t="e">
        <f t="shared" si="54"/>
        <v>#N/A</v>
      </c>
      <c r="C477" s="58" t="e">
        <f t="shared" si="58"/>
        <v>#N/A</v>
      </c>
      <c r="D477" s="83" t="e">
        <f t="shared" si="55"/>
        <v>#N/A</v>
      </c>
      <c r="E477" t="e">
        <f t="shared" si="51"/>
        <v>#N/A</v>
      </c>
      <c r="G477">
        <v>427</v>
      </c>
      <c r="H477" s="13" t="e">
        <f t="shared" si="56"/>
        <v>#N/A</v>
      </c>
      <c r="I477" t="e">
        <f t="shared" si="57"/>
        <v>#N/A</v>
      </c>
      <c r="J477" t="e">
        <f t="shared" si="52"/>
        <v>#N/A</v>
      </c>
      <c r="K477" s="27" t="e">
        <f t="shared" si="53"/>
        <v>#N/A</v>
      </c>
    </row>
    <row r="478" spans="1:11">
      <c r="A478" s="26">
        <v>428</v>
      </c>
      <c r="B478" s="82" t="e">
        <f t="shared" si="54"/>
        <v>#N/A</v>
      </c>
      <c r="C478" s="58" t="e">
        <f t="shared" si="58"/>
        <v>#N/A</v>
      </c>
      <c r="D478" s="83" t="e">
        <f t="shared" si="55"/>
        <v>#N/A</v>
      </c>
      <c r="E478" t="e">
        <f t="shared" si="51"/>
        <v>#N/A</v>
      </c>
      <c r="G478">
        <v>428</v>
      </c>
      <c r="H478" s="13" t="e">
        <f t="shared" si="56"/>
        <v>#N/A</v>
      </c>
      <c r="I478" t="e">
        <f t="shared" si="57"/>
        <v>#N/A</v>
      </c>
      <c r="J478" t="e">
        <f t="shared" si="52"/>
        <v>#N/A</v>
      </c>
      <c r="K478" s="27" t="e">
        <f t="shared" si="53"/>
        <v>#N/A</v>
      </c>
    </row>
    <row r="479" spans="1:11">
      <c r="A479" s="26">
        <v>429</v>
      </c>
      <c r="B479" s="82" t="e">
        <f t="shared" si="54"/>
        <v>#N/A</v>
      </c>
      <c r="C479" s="58" t="e">
        <f t="shared" si="58"/>
        <v>#N/A</v>
      </c>
      <c r="D479" s="83" t="e">
        <f t="shared" si="55"/>
        <v>#N/A</v>
      </c>
      <c r="E479" t="e">
        <f t="shared" si="51"/>
        <v>#N/A</v>
      </c>
      <c r="G479">
        <v>429</v>
      </c>
      <c r="H479" s="13" t="e">
        <f t="shared" si="56"/>
        <v>#N/A</v>
      </c>
      <c r="I479" t="e">
        <f t="shared" si="57"/>
        <v>#N/A</v>
      </c>
      <c r="J479" t="e">
        <f t="shared" si="52"/>
        <v>#N/A</v>
      </c>
      <c r="K479" s="27" t="e">
        <f t="shared" si="53"/>
        <v>#N/A</v>
      </c>
    </row>
    <row r="480" spans="1:11">
      <c r="A480" s="26">
        <v>430</v>
      </c>
      <c r="B480" s="82" t="e">
        <f t="shared" si="54"/>
        <v>#N/A</v>
      </c>
      <c r="C480" s="58" t="e">
        <f t="shared" si="58"/>
        <v>#N/A</v>
      </c>
      <c r="D480" s="83" t="e">
        <f t="shared" si="55"/>
        <v>#N/A</v>
      </c>
      <c r="E480" t="e">
        <f t="shared" si="51"/>
        <v>#N/A</v>
      </c>
      <c r="G480">
        <v>430</v>
      </c>
      <c r="H480" s="13" t="e">
        <f t="shared" si="56"/>
        <v>#N/A</v>
      </c>
      <c r="I480" t="e">
        <f t="shared" si="57"/>
        <v>#N/A</v>
      </c>
      <c r="J480" t="e">
        <f t="shared" si="52"/>
        <v>#N/A</v>
      </c>
      <c r="K480" s="27" t="e">
        <f t="shared" si="53"/>
        <v>#N/A</v>
      </c>
    </row>
    <row r="481" spans="1:11">
      <c r="A481" s="26">
        <v>431</v>
      </c>
      <c r="B481" s="82" t="e">
        <f t="shared" si="54"/>
        <v>#N/A</v>
      </c>
      <c r="C481" s="58" t="e">
        <f t="shared" si="58"/>
        <v>#N/A</v>
      </c>
      <c r="D481" s="83" t="e">
        <f t="shared" si="55"/>
        <v>#N/A</v>
      </c>
      <c r="E481" t="e">
        <f t="shared" si="51"/>
        <v>#N/A</v>
      </c>
      <c r="G481">
        <v>431</v>
      </c>
      <c r="H481" s="13" t="e">
        <f t="shared" si="56"/>
        <v>#N/A</v>
      </c>
      <c r="I481" t="e">
        <f t="shared" si="57"/>
        <v>#N/A</v>
      </c>
      <c r="J481" t="e">
        <f t="shared" si="52"/>
        <v>#N/A</v>
      </c>
      <c r="K481" s="27" t="e">
        <f t="shared" si="53"/>
        <v>#N/A</v>
      </c>
    </row>
    <row r="482" spans="1:11">
      <c r="A482" s="26">
        <v>432</v>
      </c>
      <c r="B482" s="82" t="e">
        <f t="shared" si="54"/>
        <v>#N/A</v>
      </c>
      <c r="C482" s="58" t="e">
        <f t="shared" si="58"/>
        <v>#N/A</v>
      </c>
      <c r="D482" s="83" t="e">
        <f t="shared" si="55"/>
        <v>#N/A</v>
      </c>
      <c r="E482" t="e">
        <f t="shared" si="51"/>
        <v>#N/A</v>
      </c>
      <c r="G482">
        <v>432</v>
      </c>
      <c r="H482" s="13" t="e">
        <f t="shared" si="56"/>
        <v>#N/A</v>
      </c>
      <c r="I482" t="e">
        <f t="shared" si="57"/>
        <v>#N/A</v>
      </c>
      <c r="J482" t="e">
        <f t="shared" si="52"/>
        <v>#N/A</v>
      </c>
      <c r="K482" s="27" t="e">
        <f t="shared" si="53"/>
        <v>#N/A</v>
      </c>
    </row>
    <row r="483" spans="1:11">
      <c r="A483" s="26">
        <v>433</v>
      </c>
      <c r="B483" s="82" t="e">
        <f t="shared" si="54"/>
        <v>#N/A</v>
      </c>
      <c r="C483" s="58" t="e">
        <f t="shared" si="58"/>
        <v>#N/A</v>
      </c>
      <c r="D483" s="83" t="e">
        <f t="shared" si="55"/>
        <v>#N/A</v>
      </c>
      <c r="E483" t="e">
        <f t="shared" si="51"/>
        <v>#N/A</v>
      </c>
      <c r="G483">
        <v>433</v>
      </c>
      <c r="H483" s="13" t="e">
        <f t="shared" si="56"/>
        <v>#N/A</v>
      </c>
      <c r="I483" t="e">
        <f t="shared" si="57"/>
        <v>#N/A</v>
      </c>
      <c r="J483" t="e">
        <f t="shared" si="52"/>
        <v>#N/A</v>
      </c>
      <c r="K483" s="27" t="e">
        <f t="shared" si="53"/>
        <v>#N/A</v>
      </c>
    </row>
    <row r="484" spans="1:11">
      <c r="A484" s="26">
        <v>434</v>
      </c>
      <c r="B484" s="82" t="e">
        <f t="shared" si="54"/>
        <v>#N/A</v>
      </c>
      <c r="C484" s="58" t="e">
        <f t="shared" si="58"/>
        <v>#N/A</v>
      </c>
      <c r="D484" s="83" t="e">
        <f t="shared" si="55"/>
        <v>#N/A</v>
      </c>
      <c r="E484" t="e">
        <f t="shared" si="51"/>
        <v>#N/A</v>
      </c>
      <c r="G484">
        <v>434</v>
      </c>
      <c r="H484" s="13" t="e">
        <f t="shared" si="56"/>
        <v>#N/A</v>
      </c>
      <c r="I484" t="e">
        <f t="shared" si="57"/>
        <v>#N/A</v>
      </c>
      <c r="J484" t="e">
        <f t="shared" si="52"/>
        <v>#N/A</v>
      </c>
      <c r="K484" s="27" t="e">
        <f t="shared" si="53"/>
        <v>#N/A</v>
      </c>
    </row>
    <row r="485" spans="1:11">
      <c r="A485" s="26">
        <v>435</v>
      </c>
      <c r="B485" s="82" t="e">
        <f t="shared" si="54"/>
        <v>#N/A</v>
      </c>
      <c r="C485" s="58" t="e">
        <f t="shared" si="58"/>
        <v>#N/A</v>
      </c>
      <c r="D485" s="83" t="e">
        <f t="shared" si="55"/>
        <v>#N/A</v>
      </c>
      <c r="E485" t="e">
        <f t="shared" si="51"/>
        <v>#N/A</v>
      </c>
      <c r="G485">
        <v>435</v>
      </c>
      <c r="H485" s="13" t="e">
        <f t="shared" si="56"/>
        <v>#N/A</v>
      </c>
      <c r="I485" t="e">
        <f t="shared" si="57"/>
        <v>#N/A</v>
      </c>
      <c r="J485" t="e">
        <f t="shared" si="52"/>
        <v>#N/A</v>
      </c>
      <c r="K485" s="27" t="e">
        <f t="shared" si="53"/>
        <v>#N/A</v>
      </c>
    </row>
    <row r="486" spans="1:11">
      <c r="A486" s="26">
        <v>436</v>
      </c>
      <c r="B486" s="82" t="e">
        <f t="shared" si="54"/>
        <v>#N/A</v>
      </c>
      <c r="C486" s="58" t="e">
        <f t="shared" si="58"/>
        <v>#N/A</v>
      </c>
      <c r="D486" s="83" t="e">
        <f t="shared" si="55"/>
        <v>#N/A</v>
      </c>
      <c r="E486" t="e">
        <f t="shared" si="51"/>
        <v>#N/A</v>
      </c>
      <c r="G486">
        <v>436</v>
      </c>
      <c r="H486" s="13" t="e">
        <f t="shared" si="56"/>
        <v>#N/A</v>
      </c>
      <c r="I486" t="e">
        <f t="shared" si="57"/>
        <v>#N/A</v>
      </c>
      <c r="J486" t="e">
        <f t="shared" si="52"/>
        <v>#N/A</v>
      </c>
      <c r="K486" s="27" t="e">
        <f t="shared" si="53"/>
        <v>#N/A</v>
      </c>
    </row>
    <row r="487" spans="1:11">
      <c r="A487" s="26">
        <v>437</v>
      </c>
      <c r="B487" s="82" t="e">
        <f t="shared" si="54"/>
        <v>#N/A</v>
      </c>
      <c r="C487" s="58" t="e">
        <f t="shared" si="58"/>
        <v>#N/A</v>
      </c>
      <c r="D487" s="83" t="e">
        <f t="shared" si="55"/>
        <v>#N/A</v>
      </c>
      <c r="E487" t="e">
        <f t="shared" si="51"/>
        <v>#N/A</v>
      </c>
      <c r="G487">
        <v>437</v>
      </c>
      <c r="H487" s="13" t="e">
        <f t="shared" si="56"/>
        <v>#N/A</v>
      </c>
      <c r="I487" t="e">
        <f t="shared" si="57"/>
        <v>#N/A</v>
      </c>
      <c r="J487" t="e">
        <f t="shared" si="52"/>
        <v>#N/A</v>
      </c>
      <c r="K487" s="27" t="e">
        <f t="shared" si="53"/>
        <v>#N/A</v>
      </c>
    </row>
    <row r="488" spans="1:11">
      <c r="A488" s="26">
        <v>438</v>
      </c>
      <c r="B488" s="82" t="e">
        <f t="shared" si="54"/>
        <v>#N/A</v>
      </c>
      <c r="C488" s="58" t="e">
        <f t="shared" si="58"/>
        <v>#N/A</v>
      </c>
      <c r="D488" s="83" t="e">
        <f t="shared" si="55"/>
        <v>#N/A</v>
      </c>
      <c r="E488" t="e">
        <f t="shared" si="51"/>
        <v>#N/A</v>
      </c>
      <c r="G488">
        <v>438</v>
      </c>
      <c r="H488" s="13" t="e">
        <f t="shared" si="56"/>
        <v>#N/A</v>
      </c>
      <c r="I488" t="e">
        <f t="shared" si="57"/>
        <v>#N/A</v>
      </c>
      <c r="J488" t="e">
        <f t="shared" si="52"/>
        <v>#N/A</v>
      </c>
      <c r="K488" s="27" t="e">
        <f t="shared" si="53"/>
        <v>#N/A</v>
      </c>
    </row>
    <row r="489" spans="1:11">
      <c r="A489" s="26">
        <v>439</v>
      </c>
      <c r="B489" s="82" t="e">
        <f t="shared" si="54"/>
        <v>#N/A</v>
      </c>
      <c r="C489" s="58" t="e">
        <f t="shared" si="58"/>
        <v>#N/A</v>
      </c>
      <c r="D489" s="83" t="e">
        <f t="shared" si="55"/>
        <v>#N/A</v>
      </c>
      <c r="E489" t="e">
        <f t="shared" si="51"/>
        <v>#N/A</v>
      </c>
      <c r="G489">
        <v>439</v>
      </c>
      <c r="H489" s="13" t="e">
        <f t="shared" si="56"/>
        <v>#N/A</v>
      </c>
      <c r="I489" t="e">
        <f t="shared" si="57"/>
        <v>#N/A</v>
      </c>
      <c r="J489" t="e">
        <f t="shared" si="52"/>
        <v>#N/A</v>
      </c>
      <c r="K489" s="27" t="e">
        <f t="shared" si="53"/>
        <v>#N/A</v>
      </c>
    </row>
    <row r="490" spans="1:11">
      <c r="A490" s="26">
        <v>440</v>
      </c>
      <c r="B490" s="82" t="e">
        <f t="shared" si="54"/>
        <v>#N/A</v>
      </c>
      <c r="C490" s="58" t="e">
        <f t="shared" si="58"/>
        <v>#N/A</v>
      </c>
      <c r="D490" s="83" t="e">
        <f t="shared" si="55"/>
        <v>#N/A</v>
      </c>
      <c r="E490" t="e">
        <f t="shared" si="51"/>
        <v>#N/A</v>
      </c>
      <c r="G490">
        <v>440</v>
      </c>
      <c r="H490" s="13" t="e">
        <f t="shared" si="56"/>
        <v>#N/A</v>
      </c>
      <c r="I490" t="e">
        <f t="shared" si="57"/>
        <v>#N/A</v>
      </c>
      <c r="J490" t="e">
        <f t="shared" si="52"/>
        <v>#N/A</v>
      </c>
      <c r="K490" s="27" t="e">
        <f t="shared" si="53"/>
        <v>#N/A</v>
      </c>
    </row>
    <row r="491" spans="1:11">
      <c r="A491" s="26">
        <v>441</v>
      </c>
      <c r="B491" s="82" t="e">
        <f t="shared" si="54"/>
        <v>#N/A</v>
      </c>
      <c r="C491" s="58" t="e">
        <f t="shared" si="58"/>
        <v>#N/A</v>
      </c>
      <c r="D491" s="83" t="e">
        <f t="shared" si="55"/>
        <v>#N/A</v>
      </c>
      <c r="E491" t="e">
        <f t="shared" si="51"/>
        <v>#N/A</v>
      </c>
      <c r="G491">
        <v>441</v>
      </c>
      <c r="H491" s="13" t="e">
        <f t="shared" si="56"/>
        <v>#N/A</v>
      </c>
      <c r="I491" t="e">
        <f t="shared" si="57"/>
        <v>#N/A</v>
      </c>
      <c r="J491" t="e">
        <f t="shared" si="52"/>
        <v>#N/A</v>
      </c>
      <c r="K491" s="27" t="e">
        <f t="shared" si="53"/>
        <v>#N/A</v>
      </c>
    </row>
    <row r="492" spans="1:11">
      <c r="A492" s="26">
        <v>442</v>
      </c>
      <c r="B492" s="82" t="e">
        <f t="shared" si="54"/>
        <v>#N/A</v>
      </c>
      <c r="C492" s="58" t="e">
        <f t="shared" si="58"/>
        <v>#N/A</v>
      </c>
      <c r="D492" s="83" t="e">
        <f t="shared" si="55"/>
        <v>#N/A</v>
      </c>
      <c r="E492" t="e">
        <f t="shared" si="51"/>
        <v>#N/A</v>
      </c>
      <c r="G492">
        <v>442</v>
      </c>
      <c r="H492" s="13" t="e">
        <f t="shared" si="56"/>
        <v>#N/A</v>
      </c>
      <c r="I492" t="e">
        <f t="shared" si="57"/>
        <v>#N/A</v>
      </c>
      <c r="J492" t="e">
        <f t="shared" si="52"/>
        <v>#N/A</v>
      </c>
      <c r="K492" s="27" t="e">
        <f t="shared" si="53"/>
        <v>#N/A</v>
      </c>
    </row>
    <row r="493" spans="1:11">
      <c r="A493" s="26">
        <v>443</v>
      </c>
      <c r="B493" s="82" t="e">
        <f t="shared" si="54"/>
        <v>#N/A</v>
      </c>
      <c r="C493" s="58" t="e">
        <f t="shared" si="58"/>
        <v>#N/A</v>
      </c>
      <c r="D493" s="83" t="e">
        <f t="shared" si="55"/>
        <v>#N/A</v>
      </c>
      <c r="E493" t="e">
        <f t="shared" si="51"/>
        <v>#N/A</v>
      </c>
      <c r="G493">
        <v>443</v>
      </c>
      <c r="H493" s="13" t="e">
        <f t="shared" si="56"/>
        <v>#N/A</v>
      </c>
      <c r="I493" t="e">
        <f t="shared" si="57"/>
        <v>#N/A</v>
      </c>
      <c r="J493" t="e">
        <f t="shared" si="52"/>
        <v>#N/A</v>
      </c>
      <c r="K493" s="27" t="e">
        <f t="shared" si="53"/>
        <v>#N/A</v>
      </c>
    </row>
    <row r="494" spans="1:11">
      <c r="A494" s="26">
        <v>444</v>
      </c>
      <c r="B494" s="82" t="e">
        <f t="shared" si="54"/>
        <v>#N/A</v>
      </c>
      <c r="C494" s="58" t="e">
        <f t="shared" si="58"/>
        <v>#N/A</v>
      </c>
      <c r="D494" s="83" t="e">
        <f t="shared" si="55"/>
        <v>#N/A</v>
      </c>
      <c r="E494" t="e">
        <f t="shared" si="51"/>
        <v>#N/A</v>
      </c>
      <c r="G494">
        <v>444</v>
      </c>
      <c r="H494" s="13" t="e">
        <f t="shared" si="56"/>
        <v>#N/A</v>
      </c>
      <c r="I494" t="e">
        <f t="shared" si="57"/>
        <v>#N/A</v>
      </c>
      <c r="J494" t="e">
        <f t="shared" si="52"/>
        <v>#N/A</v>
      </c>
      <c r="K494" s="27" t="e">
        <f t="shared" si="53"/>
        <v>#N/A</v>
      </c>
    </row>
    <row r="495" spans="1:11">
      <c r="A495" s="26">
        <v>445</v>
      </c>
      <c r="B495" s="82" t="e">
        <f t="shared" si="54"/>
        <v>#N/A</v>
      </c>
      <c r="C495" s="58" t="e">
        <f t="shared" si="58"/>
        <v>#N/A</v>
      </c>
      <c r="D495" s="83" t="e">
        <f t="shared" si="55"/>
        <v>#N/A</v>
      </c>
      <c r="E495" t="e">
        <f t="shared" si="51"/>
        <v>#N/A</v>
      </c>
      <c r="G495">
        <v>445</v>
      </c>
      <c r="H495" s="13" t="e">
        <f t="shared" si="56"/>
        <v>#N/A</v>
      </c>
      <c r="I495" t="e">
        <f t="shared" si="57"/>
        <v>#N/A</v>
      </c>
      <c r="J495" t="e">
        <f t="shared" si="52"/>
        <v>#N/A</v>
      </c>
      <c r="K495" s="27" t="e">
        <f t="shared" si="53"/>
        <v>#N/A</v>
      </c>
    </row>
    <row r="496" spans="1:11">
      <c r="A496" s="26">
        <v>446</v>
      </c>
      <c r="B496" s="82" t="e">
        <f t="shared" si="54"/>
        <v>#N/A</v>
      </c>
      <c r="C496" s="58" t="e">
        <f t="shared" si="58"/>
        <v>#N/A</v>
      </c>
      <c r="D496" s="83" t="e">
        <f t="shared" si="55"/>
        <v>#N/A</v>
      </c>
      <c r="E496" t="e">
        <f t="shared" si="51"/>
        <v>#N/A</v>
      </c>
      <c r="G496">
        <v>446</v>
      </c>
      <c r="H496" s="13" t="e">
        <f t="shared" si="56"/>
        <v>#N/A</v>
      </c>
      <c r="I496" t="e">
        <f t="shared" si="57"/>
        <v>#N/A</v>
      </c>
      <c r="J496" t="e">
        <f t="shared" si="52"/>
        <v>#N/A</v>
      </c>
      <c r="K496" s="27" t="e">
        <f t="shared" si="53"/>
        <v>#N/A</v>
      </c>
    </row>
    <row r="497" spans="1:11">
      <c r="A497" s="26">
        <v>447</v>
      </c>
      <c r="B497" s="82" t="e">
        <f t="shared" si="54"/>
        <v>#N/A</v>
      </c>
      <c r="C497" s="58" t="e">
        <f t="shared" si="58"/>
        <v>#N/A</v>
      </c>
      <c r="D497" s="83" t="e">
        <f t="shared" si="55"/>
        <v>#N/A</v>
      </c>
      <c r="E497" t="e">
        <f t="shared" si="51"/>
        <v>#N/A</v>
      </c>
      <c r="G497">
        <v>447</v>
      </c>
      <c r="H497" s="13" t="e">
        <f t="shared" si="56"/>
        <v>#N/A</v>
      </c>
      <c r="I497" t="e">
        <f t="shared" si="57"/>
        <v>#N/A</v>
      </c>
      <c r="J497" t="e">
        <f t="shared" si="52"/>
        <v>#N/A</v>
      </c>
      <c r="K497" s="27" t="e">
        <f t="shared" si="53"/>
        <v>#N/A</v>
      </c>
    </row>
    <row r="498" spans="1:11">
      <c r="A498" s="26">
        <v>448</v>
      </c>
      <c r="B498" s="82" t="e">
        <f t="shared" si="54"/>
        <v>#N/A</v>
      </c>
      <c r="C498" s="58" t="e">
        <f t="shared" si="58"/>
        <v>#N/A</v>
      </c>
      <c r="D498" s="83" t="e">
        <f t="shared" si="55"/>
        <v>#N/A</v>
      </c>
      <c r="E498" t="e">
        <f t="shared" si="51"/>
        <v>#N/A</v>
      </c>
      <c r="G498">
        <v>448</v>
      </c>
      <c r="H498" s="13" t="e">
        <f t="shared" si="56"/>
        <v>#N/A</v>
      </c>
      <c r="I498" t="e">
        <f t="shared" si="57"/>
        <v>#N/A</v>
      </c>
      <c r="J498" t="e">
        <f t="shared" si="52"/>
        <v>#N/A</v>
      </c>
      <c r="K498" s="27" t="e">
        <f t="shared" si="53"/>
        <v>#N/A</v>
      </c>
    </row>
    <row r="499" spans="1:11">
      <c r="A499" s="26">
        <v>449</v>
      </c>
      <c r="B499" s="82" t="e">
        <f t="shared" si="54"/>
        <v>#N/A</v>
      </c>
      <c r="C499" s="58" t="e">
        <f t="shared" si="58"/>
        <v>#N/A</v>
      </c>
      <c r="D499" s="83" t="e">
        <f t="shared" si="55"/>
        <v>#N/A</v>
      </c>
      <c r="E499" t="e">
        <f t="shared" ref="E499:E562" si="59">((D499^2)+(D499*D500)+(D500^2))*B500/3</f>
        <v>#N/A</v>
      </c>
      <c r="G499">
        <v>449</v>
      </c>
      <c r="H499" s="13" t="e">
        <f t="shared" si="56"/>
        <v>#N/A</v>
      </c>
      <c r="I499" t="e">
        <f t="shared" si="57"/>
        <v>#N/A</v>
      </c>
      <c r="J499" t="e">
        <f t="shared" ref="J499:J562" si="60">IF($G$28&lt;$C$14,0,((($C$11^2)-((I499-$C$13)^2))^0.5)+$C$16)</f>
        <v>#N/A</v>
      </c>
      <c r="K499" s="27" t="e">
        <f t="shared" ref="K499:K562" si="61">((J499^2)+(J499*J500)+(J500^2))*H500/3</f>
        <v>#N/A</v>
      </c>
    </row>
    <row r="500" spans="1:11">
      <c r="A500" s="26">
        <v>450</v>
      </c>
      <c r="B500" s="82" t="e">
        <f t="shared" ref="B500:B563" si="62">C500-C499</f>
        <v>#N/A</v>
      </c>
      <c r="C500" s="58" t="e">
        <f t="shared" si="58"/>
        <v>#N/A</v>
      </c>
      <c r="D500" s="83" t="e">
        <f t="shared" ref="D500:D563" si="63">IF($G$28&lt;$C$14,0,((($C$11^2)-((C500-$C$13)^2))^0.5)+$C$16)</f>
        <v>#N/A</v>
      </c>
      <c r="E500" t="e">
        <f t="shared" si="59"/>
        <v>#N/A</v>
      </c>
      <c r="G500">
        <v>450</v>
      </c>
      <c r="H500" s="13" t="e">
        <f t="shared" ref="H500:H563" si="64">I500-I499</f>
        <v>#N/A</v>
      </c>
      <c r="I500" t="e">
        <f t="shared" ref="I500:I563" si="65">($G$27-$C$14)/2000+I499</f>
        <v>#N/A</v>
      </c>
      <c r="J500" t="e">
        <f t="shared" si="60"/>
        <v>#N/A</v>
      </c>
      <c r="K500" s="27" t="e">
        <f t="shared" si="61"/>
        <v>#N/A</v>
      </c>
    </row>
    <row r="501" spans="1:11">
      <c r="A501" s="26">
        <v>451</v>
      </c>
      <c r="B501" s="82" t="e">
        <f t="shared" si="62"/>
        <v>#N/A</v>
      </c>
      <c r="C501" s="58" t="e">
        <f t="shared" si="58"/>
        <v>#N/A</v>
      </c>
      <c r="D501" s="83" t="e">
        <f t="shared" si="63"/>
        <v>#N/A</v>
      </c>
      <c r="E501" t="e">
        <f t="shared" si="59"/>
        <v>#N/A</v>
      </c>
      <c r="G501">
        <v>451</v>
      </c>
      <c r="H501" s="13" t="e">
        <f t="shared" si="64"/>
        <v>#N/A</v>
      </c>
      <c r="I501" t="e">
        <f t="shared" si="65"/>
        <v>#N/A</v>
      </c>
      <c r="J501" t="e">
        <f t="shared" si="60"/>
        <v>#N/A</v>
      </c>
      <c r="K501" s="27" t="e">
        <f t="shared" si="61"/>
        <v>#N/A</v>
      </c>
    </row>
    <row r="502" spans="1:11">
      <c r="A502" s="26">
        <v>452</v>
      </c>
      <c r="B502" s="82" t="e">
        <f t="shared" si="62"/>
        <v>#N/A</v>
      </c>
      <c r="C502" s="58" t="e">
        <f t="shared" si="58"/>
        <v>#N/A</v>
      </c>
      <c r="D502" s="83" t="e">
        <f t="shared" si="63"/>
        <v>#N/A</v>
      </c>
      <c r="E502" t="e">
        <f t="shared" si="59"/>
        <v>#N/A</v>
      </c>
      <c r="G502">
        <v>452</v>
      </c>
      <c r="H502" s="13" t="e">
        <f t="shared" si="64"/>
        <v>#N/A</v>
      </c>
      <c r="I502" t="e">
        <f t="shared" si="65"/>
        <v>#N/A</v>
      </c>
      <c r="J502" t="e">
        <f t="shared" si="60"/>
        <v>#N/A</v>
      </c>
      <c r="K502" s="27" t="e">
        <f t="shared" si="61"/>
        <v>#N/A</v>
      </c>
    </row>
    <row r="503" spans="1:11">
      <c r="A503" s="26">
        <v>453</v>
      </c>
      <c r="B503" s="82" t="e">
        <f t="shared" si="62"/>
        <v>#N/A</v>
      </c>
      <c r="C503" s="58" t="e">
        <f t="shared" si="58"/>
        <v>#N/A</v>
      </c>
      <c r="D503" s="83" t="e">
        <f t="shared" si="63"/>
        <v>#N/A</v>
      </c>
      <c r="E503" t="e">
        <f t="shared" si="59"/>
        <v>#N/A</v>
      </c>
      <c r="G503">
        <v>453</v>
      </c>
      <c r="H503" s="13" t="e">
        <f t="shared" si="64"/>
        <v>#N/A</v>
      </c>
      <c r="I503" t="e">
        <f t="shared" si="65"/>
        <v>#N/A</v>
      </c>
      <c r="J503" t="e">
        <f t="shared" si="60"/>
        <v>#N/A</v>
      </c>
      <c r="K503" s="27" t="e">
        <f t="shared" si="61"/>
        <v>#N/A</v>
      </c>
    </row>
    <row r="504" spans="1:11">
      <c r="A504" s="26">
        <v>454</v>
      </c>
      <c r="B504" s="82" t="e">
        <f t="shared" si="62"/>
        <v>#N/A</v>
      </c>
      <c r="C504" s="58" t="e">
        <f t="shared" si="58"/>
        <v>#N/A</v>
      </c>
      <c r="D504" s="83" t="e">
        <f t="shared" si="63"/>
        <v>#N/A</v>
      </c>
      <c r="E504" t="e">
        <f t="shared" si="59"/>
        <v>#N/A</v>
      </c>
      <c r="G504">
        <v>454</v>
      </c>
      <c r="H504" s="13" t="e">
        <f t="shared" si="64"/>
        <v>#N/A</v>
      </c>
      <c r="I504" t="e">
        <f t="shared" si="65"/>
        <v>#N/A</v>
      </c>
      <c r="J504" t="e">
        <f t="shared" si="60"/>
        <v>#N/A</v>
      </c>
      <c r="K504" s="27" t="e">
        <f t="shared" si="61"/>
        <v>#N/A</v>
      </c>
    </row>
    <row r="505" spans="1:11">
      <c r="A505" s="26">
        <v>455</v>
      </c>
      <c r="B505" s="82" t="e">
        <f t="shared" si="62"/>
        <v>#N/A</v>
      </c>
      <c r="C505" s="58" t="e">
        <f t="shared" si="58"/>
        <v>#N/A</v>
      </c>
      <c r="D505" s="83" t="e">
        <f t="shared" si="63"/>
        <v>#N/A</v>
      </c>
      <c r="E505" t="e">
        <f t="shared" si="59"/>
        <v>#N/A</v>
      </c>
      <c r="G505">
        <v>455</v>
      </c>
      <c r="H505" s="13" t="e">
        <f t="shared" si="64"/>
        <v>#N/A</v>
      </c>
      <c r="I505" t="e">
        <f t="shared" si="65"/>
        <v>#N/A</v>
      </c>
      <c r="J505" t="e">
        <f t="shared" si="60"/>
        <v>#N/A</v>
      </c>
      <c r="K505" s="27" t="e">
        <f t="shared" si="61"/>
        <v>#N/A</v>
      </c>
    </row>
    <row r="506" spans="1:11">
      <c r="A506" s="26">
        <v>456</v>
      </c>
      <c r="B506" s="82" t="e">
        <f t="shared" si="62"/>
        <v>#N/A</v>
      </c>
      <c r="C506" s="58" t="e">
        <f t="shared" si="58"/>
        <v>#N/A</v>
      </c>
      <c r="D506" s="83" t="e">
        <f t="shared" si="63"/>
        <v>#N/A</v>
      </c>
      <c r="E506" t="e">
        <f t="shared" si="59"/>
        <v>#N/A</v>
      </c>
      <c r="G506">
        <v>456</v>
      </c>
      <c r="H506" s="13" t="e">
        <f t="shared" si="64"/>
        <v>#N/A</v>
      </c>
      <c r="I506" t="e">
        <f t="shared" si="65"/>
        <v>#N/A</v>
      </c>
      <c r="J506" t="e">
        <f t="shared" si="60"/>
        <v>#N/A</v>
      </c>
      <c r="K506" s="27" t="e">
        <f t="shared" si="61"/>
        <v>#N/A</v>
      </c>
    </row>
    <row r="507" spans="1:11">
      <c r="A507" s="26">
        <v>457</v>
      </c>
      <c r="B507" s="82" t="e">
        <f t="shared" si="62"/>
        <v>#N/A</v>
      </c>
      <c r="C507" s="58" t="e">
        <f t="shared" si="58"/>
        <v>#N/A</v>
      </c>
      <c r="D507" s="83" t="e">
        <f t="shared" si="63"/>
        <v>#N/A</v>
      </c>
      <c r="E507" t="e">
        <f t="shared" si="59"/>
        <v>#N/A</v>
      </c>
      <c r="G507">
        <v>457</v>
      </c>
      <c r="H507" s="13" t="e">
        <f t="shared" si="64"/>
        <v>#N/A</v>
      </c>
      <c r="I507" t="e">
        <f t="shared" si="65"/>
        <v>#N/A</v>
      </c>
      <c r="J507" t="e">
        <f t="shared" si="60"/>
        <v>#N/A</v>
      </c>
      <c r="K507" s="27" t="e">
        <f t="shared" si="61"/>
        <v>#N/A</v>
      </c>
    </row>
    <row r="508" spans="1:11">
      <c r="A508" s="26">
        <v>458</v>
      </c>
      <c r="B508" s="82" t="e">
        <f t="shared" si="62"/>
        <v>#N/A</v>
      </c>
      <c r="C508" s="58" t="e">
        <f t="shared" si="58"/>
        <v>#N/A</v>
      </c>
      <c r="D508" s="83" t="e">
        <f t="shared" si="63"/>
        <v>#N/A</v>
      </c>
      <c r="E508" t="e">
        <f t="shared" si="59"/>
        <v>#N/A</v>
      </c>
      <c r="G508">
        <v>458</v>
      </c>
      <c r="H508" s="13" t="e">
        <f t="shared" si="64"/>
        <v>#N/A</v>
      </c>
      <c r="I508" t="e">
        <f t="shared" si="65"/>
        <v>#N/A</v>
      </c>
      <c r="J508" t="e">
        <f t="shared" si="60"/>
        <v>#N/A</v>
      </c>
      <c r="K508" s="27" t="e">
        <f t="shared" si="61"/>
        <v>#N/A</v>
      </c>
    </row>
    <row r="509" spans="1:11">
      <c r="A509" s="26">
        <v>459</v>
      </c>
      <c r="B509" s="82" t="e">
        <f t="shared" si="62"/>
        <v>#N/A</v>
      </c>
      <c r="C509" s="58" t="e">
        <f t="shared" si="58"/>
        <v>#N/A</v>
      </c>
      <c r="D509" s="83" t="e">
        <f t="shared" si="63"/>
        <v>#N/A</v>
      </c>
      <c r="E509" t="e">
        <f t="shared" si="59"/>
        <v>#N/A</v>
      </c>
      <c r="G509">
        <v>459</v>
      </c>
      <c r="H509" s="13" t="e">
        <f t="shared" si="64"/>
        <v>#N/A</v>
      </c>
      <c r="I509" t="e">
        <f t="shared" si="65"/>
        <v>#N/A</v>
      </c>
      <c r="J509" t="e">
        <f t="shared" si="60"/>
        <v>#N/A</v>
      </c>
      <c r="K509" s="27" t="e">
        <f t="shared" si="61"/>
        <v>#N/A</v>
      </c>
    </row>
    <row r="510" spans="1:11">
      <c r="A510" s="26">
        <v>460</v>
      </c>
      <c r="B510" s="82" t="e">
        <f t="shared" si="62"/>
        <v>#N/A</v>
      </c>
      <c r="C510" s="58" t="e">
        <f t="shared" si="58"/>
        <v>#N/A</v>
      </c>
      <c r="D510" s="83" t="e">
        <f t="shared" si="63"/>
        <v>#N/A</v>
      </c>
      <c r="E510" t="e">
        <f t="shared" si="59"/>
        <v>#N/A</v>
      </c>
      <c r="G510">
        <v>460</v>
      </c>
      <c r="H510" s="13" t="e">
        <f t="shared" si="64"/>
        <v>#N/A</v>
      </c>
      <c r="I510" t="e">
        <f t="shared" si="65"/>
        <v>#N/A</v>
      </c>
      <c r="J510" t="e">
        <f t="shared" si="60"/>
        <v>#N/A</v>
      </c>
      <c r="K510" s="27" t="e">
        <f t="shared" si="61"/>
        <v>#N/A</v>
      </c>
    </row>
    <row r="511" spans="1:11">
      <c r="A511" s="26">
        <v>461</v>
      </c>
      <c r="B511" s="82" t="e">
        <f t="shared" si="62"/>
        <v>#N/A</v>
      </c>
      <c r="C511" s="58" t="e">
        <f t="shared" si="58"/>
        <v>#N/A</v>
      </c>
      <c r="D511" s="83" t="e">
        <f t="shared" si="63"/>
        <v>#N/A</v>
      </c>
      <c r="E511" t="e">
        <f t="shared" si="59"/>
        <v>#N/A</v>
      </c>
      <c r="G511">
        <v>461</v>
      </c>
      <c r="H511" s="13" t="e">
        <f t="shared" si="64"/>
        <v>#N/A</v>
      </c>
      <c r="I511" t="e">
        <f t="shared" si="65"/>
        <v>#N/A</v>
      </c>
      <c r="J511" t="e">
        <f t="shared" si="60"/>
        <v>#N/A</v>
      </c>
      <c r="K511" s="27" t="e">
        <f t="shared" si="61"/>
        <v>#N/A</v>
      </c>
    </row>
    <row r="512" spans="1:11">
      <c r="A512" s="26">
        <v>462</v>
      </c>
      <c r="B512" s="82" t="e">
        <f t="shared" si="62"/>
        <v>#N/A</v>
      </c>
      <c r="C512" s="58" t="e">
        <f t="shared" si="58"/>
        <v>#N/A</v>
      </c>
      <c r="D512" s="83" t="e">
        <f t="shared" si="63"/>
        <v>#N/A</v>
      </c>
      <c r="E512" t="e">
        <f t="shared" si="59"/>
        <v>#N/A</v>
      </c>
      <c r="G512">
        <v>462</v>
      </c>
      <c r="H512" s="13" t="e">
        <f t="shared" si="64"/>
        <v>#N/A</v>
      </c>
      <c r="I512" t="e">
        <f t="shared" si="65"/>
        <v>#N/A</v>
      </c>
      <c r="J512" t="e">
        <f t="shared" si="60"/>
        <v>#N/A</v>
      </c>
      <c r="K512" s="27" t="e">
        <f t="shared" si="61"/>
        <v>#N/A</v>
      </c>
    </row>
    <row r="513" spans="1:11">
      <c r="A513" s="26">
        <v>463</v>
      </c>
      <c r="B513" s="82" t="e">
        <f t="shared" si="62"/>
        <v>#N/A</v>
      </c>
      <c r="C513" s="58" t="e">
        <f t="shared" si="58"/>
        <v>#N/A</v>
      </c>
      <c r="D513" s="83" t="e">
        <f t="shared" si="63"/>
        <v>#N/A</v>
      </c>
      <c r="E513" t="e">
        <f t="shared" si="59"/>
        <v>#N/A</v>
      </c>
      <c r="G513">
        <v>463</v>
      </c>
      <c r="H513" s="13" t="e">
        <f t="shared" si="64"/>
        <v>#N/A</v>
      </c>
      <c r="I513" t="e">
        <f t="shared" si="65"/>
        <v>#N/A</v>
      </c>
      <c r="J513" t="e">
        <f t="shared" si="60"/>
        <v>#N/A</v>
      </c>
      <c r="K513" s="27" t="e">
        <f t="shared" si="61"/>
        <v>#N/A</v>
      </c>
    </row>
    <row r="514" spans="1:11">
      <c r="A514" s="26">
        <v>464</v>
      </c>
      <c r="B514" s="82" t="e">
        <f t="shared" si="62"/>
        <v>#N/A</v>
      </c>
      <c r="C514" s="58" t="e">
        <f t="shared" si="58"/>
        <v>#N/A</v>
      </c>
      <c r="D514" s="83" t="e">
        <f t="shared" si="63"/>
        <v>#N/A</v>
      </c>
      <c r="E514" t="e">
        <f t="shared" si="59"/>
        <v>#N/A</v>
      </c>
      <c r="G514">
        <v>464</v>
      </c>
      <c r="H514" s="13" t="e">
        <f t="shared" si="64"/>
        <v>#N/A</v>
      </c>
      <c r="I514" t="e">
        <f t="shared" si="65"/>
        <v>#N/A</v>
      </c>
      <c r="J514" t="e">
        <f t="shared" si="60"/>
        <v>#N/A</v>
      </c>
      <c r="K514" s="27" t="e">
        <f t="shared" si="61"/>
        <v>#N/A</v>
      </c>
    </row>
    <row r="515" spans="1:11">
      <c r="A515" s="26">
        <v>465</v>
      </c>
      <c r="B515" s="82" t="e">
        <f t="shared" si="62"/>
        <v>#N/A</v>
      </c>
      <c r="C515" s="58" t="e">
        <f t="shared" si="58"/>
        <v>#N/A</v>
      </c>
      <c r="D515" s="83" t="e">
        <f t="shared" si="63"/>
        <v>#N/A</v>
      </c>
      <c r="E515" t="e">
        <f t="shared" si="59"/>
        <v>#N/A</v>
      </c>
      <c r="G515">
        <v>465</v>
      </c>
      <c r="H515" s="13" t="e">
        <f t="shared" si="64"/>
        <v>#N/A</v>
      </c>
      <c r="I515" t="e">
        <f t="shared" si="65"/>
        <v>#N/A</v>
      </c>
      <c r="J515" t="e">
        <f t="shared" si="60"/>
        <v>#N/A</v>
      </c>
      <c r="K515" s="27" t="e">
        <f t="shared" si="61"/>
        <v>#N/A</v>
      </c>
    </row>
    <row r="516" spans="1:11">
      <c r="A516" s="26">
        <v>466</v>
      </c>
      <c r="B516" s="82" t="e">
        <f t="shared" si="62"/>
        <v>#N/A</v>
      </c>
      <c r="C516" s="58" t="e">
        <f t="shared" si="58"/>
        <v>#N/A</v>
      </c>
      <c r="D516" s="83" t="e">
        <f t="shared" si="63"/>
        <v>#N/A</v>
      </c>
      <c r="E516" t="e">
        <f t="shared" si="59"/>
        <v>#N/A</v>
      </c>
      <c r="G516">
        <v>466</v>
      </c>
      <c r="H516" s="13" t="e">
        <f t="shared" si="64"/>
        <v>#N/A</v>
      </c>
      <c r="I516" t="e">
        <f t="shared" si="65"/>
        <v>#N/A</v>
      </c>
      <c r="J516" t="e">
        <f t="shared" si="60"/>
        <v>#N/A</v>
      </c>
      <c r="K516" s="27" t="e">
        <f t="shared" si="61"/>
        <v>#N/A</v>
      </c>
    </row>
    <row r="517" spans="1:11">
      <c r="A517" s="26">
        <v>467</v>
      </c>
      <c r="B517" s="82" t="e">
        <f t="shared" si="62"/>
        <v>#N/A</v>
      </c>
      <c r="C517" s="58" t="e">
        <f t="shared" si="58"/>
        <v>#N/A</v>
      </c>
      <c r="D517" s="83" t="e">
        <f t="shared" si="63"/>
        <v>#N/A</v>
      </c>
      <c r="E517" t="e">
        <f t="shared" si="59"/>
        <v>#N/A</v>
      </c>
      <c r="G517">
        <v>467</v>
      </c>
      <c r="H517" s="13" t="e">
        <f t="shared" si="64"/>
        <v>#N/A</v>
      </c>
      <c r="I517" t="e">
        <f t="shared" si="65"/>
        <v>#N/A</v>
      </c>
      <c r="J517" t="e">
        <f t="shared" si="60"/>
        <v>#N/A</v>
      </c>
      <c r="K517" s="27" t="e">
        <f t="shared" si="61"/>
        <v>#N/A</v>
      </c>
    </row>
    <row r="518" spans="1:11">
      <c r="A518" s="26">
        <v>468</v>
      </c>
      <c r="B518" s="82" t="e">
        <f t="shared" si="62"/>
        <v>#N/A</v>
      </c>
      <c r="C518" s="58" t="e">
        <f t="shared" si="58"/>
        <v>#N/A</v>
      </c>
      <c r="D518" s="83" t="e">
        <f t="shared" si="63"/>
        <v>#N/A</v>
      </c>
      <c r="E518" t="e">
        <f t="shared" si="59"/>
        <v>#N/A</v>
      </c>
      <c r="G518">
        <v>468</v>
      </c>
      <c r="H518" s="13" t="e">
        <f t="shared" si="64"/>
        <v>#N/A</v>
      </c>
      <c r="I518" t="e">
        <f t="shared" si="65"/>
        <v>#N/A</v>
      </c>
      <c r="J518" t="e">
        <f t="shared" si="60"/>
        <v>#N/A</v>
      </c>
      <c r="K518" s="27" t="e">
        <f t="shared" si="61"/>
        <v>#N/A</v>
      </c>
    </row>
    <row r="519" spans="1:11">
      <c r="A519" s="26">
        <v>469</v>
      </c>
      <c r="B519" s="82" t="e">
        <f t="shared" si="62"/>
        <v>#N/A</v>
      </c>
      <c r="C519" s="58" t="e">
        <f t="shared" si="58"/>
        <v>#N/A</v>
      </c>
      <c r="D519" s="83" t="e">
        <f t="shared" si="63"/>
        <v>#N/A</v>
      </c>
      <c r="E519" t="e">
        <f t="shared" si="59"/>
        <v>#N/A</v>
      </c>
      <c r="G519">
        <v>469</v>
      </c>
      <c r="H519" s="13" t="e">
        <f t="shared" si="64"/>
        <v>#N/A</v>
      </c>
      <c r="I519" t="e">
        <f t="shared" si="65"/>
        <v>#N/A</v>
      </c>
      <c r="J519" t="e">
        <f t="shared" si="60"/>
        <v>#N/A</v>
      </c>
      <c r="K519" s="27" t="e">
        <f t="shared" si="61"/>
        <v>#N/A</v>
      </c>
    </row>
    <row r="520" spans="1:11">
      <c r="A520" s="26">
        <v>470</v>
      </c>
      <c r="B520" s="82" t="e">
        <f t="shared" si="62"/>
        <v>#N/A</v>
      </c>
      <c r="C520" s="58" t="e">
        <f t="shared" si="58"/>
        <v>#N/A</v>
      </c>
      <c r="D520" s="83" t="e">
        <f t="shared" si="63"/>
        <v>#N/A</v>
      </c>
      <c r="E520" t="e">
        <f t="shared" si="59"/>
        <v>#N/A</v>
      </c>
      <c r="G520">
        <v>470</v>
      </c>
      <c r="H520" s="13" t="e">
        <f t="shared" si="64"/>
        <v>#N/A</v>
      </c>
      <c r="I520" t="e">
        <f t="shared" si="65"/>
        <v>#N/A</v>
      </c>
      <c r="J520" t="e">
        <f t="shared" si="60"/>
        <v>#N/A</v>
      </c>
      <c r="K520" s="27" t="e">
        <f t="shared" si="61"/>
        <v>#N/A</v>
      </c>
    </row>
    <row r="521" spans="1:11">
      <c r="A521" s="26">
        <v>471</v>
      </c>
      <c r="B521" s="82" t="e">
        <f t="shared" si="62"/>
        <v>#N/A</v>
      </c>
      <c r="C521" s="58" t="e">
        <f t="shared" si="58"/>
        <v>#N/A</v>
      </c>
      <c r="D521" s="83" t="e">
        <f t="shared" si="63"/>
        <v>#N/A</v>
      </c>
      <c r="E521" t="e">
        <f t="shared" si="59"/>
        <v>#N/A</v>
      </c>
      <c r="G521">
        <v>471</v>
      </c>
      <c r="H521" s="13" t="e">
        <f t="shared" si="64"/>
        <v>#N/A</v>
      </c>
      <c r="I521" t="e">
        <f t="shared" si="65"/>
        <v>#N/A</v>
      </c>
      <c r="J521" t="e">
        <f t="shared" si="60"/>
        <v>#N/A</v>
      </c>
      <c r="K521" s="27" t="e">
        <f t="shared" si="61"/>
        <v>#N/A</v>
      </c>
    </row>
    <row r="522" spans="1:11">
      <c r="A522" s="26">
        <v>472</v>
      </c>
      <c r="B522" s="82" t="e">
        <f t="shared" si="62"/>
        <v>#N/A</v>
      </c>
      <c r="C522" s="58" t="e">
        <f t="shared" si="58"/>
        <v>#N/A</v>
      </c>
      <c r="D522" s="83" t="e">
        <f t="shared" si="63"/>
        <v>#N/A</v>
      </c>
      <c r="E522" t="e">
        <f t="shared" si="59"/>
        <v>#N/A</v>
      </c>
      <c r="G522">
        <v>472</v>
      </c>
      <c r="H522" s="13" t="e">
        <f t="shared" si="64"/>
        <v>#N/A</v>
      </c>
      <c r="I522" t="e">
        <f t="shared" si="65"/>
        <v>#N/A</v>
      </c>
      <c r="J522" t="e">
        <f t="shared" si="60"/>
        <v>#N/A</v>
      </c>
      <c r="K522" s="27" t="e">
        <f t="shared" si="61"/>
        <v>#N/A</v>
      </c>
    </row>
    <row r="523" spans="1:11">
      <c r="A523" s="26">
        <v>473</v>
      </c>
      <c r="B523" s="82" t="e">
        <f t="shared" si="62"/>
        <v>#N/A</v>
      </c>
      <c r="C523" s="58" t="e">
        <f t="shared" si="58"/>
        <v>#N/A</v>
      </c>
      <c r="D523" s="83" t="e">
        <f t="shared" si="63"/>
        <v>#N/A</v>
      </c>
      <c r="E523" t="e">
        <f t="shared" si="59"/>
        <v>#N/A</v>
      </c>
      <c r="G523">
        <v>473</v>
      </c>
      <c r="H523" s="13" t="e">
        <f t="shared" si="64"/>
        <v>#N/A</v>
      </c>
      <c r="I523" t="e">
        <f t="shared" si="65"/>
        <v>#N/A</v>
      </c>
      <c r="J523" t="e">
        <f t="shared" si="60"/>
        <v>#N/A</v>
      </c>
      <c r="K523" s="27" t="e">
        <f t="shared" si="61"/>
        <v>#N/A</v>
      </c>
    </row>
    <row r="524" spans="1:11">
      <c r="A524" s="26">
        <v>474</v>
      </c>
      <c r="B524" s="82" t="e">
        <f t="shared" si="62"/>
        <v>#N/A</v>
      </c>
      <c r="C524" s="58" t="e">
        <f t="shared" si="58"/>
        <v>#N/A</v>
      </c>
      <c r="D524" s="83" t="e">
        <f t="shared" si="63"/>
        <v>#N/A</v>
      </c>
      <c r="E524" t="e">
        <f t="shared" si="59"/>
        <v>#N/A</v>
      </c>
      <c r="G524">
        <v>474</v>
      </c>
      <c r="H524" s="13" t="e">
        <f t="shared" si="64"/>
        <v>#N/A</v>
      </c>
      <c r="I524" t="e">
        <f t="shared" si="65"/>
        <v>#N/A</v>
      </c>
      <c r="J524" t="e">
        <f t="shared" si="60"/>
        <v>#N/A</v>
      </c>
      <c r="K524" s="27" t="e">
        <f t="shared" si="61"/>
        <v>#N/A</v>
      </c>
    </row>
    <row r="525" spans="1:11">
      <c r="A525" s="26">
        <v>475</v>
      </c>
      <c r="B525" s="82" t="e">
        <f t="shared" si="62"/>
        <v>#N/A</v>
      </c>
      <c r="C525" s="58" t="e">
        <f t="shared" si="58"/>
        <v>#N/A</v>
      </c>
      <c r="D525" s="83" t="e">
        <f t="shared" si="63"/>
        <v>#N/A</v>
      </c>
      <c r="E525" t="e">
        <f t="shared" si="59"/>
        <v>#N/A</v>
      </c>
      <c r="G525">
        <v>475</v>
      </c>
      <c r="H525" s="13" t="e">
        <f t="shared" si="64"/>
        <v>#N/A</v>
      </c>
      <c r="I525" t="e">
        <f t="shared" si="65"/>
        <v>#N/A</v>
      </c>
      <c r="J525" t="e">
        <f t="shared" si="60"/>
        <v>#N/A</v>
      </c>
      <c r="K525" s="27" t="e">
        <f t="shared" si="61"/>
        <v>#N/A</v>
      </c>
    </row>
    <row r="526" spans="1:11">
      <c r="A526" s="26">
        <v>476</v>
      </c>
      <c r="B526" s="82" t="e">
        <f t="shared" si="62"/>
        <v>#N/A</v>
      </c>
      <c r="C526" s="58" t="e">
        <f t="shared" si="58"/>
        <v>#N/A</v>
      </c>
      <c r="D526" s="83" t="e">
        <f t="shared" si="63"/>
        <v>#N/A</v>
      </c>
      <c r="E526" t="e">
        <f t="shared" si="59"/>
        <v>#N/A</v>
      </c>
      <c r="G526">
        <v>476</v>
      </c>
      <c r="H526" s="13" t="e">
        <f t="shared" si="64"/>
        <v>#N/A</v>
      </c>
      <c r="I526" t="e">
        <f t="shared" si="65"/>
        <v>#N/A</v>
      </c>
      <c r="J526" t="e">
        <f t="shared" si="60"/>
        <v>#N/A</v>
      </c>
      <c r="K526" s="27" t="e">
        <f t="shared" si="61"/>
        <v>#N/A</v>
      </c>
    </row>
    <row r="527" spans="1:11">
      <c r="A527" s="26">
        <v>477</v>
      </c>
      <c r="B527" s="82" t="e">
        <f t="shared" si="62"/>
        <v>#N/A</v>
      </c>
      <c r="C527" s="58" t="e">
        <f t="shared" si="58"/>
        <v>#N/A</v>
      </c>
      <c r="D527" s="83" t="e">
        <f t="shared" si="63"/>
        <v>#N/A</v>
      </c>
      <c r="E527" t="e">
        <f t="shared" si="59"/>
        <v>#N/A</v>
      </c>
      <c r="G527">
        <v>477</v>
      </c>
      <c r="H527" s="13" t="e">
        <f t="shared" si="64"/>
        <v>#N/A</v>
      </c>
      <c r="I527" t="e">
        <f t="shared" si="65"/>
        <v>#N/A</v>
      </c>
      <c r="J527" t="e">
        <f t="shared" si="60"/>
        <v>#N/A</v>
      </c>
      <c r="K527" s="27" t="e">
        <f t="shared" si="61"/>
        <v>#N/A</v>
      </c>
    </row>
    <row r="528" spans="1:11">
      <c r="A528" s="26">
        <v>478</v>
      </c>
      <c r="B528" s="82" t="e">
        <f t="shared" si="62"/>
        <v>#N/A</v>
      </c>
      <c r="C528" s="58" t="e">
        <f t="shared" ref="C528:C591" si="66">($C$37-$C$36)/2000+C527</f>
        <v>#N/A</v>
      </c>
      <c r="D528" s="83" t="e">
        <f t="shared" si="63"/>
        <v>#N/A</v>
      </c>
      <c r="E528" t="e">
        <f t="shared" si="59"/>
        <v>#N/A</v>
      </c>
      <c r="G528">
        <v>478</v>
      </c>
      <c r="H528" s="13" t="e">
        <f t="shared" si="64"/>
        <v>#N/A</v>
      </c>
      <c r="I528" t="e">
        <f t="shared" si="65"/>
        <v>#N/A</v>
      </c>
      <c r="J528" t="e">
        <f t="shared" si="60"/>
        <v>#N/A</v>
      </c>
      <c r="K528" s="27" t="e">
        <f t="shared" si="61"/>
        <v>#N/A</v>
      </c>
    </row>
    <row r="529" spans="1:11">
      <c r="A529" s="26">
        <v>479</v>
      </c>
      <c r="B529" s="82" t="e">
        <f t="shared" si="62"/>
        <v>#N/A</v>
      </c>
      <c r="C529" s="58" t="e">
        <f t="shared" si="66"/>
        <v>#N/A</v>
      </c>
      <c r="D529" s="83" t="e">
        <f t="shared" si="63"/>
        <v>#N/A</v>
      </c>
      <c r="E529" t="e">
        <f t="shared" si="59"/>
        <v>#N/A</v>
      </c>
      <c r="G529">
        <v>479</v>
      </c>
      <c r="H529" s="13" t="e">
        <f t="shared" si="64"/>
        <v>#N/A</v>
      </c>
      <c r="I529" t="e">
        <f t="shared" si="65"/>
        <v>#N/A</v>
      </c>
      <c r="J529" t="e">
        <f t="shared" si="60"/>
        <v>#N/A</v>
      </c>
      <c r="K529" s="27" t="e">
        <f t="shared" si="61"/>
        <v>#N/A</v>
      </c>
    </row>
    <row r="530" spans="1:11">
      <c r="A530" s="26">
        <v>480</v>
      </c>
      <c r="B530" s="82" t="e">
        <f t="shared" si="62"/>
        <v>#N/A</v>
      </c>
      <c r="C530" s="58" t="e">
        <f t="shared" si="66"/>
        <v>#N/A</v>
      </c>
      <c r="D530" s="83" t="e">
        <f t="shared" si="63"/>
        <v>#N/A</v>
      </c>
      <c r="E530" t="e">
        <f t="shared" si="59"/>
        <v>#N/A</v>
      </c>
      <c r="G530">
        <v>480</v>
      </c>
      <c r="H530" s="13" t="e">
        <f t="shared" si="64"/>
        <v>#N/A</v>
      </c>
      <c r="I530" t="e">
        <f t="shared" si="65"/>
        <v>#N/A</v>
      </c>
      <c r="J530" t="e">
        <f t="shared" si="60"/>
        <v>#N/A</v>
      </c>
      <c r="K530" s="27" t="e">
        <f t="shared" si="61"/>
        <v>#N/A</v>
      </c>
    </row>
    <row r="531" spans="1:11">
      <c r="A531" s="26">
        <v>481</v>
      </c>
      <c r="B531" s="82" t="e">
        <f t="shared" si="62"/>
        <v>#N/A</v>
      </c>
      <c r="C531" s="58" t="e">
        <f t="shared" si="66"/>
        <v>#N/A</v>
      </c>
      <c r="D531" s="83" t="e">
        <f t="shared" si="63"/>
        <v>#N/A</v>
      </c>
      <c r="E531" t="e">
        <f t="shared" si="59"/>
        <v>#N/A</v>
      </c>
      <c r="G531">
        <v>481</v>
      </c>
      <c r="H531" s="13" t="e">
        <f t="shared" si="64"/>
        <v>#N/A</v>
      </c>
      <c r="I531" t="e">
        <f t="shared" si="65"/>
        <v>#N/A</v>
      </c>
      <c r="J531" t="e">
        <f t="shared" si="60"/>
        <v>#N/A</v>
      </c>
      <c r="K531" s="27" t="e">
        <f t="shared" si="61"/>
        <v>#N/A</v>
      </c>
    </row>
    <row r="532" spans="1:11">
      <c r="A532" s="26">
        <v>482</v>
      </c>
      <c r="B532" s="82" t="e">
        <f t="shared" si="62"/>
        <v>#N/A</v>
      </c>
      <c r="C532" s="58" t="e">
        <f t="shared" si="66"/>
        <v>#N/A</v>
      </c>
      <c r="D532" s="83" t="e">
        <f t="shared" si="63"/>
        <v>#N/A</v>
      </c>
      <c r="E532" t="e">
        <f t="shared" si="59"/>
        <v>#N/A</v>
      </c>
      <c r="G532">
        <v>482</v>
      </c>
      <c r="H532" s="13" t="e">
        <f t="shared" si="64"/>
        <v>#N/A</v>
      </c>
      <c r="I532" t="e">
        <f t="shared" si="65"/>
        <v>#N/A</v>
      </c>
      <c r="J532" t="e">
        <f t="shared" si="60"/>
        <v>#N/A</v>
      </c>
      <c r="K532" s="27" t="e">
        <f t="shared" si="61"/>
        <v>#N/A</v>
      </c>
    </row>
    <row r="533" spans="1:11">
      <c r="A533" s="26">
        <v>483</v>
      </c>
      <c r="B533" s="82" t="e">
        <f t="shared" si="62"/>
        <v>#N/A</v>
      </c>
      <c r="C533" s="58" t="e">
        <f t="shared" si="66"/>
        <v>#N/A</v>
      </c>
      <c r="D533" s="83" t="e">
        <f t="shared" si="63"/>
        <v>#N/A</v>
      </c>
      <c r="E533" t="e">
        <f t="shared" si="59"/>
        <v>#N/A</v>
      </c>
      <c r="G533">
        <v>483</v>
      </c>
      <c r="H533" s="13" t="e">
        <f t="shared" si="64"/>
        <v>#N/A</v>
      </c>
      <c r="I533" t="e">
        <f t="shared" si="65"/>
        <v>#N/A</v>
      </c>
      <c r="J533" t="e">
        <f t="shared" si="60"/>
        <v>#N/A</v>
      </c>
      <c r="K533" s="27" t="e">
        <f t="shared" si="61"/>
        <v>#N/A</v>
      </c>
    </row>
    <row r="534" spans="1:11">
      <c r="A534" s="26">
        <v>484</v>
      </c>
      <c r="B534" s="82" t="e">
        <f t="shared" si="62"/>
        <v>#N/A</v>
      </c>
      <c r="C534" s="58" t="e">
        <f t="shared" si="66"/>
        <v>#N/A</v>
      </c>
      <c r="D534" s="83" t="e">
        <f t="shared" si="63"/>
        <v>#N/A</v>
      </c>
      <c r="E534" t="e">
        <f t="shared" si="59"/>
        <v>#N/A</v>
      </c>
      <c r="G534">
        <v>484</v>
      </c>
      <c r="H534" s="13" t="e">
        <f t="shared" si="64"/>
        <v>#N/A</v>
      </c>
      <c r="I534" t="e">
        <f t="shared" si="65"/>
        <v>#N/A</v>
      </c>
      <c r="J534" t="e">
        <f t="shared" si="60"/>
        <v>#N/A</v>
      </c>
      <c r="K534" s="27" t="e">
        <f t="shared" si="61"/>
        <v>#N/A</v>
      </c>
    </row>
    <row r="535" spans="1:11">
      <c r="A535" s="26">
        <v>485</v>
      </c>
      <c r="B535" s="82" t="e">
        <f t="shared" si="62"/>
        <v>#N/A</v>
      </c>
      <c r="C535" s="58" t="e">
        <f t="shared" si="66"/>
        <v>#N/A</v>
      </c>
      <c r="D535" s="83" t="e">
        <f t="shared" si="63"/>
        <v>#N/A</v>
      </c>
      <c r="E535" t="e">
        <f t="shared" si="59"/>
        <v>#N/A</v>
      </c>
      <c r="G535">
        <v>485</v>
      </c>
      <c r="H535" s="13" t="e">
        <f t="shared" si="64"/>
        <v>#N/A</v>
      </c>
      <c r="I535" t="e">
        <f t="shared" si="65"/>
        <v>#N/A</v>
      </c>
      <c r="J535" t="e">
        <f t="shared" si="60"/>
        <v>#N/A</v>
      </c>
      <c r="K535" s="27" t="e">
        <f t="shared" si="61"/>
        <v>#N/A</v>
      </c>
    </row>
    <row r="536" spans="1:11">
      <c r="A536" s="26">
        <v>486</v>
      </c>
      <c r="B536" s="82" t="e">
        <f t="shared" si="62"/>
        <v>#N/A</v>
      </c>
      <c r="C536" s="58" t="e">
        <f t="shared" si="66"/>
        <v>#N/A</v>
      </c>
      <c r="D536" s="83" t="e">
        <f t="shared" si="63"/>
        <v>#N/A</v>
      </c>
      <c r="E536" t="e">
        <f t="shared" si="59"/>
        <v>#N/A</v>
      </c>
      <c r="G536">
        <v>486</v>
      </c>
      <c r="H536" s="13" t="e">
        <f t="shared" si="64"/>
        <v>#N/A</v>
      </c>
      <c r="I536" t="e">
        <f t="shared" si="65"/>
        <v>#N/A</v>
      </c>
      <c r="J536" t="e">
        <f t="shared" si="60"/>
        <v>#N/A</v>
      </c>
      <c r="K536" s="27" t="e">
        <f t="shared" si="61"/>
        <v>#N/A</v>
      </c>
    </row>
    <row r="537" spans="1:11">
      <c r="A537" s="26">
        <v>487</v>
      </c>
      <c r="B537" s="82" t="e">
        <f t="shared" si="62"/>
        <v>#N/A</v>
      </c>
      <c r="C537" s="58" t="e">
        <f t="shared" si="66"/>
        <v>#N/A</v>
      </c>
      <c r="D537" s="83" t="e">
        <f t="shared" si="63"/>
        <v>#N/A</v>
      </c>
      <c r="E537" t="e">
        <f t="shared" si="59"/>
        <v>#N/A</v>
      </c>
      <c r="G537">
        <v>487</v>
      </c>
      <c r="H537" s="13" t="e">
        <f t="shared" si="64"/>
        <v>#N/A</v>
      </c>
      <c r="I537" t="e">
        <f t="shared" si="65"/>
        <v>#N/A</v>
      </c>
      <c r="J537" t="e">
        <f t="shared" si="60"/>
        <v>#N/A</v>
      </c>
      <c r="K537" s="27" t="e">
        <f t="shared" si="61"/>
        <v>#N/A</v>
      </c>
    </row>
    <row r="538" spans="1:11">
      <c r="A538" s="26">
        <v>488</v>
      </c>
      <c r="B538" s="82" t="e">
        <f t="shared" si="62"/>
        <v>#N/A</v>
      </c>
      <c r="C538" s="58" t="e">
        <f t="shared" si="66"/>
        <v>#N/A</v>
      </c>
      <c r="D538" s="83" t="e">
        <f t="shared" si="63"/>
        <v>#N/A</v>
      </c>
      <c r="E538" t="e">
        <f t="shared" si="59"/>
        <v>#N/A</v>
      </c>
      <c r="G538">
        <v>488</v>
      </c>
      <c r="H538" s="13" t="e">
        <f t="shared" si="64"/>
        <v>#N/A</v>
      </c>
      <c r="I538" t="e">
        <f t="shared" si="65"/>
        <v>#N/A</v>
      </c>
      <c r="J538" t="e">
        <f t="shared" si="60"/>
        <v>#N/A</v>
      </c>
      <c r="K538" s="27" t="e">
        <f t="shared" si="61"/>
        <v>#N/A</v>
      </c>
    </row>
    <row r="539" spans="1:11">
      <c r="A539" s="26">
        <v>489</v>
      </c>
      <c r="B539" s="82" t="e">
        <f t="shared" si="62"/>
        <v>#N/A</v>
      </c>
      <c r="C539" s="58" t="e">
        <f t="shared" si="66"/>
        <v>#N/A</v>
      </c>
      <c r="D539" s="83" t="e">
        <f t="shared" si="63"/>
        <v>#N/A</v>
      </c>
      <c r="E539" t="e">
        <f t="shared" si="59"/>
        <v>#N/A</v>
      </c>
      <c r="G539">
        <v>489</v>
      </c>
      <c r="H539" s="13" t="e">
        <f t="shared" si="64"/>
        <v>#N/A</v>
      </c>
      <c r="I539" t="e">
        <f t="shared" si="65"/>
        <v>#N/A</v>
      </c>
      <c r="J539" t="e">
        <f t="shared" si="60"/>
        <v>#N/A</v>
      </c>
      <c r="K539" s="27" t="e">
        <f t="shared" si="61"/>
        <v>#N/A</v>
      </c>
    </row>
    <row r="540" spans="1:11">
      <c r="A540" s="26">
        <v>490</v>
      </c>
      <c r="B540" s="82" t="e">
        <f t="shared" si="62"/>
        <v>#N/A</v>
      </c>
      <c r="C540" s="58" t="e">
        <f t="shared" si="66"/>
        <v>#N/A</v>
      </c>
      <c r="D540" s="83" t="e">
        <f t="shared" si="63"/>
        <v>#N/A</v>
      </c>
      <c r="E540" t="e">
        <f t="shared" si="59"/>
        <v>#N/A</v>
      </c>
      <c r="G540">
        <v>490</v>
      </c>
      <c r="H540" s="13" t="e">
        <f t="shared" si="64"/>
        <v>#N/A</v>
      </c>
      <c r="I540" t="e">
        <f t="shared" si="65"/>
        <v>#N/A</v>
      </c>
      <c r="J540" t="e">
        <f t="shared" si="60"/>
        <v>#N/A</v>
      </c>
      <c r="K540" s="27" t="e">
        <f t="shared" si="61"/>
        <v>#N/A</v>
      </c>
    </row>
    <row r="541" spans="1:11">
      <c r="A541" s="26">
        <v>491</v>
      </c>
      <c r="B541" s="82" t="e">
        <f t="shared" si="62"/>
        <v>#N/A</v>
      </c>
      <c r="C541" s="58" t="e">
        <f t="shared" si="66"/>
        <v>#N/A</v>
      </c>
      <c r="D541" s="83" t="e">
        <f t="shared" si="63"/>
        <v>#N/A</v>
      </c>
      <c r="E541" t="e">
        <f t="shared" si="59"/>
        <v>#N/A</v>
      </c>
      <c r="G541">
        <v>491</v>
      </c>
      <c r="H541" s="13" t="e">
        <f t="shared" si="64"/>
        <v>#N/A</v>
      </c>
      <c r="I541" t="e">
        <f t="shared" si="65"/>
        <v>#N/A</v>
      </c>
      <c r="J541" t="e">
        <f t="shared" si="60"/>
        <v>#N/A</v>
      </c>
      <c r="K541" s="27" t="e">
        <f t="shared" si="61"/>
        <v>#N/A</v>
      </c>
    </row>
    <row r="542" spans="1:11">
      <c r="A542" s="26">
        <v>492</v>
      </c>
      <c r="B542" s="82" t="e">
        <f t="shared" si="62"/>
        <v>#N/A</v>
      </c>
      <c r="C542" s="58" t="e">
        <f t="shared" si="66"/>
        <v>#N/A</v>
      </c>
      <c r="D542" s="83" t="e">
        <f t="shared" si="63"/>
        <v>#N/A</v>
      </c>
      <c r="E542" t="e">
        <f t="shared" si="59"/>
        <v>#N/A</v>
      </c>
      <c r="G542">
        <v>492</v>
      </c>
      <c r="H542" s="13" t="e">
        <f t="shared" si="64"/>
        <v>#N/A</v>
      </c>
      <c r="I542" t="e">
        <f t="shared" si="65"/>
        <v>#N/A</v>
      </c>
      <c r="J542" t="e">
        <f t="shared" si="60"/>
        <v>#N/A</v>
      </c>
      <c r="K542" s="27" t="e">
        <f t="shared" si="61"/>
        <v>#N/A</v>
      </c>
    </row>
    <row r="543" spans="1:11">
      <c r="A543" s="26">
        <v>493</v>
      </c>
      <c r="B543" s="82" t="e">
        <f t="shared" si="62"/>
        <v>#N/A</v>
      </c>
      <c r="C543" s="58" t="e">
        <f t="shared" si="66"/>
        <v>#N/A</v>
      </c>
      <c r="D543" s="83" t="e">
        <f t="shared" si="63"/>
        <v>#N/A</v>
      </c>
      <c r="E543" t="e">
        <f t="shared" si="59"/>
        <v>#N/A</v>
      </c>
      <c r="G543">
        <v>493</v>
      </c>
      <c r="H543" s="13" t="e">
        <f t="shared" si="64"/>
        <v>#N/A</v>
      </c>
      <c r="I543" t="e">
        <f t="shared" si="65"/>
        <v>#N/A</v>
      </c>
      <c r="J543" t="e">
        <f t="shared" si="60"/>
        <v>#N/A</v>
      </c>
      <c r="K543" s="27" t="e">
        <f t="shared" si="61"/>
        <v>#N/A</v>
      </c>
    </row>
    <row r="544" spans="1:11">
      <c r="A544" s="26">
        <v>494</v>
      </c>
      <c r="B544" s="82" t="e">
        <f t="shared" si="62"/>
        <v>#N/A</v>
      </c>
      <c r="C544" s="58" t="e">
        <f t="shared" si="66"/>
        <v>#N/A</v>
      </c>
      <c r="D544" s="83" t="e">
        <f t="shared" si="63"/>
        <v>#N/A</v>
      </c>
      <c r="E544" t="e">
        <f t="shared" si="59"/>
        <v>#N/A</v>
      </c>
      <c r="G544">
        <v>494</v>
      </c>
      <c r="H544" s="13" t="e">
        <f t="shared" si="64"/>
        <v>#N/A</v>
      </c>
      <c r="I544" t="e">
        <f t="shared" si="65"/>
        <v>#N/A</v>
      </c>
      <c r="J544" t="e">
        <f t="shared" si="60"/>
        <v>#N/A</v>
      </c>
      <c r="K544" s="27" t="e">
        <f t="shared" si="61"/>
        <v>#N/A</v>
      </c>
    </row>
    <row r="545" spans="1:11">
      <c r="A545" s="26">
        <v>495</v>
      </c>
      <c r="B545" s="82" t="e">
        <f t="shared" si="62"/>
        <v>#N/A</v>
      </c>
      <c r="C545" s="58" t="e">
        <f t="shared" si="66"/>
        <v>#N/A</v>
      </c>
      <c r="D545" s="83" t="e">
        <f t="shared" si="63"/>
        <v>#N/A</v>
      </c>
      <c r="E545" t="e">
        <f t="shared" si="59"/>
        <v>#N/A</v>
      </c>
      <c r="G545">
        <v>495</v>
      </c>
      <c r="H545" s="13" t="e">
        <f t="shared" si="64"/>
        <v>#N/A</v>
      </c>
      <c r="I545" t="e">
        <f t="shared" si="65"/>
        <v>#N/A</v>
      </c>
      <c r="J545" t="e">
        <f t="shared" si="60"/>
        <v>#N/A</v>
      </c>
      <c r="K545" s="27" t="e">
        <f t="shared" si="61"/>
        <v>#N/A</v>
      </c>
    </row>
    <row r="546" spans="1:11">
      <c r="A546" s="26">
        <v>496</v>
      </c>
      <c r="B546" s="82" t="e">
        <f t="shared" si="62"/>
        <v>#N/A</v>
      </c>
      <c r="C546" s="58" t="e">
        <f t="shared" si="66"/>
        <v>#N/A</v>
      </c>
      <c r="D546" s="83" t="e">
        <f t="shared" si="63"/>
        <v>#N/A</v>
      </c>
      <c r="E546" t="e">
        <f t="shared" si="59"/>
        <v>#N/A</v>
      </c>
      <c r="G546">
        <v>496</v>
      </c>
      <c r="H546" s="13" t="e">
        <f t="shared" si="64"/>
        <v>#N/A</v>
      </c>
      <c r="I546" t="e">
        <f t="shared" si="65"/>
        <v>#N/A</v>
      </c>
      <c r="J546" t="e">
        <f t="shared" si="60"/>
        <v>#N/A</v>
      </c>
      <c r="K546" s="27" t="e">
        <f t="shared" si="61"/>
        <v>#N/A</v>
      </c>
    </row>
    <row r="547" spans="1:11">
      <c r="A547" s="26">
        <v>497</v>
      </c>
      <c r="B547" s="82" t="e">
        <f t="shared" si="62"/>
        <v>#N/A</v>
      </c>
      <c r="C547" s="58" t="e">
        <f t="shared" si="66"/>
        <v>#N/A</v>
      </c>
      <c r="D547" s="83" t="e">
        <f t="shared" si="63"/>
        <v>#N/A</v>
      </c>
      <c r="E547" t="e">
        <f t="shared" si="59"/>
        <v>#N/A</v>
      </c>
      <c r="G547">
        <v>497</v>
      </c>
      <c r="H547" s="13" t="e">
        <f t="shared" si="64"/>
        <v>#N/A</v>
      </c>
      <c r="I547" t="e">
        <f t="shared" si="65"/>
        <v>#N/A</v>
      </c>
      <c r="J547" t="e">
        <f t="shared" si="60"/>
        <v>#N/A</v>
      </c>
      <c r="K547" s="27" t="e">
        <f t="shared" si="61"/>
        <v>#N/A</v>
      </c>
    </row>
    <row r="548" spans="1:11">
      <c r="A548" s="26">
        <v>498</v>
      </c>
      <c r="B548" s="82" t="e">
        <f t="shared" si="62"/>
        <v>#N/A</v>
      </c>
      <c r="C548" s="58" t="e">
        <f t="shared" si="66"/>
        <v>#N/A</v>
      </c>
      <c r="D548" s="83" t="e">
        <f t="shared" si="63"/>
        <v>#N/A</v>
      </c>
      <c r="E548" t="e">
        <f t="shared" si="59"/>
        <v>#N/A</v>
      </c>
      <c r="G548">
        <v>498</v>
      </c>
      <c r="H548" s="13" t="e">
        <f t="shared" si="64"/>
        <v>#N/A</v>
      </c>
      <c r="I548" t="e">
        <f t="shared" si="65"/>
        <v>#N/A</v>
      </c>
      <c r="J548" t="e">
        <f t="shared" si="60"/>
        <v>#N/A</v>
      </c>
      <c r="K548" s="27" t="e">
        <f t="shared" si="61"/>
        <v>#N/A</v>
      </c>
    </row>
    <row r="549" spans="1:11">
      <c r="A549" s="26">
        <v>499</v>
      </c>
      <c r="B549" s="82" t="e">
        <f t="shared" si="62"/>
        <v>#N/A</v>
      </c>
      <c r="C549" s="58" t="e">
        <f t="shared" si="66"/>
        <v>#N/A</v>
      </c>
      <c r="D549" s="83" t="e">
        <f t="shared" si="63"/>
        <v>#N/A</v>
      </c>
      <c r="E549" t="e">
        <f t="shared" si="59"/>
        <v>#N/A</v>
      </c>
      <c r="G549">
        <v>499</v>
      </c>
      <c r="H549" s="13" t="e">
        <f t="shared" si="64"/>
        <v>#N/A</v>
      </c>
      <c r="I549" t="e">
        <f t="shared" si="65"/>
        <v>#N/A</v>
      </c>
      <c r="J549" t="e">
        <f t="shared" si="60"/>
        <v>#N/A</v>
      </c>
      <c r="K549" s="27" t="e">
        <f t="shared" si="61"/>
        <v>#N/A</v>
      </c>
    </row>
    <row r="550" spans="1:11">
      <c r="A550" s="26">
        <v>500</v>
      </c>
      <c r="B550" s="82" t="e">
        <f t="shared" si="62"/>
        <v>#N/A</v>
      </c>
      <c r="C550" s="58" t="e">
        <f t="shared" si="66"/>
        <v>#N/A</v>
      </c>
      <c r="D550" s="83" t="e">
        <f t="shared" si="63"/>
        <v>#N/A</v>
      </c>
      <c r="E550" t="e">
        <f t="shared" si="59"/>
        <v>#N/A</v>
      </c>
      <c r="G550">
        <v>500</v>
      </c>
      <c r="H550" s="13" t="e">
        <f t="shared" si="64"/>
        <v>#N/A</v>
      </c>
      <c r="I550" t="e">
        <f t="shared" si="65"/>
        <v>#N/A</v>
      </c>
      <c r="J550" t="e">
        <f t="shared" si="60"/>
        <v>#N/A</v>
      </c>
      <c r="K550" s="27" t="e">
        <f t="shared" si="61"/>
        <v>#N/A</v>
      </c>
    </row>
    <row r="551" spans="1:11">
      <c r="A551" s="26">
        <v>501</v>
      </c>
      <c r="B551" s="82" t="e">
        <f t="shared" si="62"/>
        <v>#N/A</v>
      </c>
      <c r="C551" s="58" t="e">
        <f t="shared" si="66"/>
        <v>#N/A</v>
      </c>
      <c r="D551" s="83" t="e">
        <f t="shared" si="63"/>
        <v>#N/A</v>
      </c>
      <c r="E551" t="e">
        <f t="shared" si="59"/>
        <v>#N/A</v>
      </c>
      <c r="G551">
        <v>501</v>
      </c>
      <c r="H551" s="13" t="e">
        <f t="shared" si="64"/>
        <v>#N/A</v>
      </c>
      <c r="I551" t="e">
        <f t="shared" si="65"/>
        <v>#N/A</v>
      </c>
      <c r="J551" t="e">
        <f t="shared" si="60"/>
        <v>#N/A</v>
      </c>
      <c r="K551" s="27" t="e">
        <f t="shared" si="61"/>
        <v>#N/A</v>
      </c>
    </row>
    <row r="552" spans="1:11">
      <c r="A552" s="26">
        <v>502</v>
      </c>
      <c r="B552" s="82" t="e">
        <f t="shared" si="62"/>
        <v>#N/A</v>
      </c>
      <c r="C552" s="58" t="e">
        <f t="shared" si="66"/>
        <v>#N/A</v>
      </c>
      <c r="D552" s="83" t="e">
        <f t="shared" si="63"/>
        <v>#N/A</v>
      </c>
      <c r="E552" t="e">
        <f t="shared" si="59"/>
        <v>#N/A</v>
      </c>
      <c r="G552">
        <v>502</v>
      </c>
      <c r="H552" s="13" t="e">
        <f t="shared" si="64"/>
        <v>#N/A</v>
      </c>
      <c r="I552" t="e">
        <f t="shared" si="65"/>
        <v>#N/A</v>
      </c>
      <c r="J552" t="e">
        <f t="shared" si="60"/>
        <v>#N/A</v>
      </c>
      <c r="K552" s="27" t="e">
        <f t="shared" si="61"/>
        <v>#N/A</v>
      </c>
    </row>
    <row r="553" spans="1:11">
      <c r="A553" s="26">
        <v>503</v>
      </c>
      <c r="B553" s="82" t="e">
        <f t="shared" si="62"/>
        <v>#N/A</v>
      </c>
      <c r="C553" s="58" t="e">
        <f t="shared" si="66"/>
        <v>#N/A</v>
      </c>
      <c r="D553" s="83" t="e">
        <f t="shared" si="63"/>
        <v>#N/A</v>
      </c>
      <c r="E553" t="e">
        <f t="shared" si="59"/>
        <v>#N/A</v>
      </c>
      <c r="G553">
        <v>503</v>
      </c>
      <c r="H553" s="13" t="e">
        <f t="shared" si="64"/>
        <v>#N/A</v>
      </c>
      <c r="I553" t="e">
        <f t="shared" si="65"/>
        <v>#N/A</v>
      </c>
      <c r="J553" t="e">
        <f t="shared" si="60"/>
        <v>#N/A</v>
      </c>
      <c r="K553" s="27" t="e">
        <f t="shared" si="61"/>
        <v>#N/A</v>
      </c>
    </row>
    <row r="554" spans="1:11">
      <c r="A554" s="26">
        <v>504</v>
      </c>
      <c r="B554" s="82" t="e">
        <f t="shared" si="62"/>
        <v>#N/A</v>
      </c>
      <c r="C554" s="58" t="e">
        <f t="shared" si="66"/>
        <v>#N/A</v>
      </c>
      <c r="D554" s="83" t="e">
        <f t="shared" si="63"/>
        <v>#N/A</v>
      </c>
      <c r="E554" t="e">
        <f t="shared" si="59"/>
        <v>#N/A</v>
      </c>
      <c r="G554">
        <v>504</v>
      </c>
      <c r="H554" s="13" t="e">
        <f t="shared" si="64"/>
        <v>#N/A</v>
      </c>
      <c r="I554" t="e">
        <f t="shared" si="65"/>
        <v>#N/A</v>
      </c>
      <c r="J554" t="e">
        <f t="shared" si="60"/>
        <v>#N/A</v>
      </c>
      <c r="K554" s="27" t="e">
        <f t="shared" si="61"/>
        <v>#N/A</v>
      </c>
    </row>
    <row r="555" spans="1:11">
      <c r="A555" s="26">
        <v>505</v>
      </c>
      <c r="B555" s="82" t="e">
        <f t="shared" si="62"/>
        <v>#N/A</v>
      </c>
      <c r="C555" s="58" t="e">
        <f t="shared" si="66"/>
        <v>#N/A</v>
      </c>
      <c r="D555" s="83" t="e">
        <f t="shared" si="63"/>
        <v>#N/A</v>
      </c>
      <c r="E555" t="e">
        <f t="shared" si="59"/>
        <v>#N/A</v>
      </c>
      <c r="G555">
        <v>505</v>
      </c>
      <c r="H555" s="13" t="e">
        <f t="shared" si="64"/>
        <v>#N/A</v>
      </c>
      <c r="I555" t="e">
        <f t="shared" si="65"/>
        <v>#N/A</v>
      </c>
      <c r="J555" t="e">
        <f t="shared" si="60"/>
        <v>#N/A</v>
      </c>
      <c r="K555" s="27" t="e">
        <f t="shared" si="61"/>
        <v>#N/A</v>
      </c>
    </row>
    <row r="556" spans="1:11">
      <c r="A556" s="26">
        <v>506</v>
      </c>
      <c r="B556" s="82" t="e">
        <f t="shared" si="62"/>
        <v>#N/A</v>
      </c>
      <c r="C556" s="58" t="e">
        <f t="shared" si="66"/>
        <v>#N/A</v>
      </c>
      <c r="D556" s="83" t="e">
        <f t="shared" si="63"/>
        <v>#N/A</v>
      </c>
      <c r="E556" t="e">
        <f t="shared" si="59"/>
        <v>#N/A</v>
      </c>
      <c r="G556">
        <v>506</v>
      </c>
      <c r="H556" s="13" t="e">
        <f t="shared" si="64"/>
        <v>#N/A</v>
      </c>
      <c r="I556" t="e">
        <f t="shared" si="65"/>
        <v>#N/A</v>
      </c>
      <c r="J556" t="e">
        <f t="shared" si="60"/>
        <v>#N/A</v>
      </c>
      <c r="K556" s="27" t="e">
        <f t="shared" si="61"/>
        <v>#N/A</v>
      </c>
    </row>
    <row r="557" spans="1:11">
      <c r="A557" s="26">
        <v>507</v>
      </c>
      <c r="B557" s="82" t="e">
        <f t="shared" si="62"/>
        <v>#N/A</v>
      </c>
      <c r="C557" s="58" t="e">
        <f t="shared" si="66"/>
        <v>#N/A</v>
      </c>
      <c r="D557" s="83" t="e">
        <f t="shared" si="63"/>
        <v>#N/A</v>
      </c>
      <c r="E557" t="e">
        <f t="shared" si="59"/>
        <v>#N/A</v>
      </c>
      <c r="G557">
        <v>507</v>
      </c>
      <c r="H557" s="13" t="e">
        <f t="shared" si="64"/>
        <v>#N/A</v>
      </c>
      <c r="I557" t="e">
        <f t="shared" si="65"/>
        <v>#N/A</v>
      </c>
      <c r="J557" t="e">
        <f t="shared" si="60"/>
        <v>#N/A</v>
      </c>
      <c r="K557" s="27" t="e">
        <f t="shared" si="61"/>
        <v>#N/A</v>
      </c>
    </row>
    <row r="558" spans="1:11">
      <c r="A558" s="26">
        <v>508</v>
      </c>
      <c r="B558" s="82" t="e">
        <f t="shared" si="62"/>
        <v>#N/A</v>
      </c>
      <c r="C558" s="58" t="e">
        <f t="shared" si="66"/>
        <v>#N/A</v>
      </c>
      <c r="D558" s="83" t="e">
        <f t="shared" si="63"/>
        <v>#N/A</v>
      </c>
      <c r="E558" t="e">
        <f t="shared" si="59"/>
        <v>#N/A</v>
      </c>
      <c r="G558">
        <v>508</v>
      </c>
      <c r="H558" s="13" t="e">
        <f t="shared" si="64"/>
        <v>#N/A</v>
      </c>
      <c r="I558" t="e">
        <f t="shared" si="65"/>
        <v>#N/A</v>
      </c>
      <c r="J558" t="e">
        <f t="shared" si="60"/>
        <v>#N/A</v>
      </c>
      <c r="K558" s="27" t="e">
        <f t="shared" si="61"/>
        <v>#N/A</v>
      </c>
    </row>
    <row r="559" spans="1:11">
      <c r="A559" s="26">
        <v>509</v>
      </c>
      <c r="B559" s="82" t="e">
        <f t="shared" si="62"/>
        <v>#N/A</v>
      </c>
      <c r="C559" s="58" t="e">
        <f t="shared" si="66"/>
        <v>#N/A</v>
      </c>
      <c r="D559" s="83" t="e">
        <f t="shared" si="63"/>
        <v>#N/A</v>
      </c>
      <c r="E559" t="e">
        <f t="shared" si="59"/>
        <v>#N/A</v>
      </c>
      <c r="G559">
        <v>509</v>
      </c>
      <c r="H559" s="13" t="e">
        <f t="shared" si="64"/>
        <v>#N/A</v>
      </c>
      <c r="I559" t="e">
        <f t="shared" si="65"/>
        <v>#N/A</v>
      </c>
      <c r="J559" t="e">
        <f t="shared" si="60"/>
        <v>#N/A</v>
      </c>
      <c r="K559" s="27" t="e">
        <f t="shared" si="61"/>
        <v>#N/A</v>
      </c>
    </row>
    <row r="560" spans="1:11">
      <c r="A560" s="26">
        <v>510</v>
      </c>
      <c r="B560" s="82" t="e">
        <f t="shared" si="62"/>
        <v>#N/A</v>
      </c>
      <c r="C560" s="58" t="e">
        <f t="shared" si="66"/>
        <v>#N/A</v>
      </c>
      <c r="D560" s="83" t="e">
        <f t="shared" si="63"/>
        <v>#N/A</v>
      </c>
      <c r="E560" t="e">
        <f t="shared" si="59"/>
        <v>#N/A</v>
      </c>
      <c r="G560">
        <v>510</v>
      </c>
      <c r="H560" s="13" t="e">
        <f t="shared" si="64"/>
        <v>#N/A</v>
      </c>
      <c r="I560" t="e">
        <f t="shared" si="65"/>
        <v>#N/A</v>
      </c>
      <c r="J560" t="e">
        <f t="shared" si="60"/>
        <v>#N/A</v>
      </c>
      <c r="K560" s="27" t="e">
        <f t="shared" si="61"/>
        <v>#N/A</v>
      </c>
    </row>
    <row r="561" spans="1:11">
      <c r="A561" s="26">
        <v>511</v>
      </c>
      <c r="B561" s="82" t="e">
        <f t="shared" si="62"/>
        <v>#N/A</v>
      </c>
      <c r="C561" s="58" t="e">
        <f t="shared" si="66"/>
        <v>#N/A</v>
      </c>
      <c r="D561" s="83" t="e">
        <f t="shared" si="63"/>
        <v>#N/A</v>
      </c>
      <c r="E561" t="e">
        <f t="shared" si="59"/>
        <v>#N/A</v>
      </c>
      <c r="G561">
        <v>511</v>
      </c>
      <c r="H561" s="13" t="e">
        <f t="shared" si="64"/>
        <v>#N/A</v>
      </c>
      <c r="I561" t="e">
        <f t="shared" si="65"/>
        <v>#N/A</v>
      </c>
      <c r="J561" t="e">
        <f t="shared" si="60"/>
        <v>#N/A</v>
      </c>
      <c r="K561" s="27" t="e">
        <f t="shared" si="61"/>
        <v>#N/A</v>
      </c>
    </row>
    <row r="562" spans="1:11">
      <c r="A562" s="26">
        <v>512</v>
      </c>
      <c r="B562" s="82" t="e">
        <f t="shared" si="62"/>
        <v>#N/A</v>
      </c>
      <c r="C562" s="58" t="e">
        <f t="shared" si="66"/>
        <v>#N/A</v>
      </c>
      <c r="D562" s="83" t="e">
        <f t="shared" si="63"/>
        <v>#N/A</v>
      </c>
      <c r="E562" t="e">
        <f t="shared" si="59"/>
        <v>#N/A</v>
      </c>
      <c r="G562">
        <v>512</v>
      </c>
      <c r="H562" s="13" t="e">
        <f t="shared" si="64"/>
        <v>#N/A</v>
      </c>
      <c r="I562" t="e">
        <f t="shared" si="65"/>
        <v>#N/A</v>
      </c>
      <c r="J562" t="e">
        <f t="shared" si="60"/>
        <v>#N/A</v>
      </c>
      <c r="K562" s="27" t="e">
        <f t="shared" si="61"/>
        <v>#N/A</v>
      </c>
    </row>
    <row r="563" spans="1:11">
      <c r="A563" s="26">
        <v>513</v>
      </c>
      <c r="B563" s="82" t="e">
        <f t="shared" si="62"/>
        <v>#N/A</v>
      </c>
      <c r="C563" s="58" t="e">
        <f t="shared" si="66"/>
        <v>#N/A</v>
      </c>
      <c r="D563" s="83" t="e">
        <f t="shared" si="63"/>
        <v>#N/A</v>
      </c>
      <c r="E563" t="e">
        <f t="shared" ref="E563:E626" si="67">((D563^2)+(D563*D564)+(D564^2))*B564/3</f>
        <v>#N/A</v>
      </c>
      <c r="G563">
        <v>513</v>
      </c>
      <c r="H563" s="13" t="e">
        <f t="shared" si="64"/>
        <v>#N/A</v>
      </c>
      <c r="I563" t="e">
        <f t="shared" si="65"/>
        <v>#N/A</v>
      </c>
      <c r="J563" t="e">
        <f t="shared" ref="J563:J626" si="68">IF($G$28&lt;$C$14,0,((($C$11^2)-((I563-$C$13)^2))^0.5)+$C$16)</f>
        <v>#N/A</v>
      </c>
      <c r="K563" s="27" t="e">
        <f t="shared" ref="K563:K626" si="69">((J563^2)+(J563*J564)+(J564^2))*H564/3</f>
        <v>#N/A</v>
      </c>
    </row>
    <row r="564" spans="1:11">
      <c r="A564" s="26">
        <v>514</v>
      </c>
      <c r="B564" s="82" t="e">
        <f t="shared" ref="B564:B627" si="70">C564-C563</f>
        <v>#N/A</v>
      </c>
      <c r="C564" s="58" t="e">
        <f t="shared" si="66"/>
        <v>#N/A</v>
      </c>
      <c r="D564" s="83" t="e">
        <f t="shared" ref="D564:D627" si="71">IF($G$28&lt;$C$14,0,((($C$11^2)-((C564-$C$13)^2))^0.5)+$C$16)</f>
        <v>#N/A</v>
      </c>
      <c r="E564" t="e">
        <f t="shared" si="67"/>
        <v>#N/A</v>
      </c>
      <c r="G564">
        <v>514</v>
      </c>
      <c r="H564" s="13" t="e">
        <f t="shared" ref="H564:H627" si="72">I564-I563</f>
        <v>#N/A</v>
      </c>
      <c r="I564" t="e">
        <f t="shared" ref="I564:I627" si="73">($G$27-$C$14)/2000+I563</f>
        <v>#N/A</v>
      </c>
      <c r="J564" t="e">
        <f t="shared" si="68"/>
        <v>#N/A</v>
      </c>
      <c r="K564" s="27" t="e">
        <f t="shared" si="69"/>
        <v>#N/A</v>
      </c>
    </row>
    <row r="565" spans="1:11">
      <c r="A565" s="26">
        <v>515</v>
      </c>
      <c r="B565" s="82" t="e">
        <f t="shared" si="70"/>
        <v>#N/A</v>
      </c>
      <c r="C565" s="58" t="e">
        <f t="shared" si="66"/>
        <v>#N/A</v>
      </c>
      <c r="D565" s="83" t="e">
        <f t="shared" si="71"/>
        <v>#N/A</v>
      </c>
      <c r="E565" t="e">
        <f t="shared" si="67"/>
        <v>#N/A</v>
      </c>
      <c r="G565">
        <v>515</v>
      </c>
      <c r="H565" s="13" t="e">
        <f t="shared" si="72"/>
        <v>#N/A</v>
      </c>
      <c r="I565" t="e">
        <f t="shared" si="73"/>
        <v>#N/A</v>
      </c>
      <c r="J565" t="e">
        <f t="shared" si="68"/>
        <v>#N/A</v>
      </c>
      <c r="K565" s="27" t="e">
        <f t="shared" si="69"/>
        <v>#N/A</v>
      </c>
    </row>
    <row r="566" spans="1:11">
      <c r="A566" s="26">
        <v>516</v>
      </c>
      <c r="B566" s="82" t="e">
        <f t="shared" si="70"/>
        <v>#N/A</v>
      </c>
      <c r="C566" s="58" t="e">
        <f t="shared" si="66"/>
        <v>#N/A</v>
      </c>
      <c r="D566" s="83" t="e">
        <f t="shared" si="71"/>
        <v>#N/A</v>
      </c>
      <c r="E566" t="e">
        <f t="shared" si="67"/>
        <v>#N/A</v>
      </c>
      <c r="G566">
        <v>516</v>
      </c>
      <c r="H566" s="13" t="e">
        <f t="shared" si="72"/>
        <v>#N/A</v>
      </c>
      <c r="I566" t="e">
        <f t="shared" si="73"/>
        <v>#N/A</v>
      </c>
      <c r="J566" t="e">
        <f t="shared" si="68"/>
        <v>#N/A</v>
      </c>
      <c r="K566" s="27" t="e">
        <f t="shared" si="69"/>
        <v>#N/A</v>
      </c>
    </row>
    <row r="567" spans="1:11">
      <c r="A567" s="26">
        <v>517</v>
      </c>
      <c r="B567" s="82" t="e">
        <f t="shared" si="70"/>
        <v>#N/A</v>
      </c>
      <c r="C567" s="58" t="e">
        <f t="shared" si="66"/>
        <v>#N/A</v>
      </c>
      <c r="D567" s="83" t="e">
        <f t="shared" si="71"/>
        <v>#N/A</v>
      </c>
      <c r="E567" t="e">
        <f t="shared" si="67"/>
        <v>#N/A</v>
      </c>
      <c r="G567">
        <v>517</v>
      </c>
      <c r="H567" s="13" t="e">
        <f t="shared" si="72"/>
        <v>#N/A</v>
      </c>
      <c r="I567" t="e">
        <f t="shared" si="73"/>
        <v>#N/A</v>
      </c>
      <c r="J567" t="e">
        <f t="shared" si="68"/>
        <v>#N/A</v>
      </c>
      <c r="K567" s="27" t="e">
        <f t="shared" si="69"/>
        <v>#N/A</v>
      </c>
    </row>
    <row r="568" spans="1:11">
      <c r="A568" s="26">
        <v>518</v>
      </c>
      <c r="B568" s="82" t="e">
        <f t="shared" si="70"/>
        <v>#N/A</v>
      </c>
      <c r="C568" s="58" t="e">
        <f t="shared" si="66"/>
        <v>#N/A</v>
      </c>
      <c r="D568" s="83" t="e">
        <f t="shared" si="71"/>
        <v>#N/A</v>
      </c>
      <c r="E568" t="e">
        <f t="shared" si="67"/>
        <v>#N/A</v>
      </c>
      <c r="G568">
        <v>518</v>
      </c>
      <c r="H568" s="13" t="e">
        <f t="shared" si="72"/>
        <v>#N/A</v>
      </c>
      <c r="I568" t="e">
        <f t="shared" si="73"/>
        <v>#N/A</v>
      </c>
      <c r="J568" t="e">
        <f t="shared" si="68"/>
        <v>#N/A</v>
      </c>
      <c r="K568" s="27" t="e">
        <f t="shared" si="69"/>
        <v>#N/A</v>
      </c>
    </row>
    <row r="569" spans="1:11">
      <c r="A569" s="26">
        <v>519</v>
      </c>
      <c r="B569" s="82" t="e">
        <f t="shared" si="70"/>
        <v>#N/A</v>
      </c>
      <c r="C569" s="58" t="e">
        <f t="shared" si="66"/>
        <v>#N/A</v>
      </c>
      <c r="D569" s="83" t="e">
        <f t="shared" si="71"/>
        <v>#N/A</v>
      </c>
      <c r="E569" t="e">
        <f t="shared" si="67"/>
        <v>#N/A</v>
      </c>
      <c r="G569">
        <v>519</v>
      </c>
      <c r="H569" s="13" t="e">
        <f t="shared" si="72"/>
        <v>#N/A</v>
      </c>
      <c r="I569" t="e">
        <f t="shared" si="73"/>
        <v>#N/A</v>
      </c>
      <c r="J569" t="e">
        <f t="shared" si="68"/>
        <v>#N/A</v>
      </c>
      <c r="K569" s="27" t="e">
        <f t="shared" si="69"/>
        <v>#N/A</v>
      </c>
    </row>
    <row r="570" spans="1:11">
      <c r="A570" s="26">
        <v>520</v>
      </c>
      <c r="B570" s="82" t="e">
        <f t="shared" si="70"/>
        <v>#N/A</v>
      </c>
      <c r="C570" s="58" t="e">
        <f t="shared" si="66"/>
        <v>#N/A</v>
      </c>
      <c r="D570" s="83" t="e">
        <f t="shared" si="71"/>
        <v>#N/A</v>
      </c>
      <c r="E570" t="e">
        <f t="shared" si="67"/>
        <v>#N/A</v>
      </c>
      <c r="G570">
        <v>520</v>
      </c>
      <c r="H570" s="13" t="e">
        <f t="shared" si="72"/>
        <v>#N/A</v>
      </c>
      <c r="I570" t="e">
        <f t="shared" si="73"/>
        <v>#N/A</v>
      </c>
      <c r="J570" t="e">
        <f t="shared" si="68"/>
        <v>#N/A</v>
      </c>
      <c r="K570" s="27" t="e">
        <f t="shared" si="69"/>
        <v>#N/A</v>
      </c>
    </row>
    <row r="571" spans="1:11">
      <c r="A571" s="26">
        <v>521</v>
      </c>
      <c r="B571" s="82" t="e">
        <f t="shared" si="70"/>
        <v>#N/A</v>
      </c>
      <c r="C571" s="58" t="e">
        <f t="shared" si="66"/>
        <v>#N/A</v>
      </c>
      <c r="D571" s="83" t="e">
        <f t="shared" si="71"/>
        <v>#N/A</v>
      </c>
      <c r="E571" t="e">
        <f t="shared" si="67"/>
        <v>#N/A</v>
      </c>
      <c r="G571">
        <v>521</v>
      </c>
      <c r="H571" s="13" t="e">
        <f t="shared" si="72"/>
        <v>#N/A</v>
      </c>
      <c r="I571" t="e">
        <f t="shared" si="73"/>
        <v>#N/A</v>
      </c>
      <c r="J571" t="e">
        <f t="shared" si="68"/>
        <v>#N/A</v>
      </c>
      <c r="K571" s="27" t="e">
        <f t="shared" si="69"/>
        <v>#N/A</v>
      </c>
    </row>
    <row r="572" spans="1:11">
      <c r="A572" s="26">
        <v>522</v>
      </c>
      <c r="B572" s="82" t="e">
        <f t="shared" si="70"/>
        <v>#N/A</v>
      </c>
      <c r="C572" s="58" t="e">
        <f t="shared" si="66"/>
        <v>#N/A</v>
      </c>
      <c r="D572" s="83" t="e">
        <f t="shared" si="71"/>
        <v>#N/A</v>
      </c>
      <c r="E572" t="e">
        <f t="shared" si="67"/>
        <v>#N/A</v>
      </c>
      <c r="G572">
        <v>522</v>
      </c>
      <c r="H572" s="13" t="e">
        <f t="shared" si="72"/>
        <v>#N/A</v>
      </c>
      <c r="I572" t="e">
        <f t="shared" si="73"/>
        <v>#N/A</v>
      </c>
      <c r="J572" t="e">
        <f t="shared" si="68"/>
        <v>#N/A</v>
      </c>
      <c r="K572" s="27" t="e">
        <f t="shared" si="69"/>
        <v>#N/A</v>
      </c>
    </row>
    <row r="573" spans="1:11">
      <c r="A573" s="26">
        <v>523</v>
      </c>
      <c r="B573" s="82" t="e">
        <f t="shared" si="70"/>
        <v>#N/A</v>
      </c>
      <c r="C573" s="58" t="e">
        <f t="shared" si="66"/>
        <v>#N/A</v>
      </c>
      <c r="D573" s="83" t="e">
        <f t="shared" si="71"/>
        <v>#N/A</v>
      </c>
      <c r="E573" t="e">
        <f t="shared" si="67"/>
        <v>#N/A</v>
      </c>
      <c r="G573">
        <v>523</v>
      </c>
      <c r="H573" s="13" t="e">
        <f t="shared" si="72"/>
        <v>#N/A</v>
      </c>
      <c r="I573" t="e">
        <f t="shared" si="73"/>
        <v>#N/A</v>
      </c>
      <c r="J573" t="e">
        <f t="shared" si="68"/>
        <v>#N/A</v>
      </c>
      <c r="K573" s="27" t="e">
        <f t="shared" si="69"/>
        <v>#N/A</v>
      </c>
    </row>
    <row r="574" spans="1:11">
      <c r="A574" s="26">
        <v>524</v>
      </c>
      <c r="B574" s="82" t="e">
        <f t="shared" si="70"/>
        <v>#N/A</v>
      </c>
      <c r="C574" s="58" t="e">
        <f t="shared" si="66"/>
        <v>#N/A</v>
      </c>
      <c r="D574" s="83" t="e">
        <f t="shared" si="71"/>
        <v>#N/A</v>
      </c>
      <c r="E574" t="e">
        <f t="shared" si="67"/>
        <v>#N/A</v>
      </c>
      <c r="G574">
        <v>524</v>
      </c>
      <c r="H574" s="13" t="e">
        <f t="shared" si="72"/>
        <v>#N/A</v>
      </c>
      <c r="I574" t="e">
        <f t="shared" si="73"/>
        <v>#N/A</v>
      </c>
      <c r="J574" t="e">
        <f t="shared" si="68"/>
        <v>#N/A</v>
      </c>
      <c r="K574" s="27" t="e">
        <f t="shared" si="69"/>
        <v>#N/A</v>
      </c>
    </row>
    <row r="575" spans="1:11">
      <c r="A575" s="26">
        <v>525</v>
      </c>
      <c r="B575" s="82" t="e">
        <f t="shared" si="70"/>
        <v>#N/A</v>
      </c>
      <c r="C575" s="58" t="e">
        <f t="shared" si="66"/>
        <v>#N/A</v>
      </c>
      <c r="D575" s="83" t="e">
        <f t="shared" si="71"/>
        <v>#N/A</v>
      </c>
      <c r="E575" t="e">
        <f t="shared" si="67"/>
        <v>#N/A</v>
      </c>
      <c r="G575">
        <v>525</v>
      </c>
      <c r="H575" s="13" t="e">
        <f t="shared" si="72"/>
        <v>#N/A</v>
      </c>
      <c r="I575" t="e">
        <f t="shared" si="73"/>
        <v>#N/A</v>
      </c>
      <c r="J575" t="e">
        <f t="shared" si="68"/>
        <v>#N/A</v>
      </c>
      <c r="K575" s="27" t="e">
        <f t="shared" si="69"/>
        <v>#N/A</v>
      </c>
    </row>
    <row r="576" spans="1:11">
      <c r="A576" s="26">
        <v>526</v>
      </c>
      <c r="B576" s="82" t="e">
        <f t="shared" si="70"/>
        <v>#N/A</v>
      </c>
      <c r="C576" s="58" t="e">
        <f t="shared" si="66"/>
        <v>#N/A</v>
      </c>
      <c r="D576" s="83" t="e">
        <f t="shared" si="71"/>
        <v>#N/A</v>
      </c>
      <c r="E576" t="e">
        <f t="shared" si="67"/>
        <v>#N/A</v>
      </c>
      <c r="G576">
        <v>526</v>
      </c>
      <c r="H576" s="13" t="e">
        <f t="shared" si="72"/>
        <v>#N/A</v>
      </c>
      <c r="I576" t="e">
        <f t="shared" si="73"/>
        <v>#N/A</v>
      </c>
      <c r="J576" t="e">
        <f t="shared" si="68"/>
        <v>#N/A</v>
      </c>
      <c r="K576" s="27" t="e">
        <f t="shared" si="69"/>
        <v>#N/A</v>
      </c>
    </row>
    <row r="577" spans="1:11">
      <c r="A577" s="26">
        <v>527</v>
      </c>
      <c r="B577" s="82" t="e">
        <f t="shared" si="70"/>
        <v>#N/A</v>
      </c>
      <c r="C577" s="58" t="e">
        <f t="shared" si="66"/>
        <v>#N/A</v>
      </c>
      <c r="D577" s="83" t="e">
        <f t="shared" si="71"/>
        <v>#N/A</v>
      </c>
      <c r="E577" t="e">
        <f t="shared" si="67"/>
        <v>#N/A</v>
      </c>
      <c r="G577">
        <v>527</v>
      </c>
      <c r="H577" s="13" t="e">
        <f t="shared" si="72"/>
        <v>#N/A</v>
      </c>
      <c r="I577" t="e">
        <f t="shared" si="73"/>
        <v>#N/A</v>
      </c>
      <c r="J577" t="e">
        <f t="shared" si="68"/>
        <v>#N/A</v>
      </c>
      <c r="K577" s="27" t="e">
        <f t="shared" si="69"/>
        <v>#N/A</v>
      </c>
    </row>
    <row r="578" spans="1:11">
      <c r="A578" s="26">
        <v>528</v>
      </c>
      <c r="B578" s="82" t="e">
        <f t="shared" si="70"/>
        <v>#N/A</v>
      </c>
      <c r="C578" s="58" t="e">
        <f t="shared" si="66"/>
        <v>#N/A</v>
      </c>
      <c r="D578" s="83" t="e">
        <f t="shared" si="71"/>
        <v>#N/A</v>
      </c>
      <c r="E578" t="e">
        <f t="shared" si="67"/>
        <v>#N/A</v>
      </c>
      <c r="G578">
        <v>528</v>
      </c>
      <c r="H578" s="13" t="e">
        <f t="shared" si="72"/>
        <v>#N/A</v>
      </c>
      <c r="I578" t="e">
        <f t="shared" si="73"/>
        <v>#N/A</v>
      </c>
      <c r="J578" t="e">
        <f t="shared" si="68"/>
        <v>#N/A</v>
      </c>
      <c r="K578" s="27" t="e">
        <f t="shared" si="69"/>
        <v>#N/A</v>
      </c>
    </row>
    <row r="579" spans="1:11">
      <c r="A579" s="26">
        <v>529</v>
      </c>
      <c r="B579" s="82" t="e">
        <f t="shared" si="70"/>
        <v>#N/A</v>
      </c>
      <c r="C579" s="58" t="e">
        <f t="shared" si="66"/>
        <v>#N/A</v>
      </c>
      <c r="D579" s="83" t="e">
        <f t="shared" si="71"/>
        <v>#N/A</v>
      </c>
      <c r="E579" t="e">
        <f t="shared" si="67"/>
        <v>#N/A</v>
      </c>
      <c r="G579">
        <v>529</v>
      </c>
      <c r="H579" s="13" t="e">
        <f t="shared" si="72"/>
        <v>#N/A</v>
      </c>
      <c r="I579" t="e">
        <f t="shared" si="73"/>
        <v>#N/A</v>
      </c>
      <c r="J579" t="e">
        <f t="shared" si="68"/>
        <v>#N/A</v>
      </c>
      <c r="K579" s="27" t="e">
        <f t="shared" si="69"/>
        <v>#N/A</v>
      </c>
    </row>
    <row r="580" spans="1:11">
      <c r="A580" s="26">
        <v>530</v>
      </c>
      <c r="B580" s="82" t="e">
        <f t="shared" si="70"/>
        <v>#N/A</v>
      </c>
      <c r="C580" s="58" t="e">
        <f t="shared" si="66"/>
        <v>#N/A</v>
      </c>
      <c r="D580" s="83" t="e">
        <f t="shared" si="71"/>
        <v>#N/A</v>
      </c>
      <c r="E580" t="e">
        <f t="shared" si="67"/>
        <v>#N/A</v>
      </c>
      <c r="G580">
        <v>530</v>
      </c>
      <c r="H580" s="13" t="e">
        <f t="shared" si="72"/>
        <v>#N/A</v>
      </c>
      <c r="I580" t="e">
        <f t="shared" si="73"/>
        <v>#N/A</v>
      </c>
      <c r="J580" t="e">
        <f t="shared" si="68"/>
        <v>#N/A</v>
      </c>
      <c r="K580" s="27" t="e">
        <f t="shared" si="69"/>
        <v>#N/A</v>
      </c>
    </row>
    <row r="581" spans="1:11">
      <c r="A581" s="26">
        <v>531</v>
      </c>
      <c r="B581" s="82" t="e">
        <f t="shared" si="70"/>
        <v>#N/A</v>
      </c>
      <c r="C581" s="58" t="e">
        <f t="shared" si="66"/>
        <v>#N/A</v>
      </c>
      <c r="D581" s="83" t="e">
        <f t="shared" si="71"/>
        <v>#N/A</v>
      </c>
      <c r="E581" t="e">
        <f t="shared" si="67"/>
        <v>#N/A</v>
      </c>
      <c r="G581">
        <v>531</v>
      </c>
      <c r="H581" s="13" t="e">
        <f t="shared" si="72"/>
        <v>#N/A</v>
      </c>
      <c r="I581" t="e">
        <f t="shared" si="73"/>
        <v>#N/A</v>
      </c>
      <c r="J581" t="e">
        <f t="shared" si="68"/>
        <v>#N/A</v>
      </c>
      <c r="K581" s="27" t="e">
        <f t="shared" si="69"/>
        <v>#N/A</v>
      </c>
    </row>
    <row r="582" spans="1:11">
      <c r="A582" s="26">
        <v>532</v>
      </c>
      <c r="B582" s="82" t="e">
        <f t="shared" si="70"/>
        <v>#N/A</v>
      </c>
      <c r="C582" s="58" t="e">
        <f t="shared" si="66"/>
        <v>#N/A</v>
      </c>
      <c r="D582" s="83" t="e">
        <f t="shared" si="71"/>
        <v>#N/A</v>
      </c>
      <c r="E582" t="e">
        <f t="shared" si="67"/>
        <v>#N/A</v>
      </c>
      <c r="G582">
        <v>532</v>
      </c>
      <c r="H582" s="13" t="e">
        <f t="shared" si="72"/>
        <v>#N/A</v>
      </c>
      <c r="I582" t="e">
        <f t="shared" si="73"/>
        <v>#N/A</v>
      </c>
      <c r="J582" t="e">
        <f t="shared" si="68"/>
        <v>#N/A</v>
      </c>
      <c r="K582" s="27" t="e">
        <f t="shared" si="69"/>
        <v>#N/A</v>
      </c>
    </row>
    <row r="583" spans="1:11">
      <c r="A583" s="26">
        <v>533</v>
      </c>
      <c r="B583" s="82" t="e">
        <f t="shared" si="70"/>
        <v>#N/A</v>
      </c>
      <c r="C583" s="58" t="e">
        <f t="shared" si="66"/>
        <v>#N/A</v>
      </c>
      <c r="D583" s="83" t="e">
        <f t="shared" si="71"/>
        <v>#N/A</v>
      </c>
      <c r="E583" t="e">
        <f t="shared" si="67"/>
        <v>#N/A</v>
      </c>
      <c r="G583">
        <v>533</v>
      </c>
      <c r="H583" s="13" t="e">
        <f t="shared" si="72"/>
        <v>#N/A</v>
      </c>
      <c r="I583" t="e">
        <f t="shared" si="73"/>
        <v>#N/A</v>
      </c>
      <c r="J583" t="e">
        <f t="shared" si="68"/>
        <v>#N/A</v>
      </c>
      <c r="K583" s="27" t="e">
        <f t="shared" si="69"/>
        <v>#N/A</v>
      </c>
    </row>
    <row r="584" spans="1:11">
      <c r="A584" s="26">
        <v>534</v>
      </c>
      <c r="B584" s="82" t="e">
        <f t="shared" si="70"/>
        <v>#N/A</v>
      </c>
      <c r="C584" s="58" t="e">
        <f t="shared" si="66"/>
        <v>#N/A</v>
      </c>
      <c r="D584" s="83" t="e">
        <f t="shared" si="71"/>
        <v>#N/A</v>
      </c>
      <c r="E584" t="e">
        <f t="shared" si="67"/>
        <v>#N/A</v>
      </c>
      <c r="G584">
        <v>534</v>
      </c>
      <c r="H584" s="13" t="e">
        <f t="shared" si="72"/>
        <v>#N/A</v>
      </c>
      <c r="I584" t="e">
        <f t="shared" si="73"/>
        <v>#N/A</v>
      </c>
      <c r="J584" t="e">
        <f t="shared" si="68"/>
        <v>#N/A</v>
      </c>
      <c r="K584" s="27" t="e">
        <f t="shared" si="69"/>
        <v>#N/A</v>
      </c>
    </row>
    <row r="585" spans="1:11">
      <c r="A585" s="26">
        <v>535</v>
      </c>
      <c r="B585" s="82" t="e">
        <f t="shared" si="70"/>
        <v>#N/A</v>
      </c>
      <c r="C585" s="58" t="e">
        <f t="shared" si="66"/>
        <v>#N/A</v>
      </c>
      <c r="D585" s="83" t="e">
        <f t="shared" si="71"/>
        <v>#N/A</v>
      </c>
      <c r="E585" t="e">
        <f t="shared" si="67"/>
        <v>#N/A</v>
      </c>
      <c r="G585">
        <v>535</v>
      </c>
      <c r="H585" s="13" t="e">
        <f t="shared" si="72"/>
        <v>#N/A</v>
      </c>
      <c r="I585" t="e">
        <f t="shared" si="73"/>
        <v>#N/A</v>
      </c>
      <c r="J585" t="e">
        <f t="shared" si="68"/>
        <v>#N/A</v>
      </c>
      <c r="K585" s="27" t="e">
        <f t="shared" si="69"/>
        <v>#N/A</v>
      </c>
    </row>
    <row r="586" spans="1:11">
      <c r="A586" s="26">
        <v>536</v>
      </c>
      <c r="B586" s="82" t="e">
        <f t="shared" si="70"/>
        <v>#N/A</v>
      </c>
      <c r="C586" s="58" t="e">
        <f t="shared" si="66"/>
        <v>#N/A</v>
      </c>
      <c r="D586" s="83" t="e">
        <f t="shared" si="71"/>
        <v>#N/A</v>
      </c>
      <c r="E586" t="e">
        <f t="shared" si="67"/>
        <v>#N/A</v>
      </c>
      <c r="G586">
        <v>536</v>
      </c>
      <c r="H586" s="13" t="e">
        <f t="shared" si="72"/>
        <v>#N/A</v>
      </c>
      <c r="I586" t="e">
        <f t="shared" si="73"/>
        <v>#N/A</v>
      </c>
      <c r="J586" t="e">
        <f t="shared" si="68"/>
        <v>#N/A</v>
      </c>
      <c r="K586" s="27" t="e">
        <f t="shared" si="69"/>
        <v>#N/A</v>
      </c>
    </row>
    <row r="587" spans="1:11">
      <c r="A587" s="26">
        <v>537</v>
      </c>
      <c r="B587" s="82" t="e">
        <f t="shared" si="70"/>
        <v>#N/A</v>
      </c>
      <c r="C587" s="58" t="e">
        <f t="shared" si="66"/>
        <v>#N/A</v>
      </c>
      <c r="D587" s="83" t="e">
        <f t="shared" si="71"/>
        <v>#N/A</v>
      </c>
      <c r="E587" t="e">
        <f t="shared" si="67"/>
        <v>#N/A</v>
      </c>
      <c r="G587">
        <v>537</v>
      </c>
      <c r="H587" s="13" t="e">
        <f t="shared" si="72"/>
        <v>#N/A</v>
      </c>
      <c r="I587" t="e">
        <f t="shared" si="73"/>
        <v>#N/A</v>
      </c>
      <c r="J587" t="e">
        <f t="shared" si="68"/>
        <v>#N/A</v>
      </c>
      <c r="K587" s="27" t="e">
        <f t="shared" si="69"/>
        <v>#N/A</v>
      </c>
    </row>
    <row r="588" spans="1:11">
      <c r="A588" s="26">
        <v>538</v>
      </c>
      <c r="B588" s="82" t="e">
        <f t="shared" si="70"/>
        <v>#N/A</v>
      </c>
      <c r="C588" s="58" t="e">
        <f t="shared" si="66"/>
        <v>#N/A</v>
      </c>
      <c r="D588" s="83" t="e">
        <f t="shared" si="71"/>
        <v>#N/A</v>
      </c>
      <c r="E588" t="e">
        <f t="shared" si="67"/>
        <v>#N/A</v>
      </c>
      <c r="G588">
        <v>538</v>
      </c>
      <c r="H588" s="13" t="e">
        <f t="shared" si="72"/>
        <v>#N/A</v>
      </c>
      <c r="I588" t="e">
        <f t="shared" si="73"/>
        <v>#N/A</v>
      </c>
      <c r="J588" t="e">
        <f t="shared" si="68"/>
        <v>#N/A</v>
      </c>
      <c r="K588" s="27" t="e">
        <f t="shared" si="69"/>
        <v>#N/A</v>
      </c>
    </row>
    <row r="589" spans="1:11">
      <c r="A589" s="26">
        <v>539</v>
      </c>
      <c r="B589" s="82" t="e">
        <f t="shared" si="70"/>
        <v>#N/A</v>
      </c>
      <c r="C589" s="58" t="e">
        <f t="shared" si="66"/>
        <v>#N/A</v>
      </c>
      <c r="D589" s="83" t="e">
        <f t="shared" si="71"/>
        <v>#N/A</v>
      </c>
      <c r="E589" t="e">
        <f t="shared" si="67"/>
        <v>#N/A</v>
      </c>
      <c r="G589">
        <v>539</v>
      </c>
      <c r="H589" s="13" t="e">
        <f t="shared" si="72"/>
        <v>#N/A</v>
      </c>
      <c r="I589" t="e">
        <f t="shared" si="73"/>
        <v>#N/A</v>
      </c>
      <c r="J589" t="e">
        <f t="shared" si="68"/>
        <v>#N/A</v>
      </c>
      <c r="K589" s="27" t="e">
        <f t="shared" si="69"/>
        <v>#N/A</v>
      </c>
    </row>
    <row r="590" spans="1:11">
      <c r="A590" s="26">
        <v>540</v>
      </c>
      <c r="B590" s="82" t="e">
        <f t="shared" si="70"/>
        <v>#N/A</v>
      </c>
      <c r="C590" s="58" t="e">
        <f t="shared" si="66"/>
        <v>#N/A</v>
      </c>
      <c r="D590" s="83" t="e">
        <f t="shared" si="71"/>
        <v>#N/A</v>
      </c>
      <c r="E590" t="e">
        <f t="shared" si="67"/>
        <v>#N/A</v>
      </c>
      <c r="G590">
        <v>540</v>
      </c>
      <c r="H590" s="13" t="e">
        <f t="shared" si="72"/>
        <v>#N/A</v>
      </c>
      <c r="I590" t="e">
        <f t="shared" si="73"/>
        <v>#N/A</v>
      </c>
      <c r="J590" t="e">
        <f t="shared" si="68"/>
        <v>#N/A</v>
      </c>
      <c r="K590" s="27" t="e">
        <f t="shared" si="69"/>
        <v>#N/A</v>
      </c>
    </row>
    <row r="591" spans="1:11">
      <c r="A591" s="26">
        <v>541</v>
      </c>
      <c r="B591" s="82" t="e">
        <f t="shared" si="70"/>
        <v>#N/A</v>
      </c>
      <c r="C591" s="58" t="e">
        <f t="shared" si="66"/>
        <v>#N/A</v>
      </c>
      <c r="D591" s="83" t="e">
        <f t="shared" si="71"/>
        <v>#N/A</v>
      </c>
      <c r="E591" t="e">
        <f t="shared" si="67"/>
        <v>#N/A</v>
      </c>
      <c r="G591">
        <v>541</v>
      </c>
      <c r="H591" s="13" t="e">
        <f t="shared" si="72"/>
        <v>#N/A</v>
      </c>
      <c r="I591" t="e">
        <f t="shared" si="73"/>
        <v>#N/A</v>
      </c>
      <c r="J591" t="e">
        <f t="shared" si="68"/>
        <v>#N/A</v>
      </c>
      <c r="K591" s="27" t="e">
        <f t="shared" si="69"/>
        <v>#N/A</v>
      </c>
    </row>
    <row r="592" spans="1:11">
      <c r="A592" s="26">
        <v>542</v>
      </c>
      <c r="B592" s="82" t="e">
        <f t="shared" si="70"/>
        <v>#N/A</v>
      </c>
      <c r="C592" s="58" t="e">
        <f t="shared" ref="C592:C655" si="74">($C$37-$C$36)/2000+C591</f>
        <v>#N/A</v>
      </c>
      <c r="D592" s="83" t="e">
        <f t="shared" si="71"/>
        <v>#N/A</v>
      </c>
      <c r="E592" t="e">
        <f t="shared" si="67"/>
        <v>#N/A</v>
      </c>
      <c r="G592">
        <v>542</v>
      </c>
      <c r="H592" s="13" t="e">
        <f t="shared" si="72"/>
        <v>#N/A</v>
      </c>
      <c r="I592" t="e">
        <f t="shared" si="73"/>
        <v>#N/A</v>
      </c>
      <c r="J592" t="e">
        <f t="shared" si="68"/>
        <v>#N/A</v>
      </c>
      <c r="K592" s="27" t="e">
        <f t="shared" si="69"/>
        <v>#N/A</v>
      </c>
    </row>
    <row r="593" spans="1:11">
      <c r="A593" s="26">
        <v>543</v>
      </c>
      <c r="B593" s="82" t="e">
        <f t="shared" si="70"/>
        <v>#N/A</v>
      </c>
      <c r="C593" s="58" t="e">
        <f t="shared" si="74"/>
        <v>#N/A</v>
      </c>
      <c r="D593" s="83" t="e">
        <f t="shared" si="71"/>
        <v>#N/A</v>
      </c>
      <c r="E593" t="e">
        <f t="shared" si="67"/>
        <v>#N/A</v>
      </c>
      <c r="G593">
        <v>543</v>
      </c>
      <c r="H593" s="13" t="e">
        <f t="shared" si="72"/>
        <v>#N/A</v>
      </c>
      <c r="I593" t="e">
        <f t="shared" si="73"/>
        <v>#N/A</v>
      </c>
      <c r="J593" t="e">
        <f t="shared" si="68"/>
        <v>#N/A</v>
      </c>
      <c r="K593" s="27" t="e">
        <f t="shared" si="69"/>
        <v>#N/A</v>
      </c>
    </row>
    <row r="594" spans="1:11">
      <c r="A594" s="26">
        <v>544</v>
      </c>
      <c r="B594" s="82" t="e">
        <f t="shared" si="70"/>
        <v>#N/A</v>
      </c>
      <c r="C594" s="58" t="e">
        <f t="shared" si="74"/>
        <v>#N/A</v>
      </c>
      <c r="D594" s="83" t="e">
        <f t="shared" si="71"/>
        <v>#N/A</v>
      </c>
      <c r="E594" t="e">
        <f t="shared" si="67"/>
        <v>#N/A</v>
      </c>
      <c r="G594">
        <v>544</v>
      </c>
      <c r="H594" s="13" t="e">
        <f t="shared" si="72"/>
        <v>#N/A</v>
      </c>
      <c r="I594" t="e">
        <f t="shared" si="73"/>
        <v>#N/A</v>
      </c>
      <c r="J594" t="e">
        <f t="shared" si="68"/>
        <v>#N/A</v>
      </c>
      <c r="K594" s="27" t="e">
        <f t="shared" si="69"/>
        <v>#N/A</v>
      </c>
    </row>
    <row r="595" spans="1:11">
      <c r="A595" s="26">
        <v>545</v>
      </c>
      <c r="B595" s="82" t="e">
        <f t="shared" si="70"/>
        <v>#N/A</v>
      </c>
      <c r="C595" s="58" t="e">
        <f t="shared" si="74"/>
        <v>#N/A</v>
      </c>
      <c r="D595" s="83" t="e">
        <f t="shared" si="71"/>
        <v>#N/A</v>
      </c>
      <c r="E595" t="e">
        <f t="shared" si="67"/>
        <v>#N/A</v>
      </c>
      <c r="G595">
        <v>545</v>
      </c>
      <c r="H595" s="13" t="e">
        <f t="shared" si="72"/>
        <v>#N/A</v>
      </c>
      <c r="I595" t="e">
        <f t="shared" si="73"/>
        <v>#N/A</v>
      </c>
      <c r="J595" t="e">
        <f t="shared" si="68"/>
        <v>#N/A</v>
      </c>
      <c r="K595" s="27" t="e">
        <f t="shared" si="69"/>
        <v>#N/A</v>
      </c>
    </row>
    <row r="596" spans="1:11">
      <c r="A596" s="26">
        <v>546</v>
      </c>
      <c r="B596" s="82" t="e">
        <f t="shared" si="70"/>
        <v>#N/A</v>
      </c>
      <c r="C596" s="58" t="e">
        <f t="shared" si="74"/>
        <v>#N/A</v>
      </c>
      <c r="D596" s="83" t="e">
        <f t="shared" si="71"/>
        <v>#N/A</v>
      </c>
      <c r="E596" t="e">
        <f t="shared" si="67"/>
        <v>#N/A</v>
      </c>
      <c r="G596">
        <v>546</v>
      </c>
      <c r="H596" s="13" t="e">
        <f t="shared" si="72"/>
        <v>#N/A</v>
      </c>
      <c r="I596" t="e">
        <f t="shared" si="73"/>
        <v>#N/A</v>
      </c>
      <c r="J596" t="e">
        <f t="shared" si="68"/>
        <v>#N/A</v>
      </c>
      <c r="K596" s="27" t="e">
        <f t="shared" si="69"/>
        <v>#N/A</v>
      </c>
    </row>
    <row r="597" spans="1:11">
      <c r="A597" s="26">
        <v>547</v>
      </c>
      <c r="B597" s="82" t="e">
        <f t="shared" si="70"/>
        <v>#N/A</v>
      </c>
      <c r="C597" s="58" t="e">
        <f t="shared" si="74"/>
        <v>#N/A</v>
      </c>
      <c r="D597" s="83" t="e">
        <f t="shared" si="71"/>
        <v>#N/A</v>
      </c>
      <c r="E597" t="e">
        <f t="shared" si="67"/>
        <v>#N/A</v>
      </c>
      <c r="G597">
        <v>547</v>
      </c>
      <c r="H597" s="13" t="e">
        <f t="shared" si="72"/>
        <v>#N/A</v>
      </c>
      <c r="I597" t="e">
        <f t="shared" si="73"/>
        <v>#N/A</v>
      </c>
      <c r="J597" t="e">
        <f t="shared" si="68"/>
        <v>#N/A</v>
      </c>
      <c r="K597" s="27" t="e">
        <f t="shared" si="69"/>
        <v>#N/A</v>
      </c>
    </row>
    <row r="598" spans="1:11">
      <c r="A598" s="26">
        <v>548</v>
      </c>
      <c r="B598" s="82" t="e">
        <f t="shared" si="70"/>
        <v>#N/A</v>
      </c>
      <c r="C598" s="58" t="e">
        <f t="shared" si="74"/>
        <v>#N/A</v>
      </c>
      <c r="D598" s="83" t="e">
        <f t="shared" si="71"/>
        <v>#N/A</v>
      </c>
      <c r="E598" t="e">
        <f t="shared" si="67"/>
        <v>#N/A</v>
      </c>
      <c r="G598">
        <v>548</v>
      </c>
      <c r="H598" s="13" t="e">
        <f t="shared" si="72"/>
        <v>#N/A</v>
      </c>
      <c r="I598" t="e">
        <f t="shared" si="73"/>
        <v>#N/A</v>
      </c>
      <c r="J598" t="e">
        <f t="shared" si="68"/>
        <v>#N/A</v>
      </c>
      <c r="K598" s="27" t="e">
        <f t="shared" si="69"/>
        <v>#N/A</v>
      </c>
    </row>
    <row r="599" spans="1:11">
      <c r="A599" s="26">
        <v>549</v>
      </c>
      <c r="B599" s="82" t="e">
        <f t="shared" si="70"/>
        <v>#N/A</v>
      </c>
      <c r="C599" s="58" t="e">
        <f t="shared" si="74"/>
        <v>#N/A</v>
      </c>
      <c r="D599" s="83" t="e">
        <f t="shared" si="71"/>
        <v>#N/A</v>
      </c>
      <c r="E599" t="e">
        <f t="shared" si="67"/>
        <v>#N/A</v>
      </c>
      <c r="G599">
        <v>549</v>
      </c>
      <c r="H599" s="13" t="e">
        <f t="shared" si="72"/>
        <v>#N/A</v>
      </c>
      <c r="I599" t="e">
        <f t="shared" si="73"/>
        <v>#N/A</v>
      </c>
      <c r="J599" t="e">
        <f t="shared" si="68"/>
        <v>#N/A</v>
      </c>
      <c r="K599" s="27" t="e">
        <f t="shared" si="69"/>
        <v>#N/A</v>
      </c>
    </row>
    <row r="600" spans="1:11">
      <c r="A600" s="26">
        <v>550</v>
      </c>
      <c r="B600" s="82" t="e">
        <f t="shared" si="70"/>
        <v>#N/A</v>
      </c>
      <c r="C600" s="58" t="e">
        <f t="shared" si="74"/>
        <v>#N/A</v>
      </c>
      <c r="D600" s="83" t="e">
        <f t="shared" si="71"/>
        <v>#N/A</v>
      </c>
      <c r="E600" t="e">
        <f t="shared" si="67"/>
        <v>#N/A</v>
      </c>
      <c r="G600">
        <v>550</v>
      </c>
      <c r="H600" s="13" t="e">
        <f t="shared" si="72"/>
        <v>#N/A</v>
      </c>
      <c r="I600" t="e">
        <f t="shared" si="73"/>
        <v>#N/A</v>
      </c>
      <c r="J600" t="e">
        <f t="shared" si="68"/>
        <v>#N/A</v>
      </c>
      <c r="K600" s="27" t="e">
        <f t="shared" si="69"/>
        <v>#N/A</v>
      </c>
    </row>
    <row r="601" spans="1:11">
      <c r="A601" s="26">
        <v>551</v>
      </c>
      <c r="B601" s="82" t="e">
        <f t="shared" si="70"/>
        <v>#N/A</v>
      </c>
      <c r="C601" s="58" t="e">
        <f t="shared" si="74"/>
        <v>#N/A</v>
      </c>
      <c r="D601" s="83" t="e">
        <f t="shared" si="71"/>
        <v>#N/A</v>
      </c>
      <c r="E601" t="e">
        <f t="shared" si="67"/>
        <v>#N/A</v>
      </c>
      <c r="G601">
        <v>551</v>
      </c>
      <c r="H601" s="13" t="e">
        <f t="shared" si="72"/>
        <v>#N/A</v>
      </c>
      <c r="I601" t="e">
        <f t="shared" si="73"/>
        <v>#N/A</v>
      </c>
      <c r="J601" t="e">
        <f t="shared" si="68"/>
        <v>#N/A</v>
      </c>
      <c r="K601" s="27" t="e">
        <f t="shared" si="69"/>
        <v>#N/A</v>
      </c>
    </row>
    <row r="602" spans="1:11">
      <c r="A602" s="26">
        <v>552</v>
      </c>
      <c r="B602" s="82" t="e">
        <f t="shared" si="70"/>
        <v>#N/A</v>
      </c>
      <c r="C602" s="58" t="e">
        <f t="shared" si="74"/>
        <v>#N/A</v>
      </c>
      <c r="D602" s="83" t="e">
        <f t="shared" si="71"/>
        <v>#N/A</v>
      </c>
      <c r="E602" t="e">
        <f t="shared" si="67"/>
        <v>#N/A</v>
      </c>
      <c r="G602">
        <v>552</v>
      </c>
      <c r="H602" s="13" t="e">
        <f t="shared" si="72"/>
        <v>#N/A</v>
      </c>
      <c r="I602" t="e">
        <f t="shared" si="73"/>
        <v>#N/A</v>
      </c>
      <c r="J602" t="e">
        <f t="shared" si="68"/>
        <v>#N/A</v>
      </c>
      <c r="K602" s="27" t="e">
        <f t="shared" si="69"/>
        <v>#N/A</v>
      </c>
    </row>
    <row r="603" spans="1:11">
      <c r="A603" s="26">
        <v>553</v>
      </c>
      <c r="B603" s="82" t="e">
        <f t="shared" si="70"/>
        <v>#N/A</v>
      </c>
      <c r="C603" s="58" t="e">
        <f t="shared" si="74"/>
        <v>#N/A</v>
      </c>
      <c r="D603" s="83" t="e">
        <f t="shared" si="71"/>
        <v>#N/A</v>
      </c>
      <c r="E603" t="e">
        <f t="shared" si="67"/>
        <v>#N/A</v>
      </c>
      <c r="G603">
        <v>553</v>
      </c>
      <c r="H603" s="13" t="e">
        <f t="shared" si="72"/>
        <v>#N/A</v>
      </c>
      <c r="I603" t="e">
        <f t="shared" si="73"/>
        <v>#N/A</v>
      </c>
      <c r="J603" t="e">
        <f t="shared" si="68"/>
        <v>#N/A</v>
      </c>
      <c r="K603" s="27" t="e">
        <f t="shared" si="69"/>
        <v>#N/A</v>
      </c>
    </row>
    <row r="604" spans="1:11">
      <c r="A604" s="26">
        <v>554</v>
      </c>
      <c r="B604" s="82" t="e">
        <f t="shared" si="70"/>
        <v>#N/A</v>
      </c>
      <c r="C604" s="58" t="e">
        <f t="shared" si="74"/>
        <v>#N/A</v>
      </c>
      <c r="D604" s="83" t="e">
        <f t="shared" si="71"/>
        <v>#N/A</v>
      </c>
      <c r="E604" t="e">
        <f t="shared" si="67"/>
        <v>#N/A</v>
      </c>
      <c r="G604">
        <v>554</v>
      </c>
      <c r="H604" s="13" t="e">
        <f t="shared" si="72"/>
        <v>#N/A</v>
      </c>
      <c r="I604" t="e">
        <f t="shared" si="73"/>
        <v>#N/A</v>
      </c>
      <c r="J604" t="e">
        <f t="shared" si="68"/>
        <v>#N/A</v>
      </c>
      <c r="K604" s="27" t="e">
        <f t="shared" si="69"/>
        <v>#N/A</v>
      </c>
    </row>
    <row r="605" spans="1:11">
      <c r="A605" s="26">
        <v>555</v>
      </c>
      <c r="B605" s="82" t="e">
        <f t="shared" si="70"/>
        <v>#N/A</v>
      </c>
      <c r="C605" s="58" t="e">
        <f t="shared" si="74"/>
        <v>#N/A</v>
      </c>
      <c r="D605" s="83" t="e">
        <f t="shared" si="71"/>
        <v>#N/A</v>
      </c>
      <c r="E605" t="e">
        <f t="shared" si="67"/>
        <v>#N/A</v>
      </c>
      <c r="G605">
        <v>555</v>
      </c>
      <c r="H605" s="13" t="e">
        <f t="shared" si="72"/>
        <v>#N/A</v>
      </c>
      <c r="I605" t="e">
        <f t="shared" si="73"/>
        <v>#N/A</v>
      </c>
      <c r="J605" t="e">
        <f t="shared" si="68"/>
        <v>#N/A</v>
      </c>
      <c r="K605" s="27" t="e">
        <f t="shared" si="69"/>
        <v>#N/A</v>
      </c>
    </row>
    <row r="606" spans="1:11">
      <c r="A606" s="26">
        <v>556</v>
      </c>
      <c r="B606" s="82" t="e">
        <f t="shared" si="70"/>
        <v>#N/A</v>
      </c>
      <c r="C606" s="58" t="e">
        <f t="shared" si="74"/>
        <v>#N/A</v>
      </c>
      <c r="D606" s="83" t="e">
        <f t="shared" si="71"/>
        <v>#N/A</v>
      </c>
      <c r="E606" t="e">
        <f t="shared" si="67"/>
        <v>#N/A</v>
      </c>
      <c r="G606">
        <v>556</v>
      </c>
      <c r="H606" s="13" t="e">
        <f t="shared" si="72"/>
        <v>#N/A</v>
      </c>
      <c r="I606" t="e">
        <f t="shared" si="73"/>
        <v>#N/A</v>
      </c>
      <c r="J606" t="e">
        <f t="shared" si="68"/>
        <v>#N/A</v>
      </c>
      <c r="K606" s="27" t="e">
        <f t="shared" si="69"/>
        <v>#N/A</v>
      </c>
    </row>
    <row r="607" spans="1:11">
      <c r="A607" s="26">
        <v>557</v>
      </c>
      <c r="B607" s="82" t="e">
        <f t="shared" si="70"/>
        <v>#N/A</v>
      </c>
      <c r="C607" s="58" t="e">
        <f t="shared" si="74"/>
        <v>#N/A</v>
      </c>
      <c r="D607" s="83" t="e">
        <f t="shared" si="71"/>
        <v>#N/A</v>
      </c>
      <c r="E607" t="e">
        <f t="shared" si="67"/>
        <v>#N/A</v>
      </c>
      <c r="G607">
        <v>557</v>
      </c>
      <c r="H607" s="13" t="e">
        <f t="shared" si="72"/>
        <v>#N/A</v>
      </c>
      <c r="I607" t="e">
        <f t="shared" si="73"/>
        <v>#N/A</v>
      </c>
      <c r="J607" t="e">
        <f t="shared" si="68"/>
        <v>#N/A</v>
      </c>
      <c r="K607" s="27" t="e">
        <f t="shared" si="69"/>
        <v>#N/A</v>
      </c>
    </row>
    <row r="608" spans="1:11">
      <c r="A608" s="26">
        <v>558</v>
      </c>
      <c r="B608" s="82" t="e">
        <f t="shared" si="70"/>
        <v>#N/A</v>
      </c>
      <c r="C608" s="58" t="e">
        <f t="shared" si="74"/>
        <v>#N/A</v>
      </c>
      <c r="D608" s="83" t="e">
        <f t="shared" si="71"/>
        <v>#N/A</v>
      </c>
      <c r="E608" t="e">
        <f t="shared" si="67"/>
        <v>#N/A</v>
      </c>
      <c r="G608">
        <v>558</v>
      </c>
      <c r="H608" s="13" t="e">
        <f t="shared" si="72"/>
        <v>#N/A</v>
      </c>
      <c r="I608" t="e">
        <f t="shared" si="73"/>
        <v>#N/A</v>
      </c>
      <c r="J608" t="e">
        <f t="shared" si="68"/>
        <v>#N/A</v>
      </c>
      <c r="K608" s="27" t="e">
        <f t="shared" si="69"/>
        <v>#N/A</v>
      </c>
    </row>
    <row r="609" spans="1:11">
      <c r="A609" s="26">
        <v>559</v>
      </c>
      <c r="B609" s="82" t="e">
        <f t="shared" si="70"/>
        <v>#N/A</v>
      </c>
      <c r="C609" s="58" t="e">
        <f t="shared" si="74"/>
        <v>#N/A</v>
      </c>
      <c r="D609" s="83" t="e">
        <f t="shared" si="71"/>
        <v>#N/A</v>
      </c>
      <c r="E609" t="e">
        <f t="shared" si="67"/>
        <v>#N/A</v>
      </c>
      <c r="G609">
        <v>559</v>
      </c>
      <c r="H609" s="13" t="e">
        <f t="shared" si="72"/>
        <v>#N/A</v>
      </c>
      <c r="I609" t="e">
        <f t="shared" si="73"/>
        <v>#N/A</v>
      </c>
      <c r="J609" t="e">
        <f t="shared" si="68"/>
        <v>#N/A</v>
      </c>
      <c r="K609" s="27" t="e">
        <f t="shared" si="69"/>
        <v>#N/A</v>
      </c>
    </row>
    <row r="610" spans="1:11">
      <c r="A610" s="26">
        <v>560</v>
      </c>
      <c r="B610" s="82" t="e">
        <f t="shared" si="70"/>
        <v>#N/A</v>
      </c>
      <c r="C610" s="58" t="e">
        <f t="shared" si="74"/>
        <v>#N/A</v>
      </c>
      <c r="D610" s="83" t="e">
        <f t="shared" si="71"/>
        <v>#N/A</v>
      </c>
      <c r="E610" t="e">
        <f t="shared" si="67"/>
        <v>#N/A</v>
      </c>
      <c r="G610">
        <v>560</v>
      </c>
      <c r="H610" s="13" t="e">
        <f t="shared" si="72"/>
        <v>#N/A</v>
      </c>
      <c r="I610" t="e">
        <f t="shared" si="73"/>
        <v>#N/A</v>
      </c>
      <c r="J610" t="e">
        <f t="shared" si="68"/>
        <v>#N/A</v>
      </c>
      <c r="K610" s="27" t="e">
        <f t="shared" si="69"/>
        <v>#N/A</v>
      </c>
    </row>
    <row r="611" spans="1:11">
      <c r="A611" s="26">
        <v>561</v>
      </c>
      <c r="B611" s="82" t="e">
        <f t="shared" si="70"/>
        <v>#N/A</v>
      </c>
      <c r="C611" s="58" t="e">
        <f t="shared" si="74"/>
        <v>#N/A</v>
      </c>
      <c r="D611" s="83" t="e">
        <f t="shared" si="71"/>
        <v>#N/A</v>
      </c>
      <c r="E611" t="e">
        <f t="shared" si="67"/>
        <v>#N/A</v>
      </c>
      <c r="G611">
        <v>561</v>
      </c>
      <c r="H611" s="13" t="e">
        <f t="shared" si="72"/>
        <v>#N/A</v>
      </c>
      <c r="I611" t="e">
        <f t="shared" si="73"/>
        <v>#N/A</v>
      </c>
      <c r="J611" t="e">
        <f t="shared" si="68"/>
        <v>#N/A</v>
      </c>
      <c r="K611" s="27" t="e">
        <f t="shared" si="69"/>
        <v>#N/A</v>
      </c>
    </row>
    <row r="612" spans="1:11">
      <c r="A612" s="26">
        <v>562</v>
      </c>
      <c r="B612" s="82" t="e">
        <f t="shared" si="70"/>
        <v>#N/A</v>
      </c>
      <c r="C612" s="58" t="e">
        <f t="shared" si="74"/>
        <v>#N/A</v>
      </c>
      <c r="D612" s="83" t="e">
        <f t="shared" si="71"/>
        <v>#N/A</v>
      </c>
      <c r="E612" t="e">
        <f t="shared" si="67"/>
        <v>#N/A</v>
      </c>
      <c r="G612">
        <v>562</v>
      </c>
      <c r="H612" s="13" t="e">
        <f t="shared" si="72"/>
        <v>#N/A</v>
      </c>
      <c r="I612" t="e">
        <f t="shared" si="73"/>
        <v>#N/A</v>
      </c>
      <c r="J612" t="e">
        <f t="shared" si="68"/>
        <v>#N/A</v>
      </c>
      <c r="K612" s="27" t="e">
        <f t="shared" si="69"/>
        <v>#N/A</v>
      </c>
    </row>
    <row r="613" spans="1:11">
      <c r="A613" s="26">
        <v>563</v>
      </c>
      <c r="B613" s="82" t="e">
        <f t="shared" si="70"/>
        <v>#N/A</v>
      </c>
      <c r="C613" s="58" t="e">
        <f t="shared" si="74"/>
        <v>#N/A</v>
      </c>
      <c r="D613" s="83" t="e">
        <f t="shared" si="71"/>
        <v>#N/A</v>
      </c>
      <c r="E613" t="e">
        <f t="shared" si="67"/>
        <v>#N/A</v>
      </c>
      <c r="G613">
        <v>563</v>
      </c>
      <c r="H613" s="13" t="e">
        <f t="shared" si="72"/>
        <v>#N/A</v>
      </c>
      <c r="I613" t="e">
        <f t="shared" si="73"/>
        <v>#N/A</v>
      </c>
      <c r="J613" t="e">
        <f t="shared" si="68"/>
        <v>#N/A</v>
      </c>
      <c r="K613" s="27" t="e">
        <f t="shared" si="69"/>
        <v>#N/A</v>
      </c>
    </row>
    <row r="614" spans="1:11">
      <c r="A614" s="26">
        <v>564</v>
      </c>
      <c r="B614" s="82" t="e">
        <f t="shared" si="70"/>
        <v>#N/A</v>
      </c>
      <c r="C614" s="58" t="e">
        <f t="shared" si="74"/>
        <v>#N/A</v>
      </c>
      <c r="D614" s="83" t="e">
        <f t="shared" si="71"/>
        <v>#N/A</v>
      </c>
      <c r="E614" t="e">
        <f t="shared" si="67"/>
        <v>#N/A</v>
      </c>
      <c r="G614">
        <v>564</v>
      </c>
      <c r="H614" s="13" t="e">
        <f t="shared" si="72"/>
        <v>#N/A</v>
      </c>
      <c r="I614" t="e">
        <f t="shared" si="73"/>
        <v>#N/A</v>
      </c>
      <c r="J614" t="e">
        <f t="shared" si="68"/>
        <v>#N/A</v>
      </c>
      <c r="K614" s="27" t="e">
        <f t="shared" si="69"/>
        <v>#N/A</v>
      </c>
    </row>
    <row r="615" spans="1:11">
      <c r="A615" s="26">
        <v>565</v>
      </c>
      <c r="B615" s="82" t="e">
        <f t="shared" si="70"/>
        <v>#N/A</v>
      </c>
      <c r="C615" s="58" t="e">
        <f t="shared" si="74"/>
        <v>#N/A</v>
      </c>
      <c r="D615" s="83" t="e">
        <f t="shared" si="71"/>
        <v>#N/A</v>
      </c>
      <c r="E615" t="e">
        <f t="shared" si="67"/>
        <v>#N/A</v>
      </c>
      <c r="G615">
        <v>565</v>
      </c>
      <c r="H615" s="13" t="e">
        <f t="shared" si="72"/>
        <v>#N/A</v>
      </c>
      <c r="I615" t="e">
        <f t="shared" si="73"/>
        <v>#N/A</v>
      </c>
      <c r="J615" t="e">
        <f t="shared" si="68"/>
        <v>#N/A</v>
      </c>
      <c r="K615" s="27" t="e">
        <f t="shared" si="69"/>
        <v>#N/A</v>
      </c>
    </row>
    <row r="616" spans="1:11">
      <c r="A616" s="26">
        <v>566</v>
      </c>
      <c r="B616" s="82" t="e">
        <f t="shared" si="70"/>
        <v>#N/A</v>
      </c>
      <c r="C616" s="58" t="e">
        <f t="shared" si="74"/>
        <v>#N/A</v>
      </c>
      <c r="D616" s="83" t="e">
        <f t="shared" si="71"/>
        <v>#N/A</v>
      </c>
      <c r="E616" t="e">
        <f t="shared" si="67"/>
        <v>#N/A</v>
      </c>
      <c r="G616">
        <v>566</v>
      </c>
      <c r="H616" s="13" t="e">
        <f t="shared" si="72"/>
        <v>#N/A</v>
      </c>
      <c r="I616" t="e">
        <f t="shared" si="73"/>
        <v>#N/A</v>
      </c>
      <c r="J616" t="e">
        <f t="shared" si="68"/>
        <v>#N/A</v>
      </c>
      <c r="K616" s="27" t="e">
        <f t="shared" si="69"/>
        <v>#N/A</v>
      </c>
    </row>
    <row r="617" spans="1:11">
      <c r="A617" s="26">
        <v>567</v>
      </c>
      <c r="B617" s="82" t="e">
        <f t="shared" si="70"/>
        <v>#N/A</v>
      </c>
      <c r="C617" s="58" t="e">
        <f t="shared" si="74"/>
        <v>#N/A</v>
      </c>
      <c r="D617" s="83" t="e">
        <f t="shared" si="71"/>
        <v>#N/A</v>
      </c>
      <c r="E617" t="e">
        <f t="shared" si="67"/>
        <v>#N/A</v>
      </c>
      <c r="G617">
        <v>567</v>
      </c>
      <c r="H617" s="13" t="e">
        <f t="shared" si="72"/>
        <v>#N/A</v>
      </c>
      <c r="I617" t="e">
        <f t="shared" si="73"/>
        <v>#N/A</v>
      </c>
      <c r="J617" t="e">
        <f t="shared" si="68"/>
        <v>#N/A</v>
      </c>
      <c r="K617" s="27" t="e">
        <f t="shared" si="69"/>
        <v>#N/A</v>
      </c>
    </row>
    <row r="618" spans="1:11">
      <c r="A618" s="26">
        <v>568</v>
      </c>
      <c r="B618" s="82" t="e">
        <f t="shared" si="70"/>
        <v>#N/A</v>
      </c>
      <c r="C618" s="58" t="e">
        <f t="shared" si="74"/>
        <v>#N/A</v>
      </c>
      <c r="D618" s="83" t="e">
        <f t="shared" si="71"/>
        <v>#N/A</v>
      </c>
      <c r="E618" t="e">
        <f t="shared" si="67"/>
        <v>#N/A</v>
      </c>
      <c r="G618">
        <v>568</v>
      </c>
      <c r="H618" s="13" t="e">
        <f t="shared" si="72"/>
        <v>#N/A</v>
      </c>
      <c r="I618" t="e">
        <f t="shared" si="73"/>
        <v>#N/A</v>
      </c>
      <c r="J618" t="e">
        <f t="shared" si="68"/>
        <v>#N/A</v>
      </c>
      <c r="K618" s="27" t="e">
        <f t="shared" si="69"/>
        <v>#N/A</v>
      </c>
    </row>
    <row r="619" spans="1:11">
      <c r="A619" s="26">
        <v>569</v>
      </c>
      <c r="B619" s="82" t="e">
        <f t="shared" si="70"/>
        <v>#N/A</v>
      </c>
      <c r="C619" s="58" t="e">
        <f t="shared" si="74"/>
        <v>#N/A</v>
      </c>
      <c r="D619" s="83" t="e">
        <f t="shared" si="71"/>
        <v>#N/A</v>
      </c>
      <c r="E619" t="e">
        <f t="shared" si="67"/>
        <v>#N/A</v>
      </c>
      <c r="G619">
        <v>569</v>
      </c>
      <c r="H619" s="13" t="e">
        <f t="shared" si="72"/>
        <v>#N/A</v>
      </c>
      <c r="I619" t="e">
        <f t="shared" si="73"/>
        <v>#N/A</v>
      </c>
      <c r="J619" t="e">
        <f t="shared" si="68"/>
        <v>#N/A</v>
      </c>
      <c r="K619" s="27" t="e">
        <f t="shared" si="69"/>
        <v>#N/A</v>
      </c>
    </row>
    <row r="620" spans="1:11">
      <c r="A620" s="26">
        <v>570</v>
      </c>
      <c r="B620" s="82" t="e">
        <f t="shared" si="70"/>
        <v>#N/A</v>
      </c>
      <c r="C620" s="58" t="e">
        <f t="shared" si="74"/>
        <v>#N/A</v>
      </c>
      <c r="D620" s="83" t="e">
        <f t="shared" si="71"/>
        <v>#N/A</v>
      </c>
      <c r="E620" t="e">
        <f t="shared" si="67"/>
        <v>#N/A</v>
      </c>
      <c r="G620">
        <v>570</v>
      </c>
      <c r="H620" s="13" t="e">
        <f t="shared" si="72"/>
        <v>#N/A</v>
      </c>
      <c r="I620" t="e">
        <f t="shared" si="73"/>
        <v>#N/A</v>
      </c>
      <c r="J620" t="e">
        <f t="shared" si="68"/>
        <v>#N/A</v>
      </c>
      <c r="K620" s="27" t="e">
        <f t="shared" si="69"/>
        <v>#N/A</v>
      </c>
    </row>
    <row r="621" spans="1:11">
      <c r="A621" s="26">
        <v>571</v>
      </c>
      <c r="B621" s="82" t="e">
        <f t="shared" si="70"/>
        <v>#N/A</v>
      </c>
      <c r="C621" s="58" t="e">
        <f t="shared" si="74"/>
        <v>#N/A</v>
      </c>
      <c r="D621" s="83" t="e">
        <f t="shared" si="71"/>
        <v>#N/A</v>
      </c>
      <c r="E621" t="e">
        <f t="shared" si="67"/>
        <v>#N/A</v>
      </c>
      <c r="G621">
        <v>571</v>
      </c>
      <c r="H621" s="13" t="e">
        <f t="shared" si="72"/>
        <v>#N/A</v>
      </c>
      <c r="I621" t="e">
        <f t="shared" si="73"/>
        <v>#N/A</v>
      </c>
      <c r="J621" t="e">
        <f t="shared" si="68"/>
        <v>#N/A</v>
      </c>
      <c r="K621" s="27" t="e">
        <f t="shared" si="69"/>
        <v>#N/A</v>
      </c>
    </row>
    <row r="622" spans="1:11">
      <c r="A622" s="26">
        <v>572</v>
      </c>
      <c r="B622" s="82" t="e">
        <f t="shared" si="70"/>
        <v>#N/A</v>
      </c>
      <c r="C622" s="58" t="e">
        <f t="shared" si="74"/>
        <v>#N/A</v>
      </c>
      <c r="D622" s="83" t="e">
        <f t="shared" si="71"/>
        <v>#N/A</v>
      </c>
      <c r="E622" t="e">
        <f t="shared" si="67"/>
        <v>#N/A</v>
      </c>
      <c r="G622">
        <v>572</v>
      </c>
      <c r="H622" s="13" t="e">
        <f t="shared" si="72"/>
        <v>#N/A</v>
      </c>
      <c r="I622" t="e">
        <f t="shared" si="73"/>
        <v>#N/A</v>
      </c>
      <c r="J622" t="e">
        <f t="shared" si="68"/>
        <v>#N/A</v>
      </c>
      <c r="K622" s="27" t="e">
        <f t="shared" si="69"/>
        <v>#N/A</v>
      </c>
    </row>
    <row r="623" spans="1:11">
      <c r="A623" s="26">
        <v>573</v>
      </c>
      <c r="B623" s="82" t="e">
        <f t="shared" si="70"/>
        <v>#N/A</v>
      </c>
      <c r="C623" s="58" t="e">
        <f t="shared" si="74"/>
        <v>#N/A</v>
      </c>
      <c r="D623" s="83" t="e">
        <f t="shared" si="71"/>
        <v>#N/A</v>
      </c>
      <c r="E623" t="e">
        <f t="shared" si="67"/>
        <v>#N/A</v>
      </c>
      <c r="G623">
        <v>573</v>
      </c>
      <c r="H623" s="13" t="e">
        <f t="shared" si="72"/>
        <v>#N/A</v>
      </c>
      <c r="I623" t="e">
        <f t="shared" si="73"/>
        <v>#N/A</v>
      </c>
      <c r="J623" t="e">
        <f t="shared" si="68"/>
        <v>#N/A</v>
      </c>
      <c r="K623" s="27" t="e">
        <f t="shared" si="69"/>
        <v>#N/A</v>
      </c>
    </row>
    <row r="624" spans="1:11">
      <c r="A624" s="26">
        <v>574</v>
      </c>
      <c r="B624" s="82" t="e">
        <f t="shared" si="70"/>
        <v>#N/A</v>
      </c>
      <c r="C624" s="58" t="e">
        <f t="shared" si="74"/>
        <v>#N/A</v>
      </c>
      <c r="D624" s="83" t="e">
        <f t="shared" si="71"/>
        <v>#N/A</v>
      </c>
      <c r="E624" t="e">
        <f t="shared" si="67"/>
        <v>#N/A</v>
      </c>
      <c r="G624">
        <v>574</v>
      </c>
      <c r="H624" s="13" t="e">
        <f t="shared" si="72"/>
        <v>#N/A</v>
      </c>
      <c r="I624" t="e">
        <f t="shared" si="73"/>
        <v>#N/A</v>
      </c>
      <c r="J624" t="e">
        <f t="shared" si="68"/>
        <v>#N/A</v>
      </c>
      <c r="K624" s="27" t="e">
        <f t="shared" si="69"/>
        <v>#N/A</v>
      </c>
    </row>
    <row r="625" spans="1:11">
      <c r="A625" s="26">
        <v>575</v>
      </c>
      <c r="B625" s="82" t="e">
        <f t="shared" si="70"/>
        <v>#N/A</v>
      </c>
      <c r="C625" s="58" t="e">
        <f t="shared" si="74"/>
        <v>#N/A</v>
      </c>
      <c r="D625" s="83" t="e">
        <f t="shared" si="71"/>
        <v>#N/A</v>
      </c>
      <c r="E625" t="e">
        <f t="shared" si="67"/>
        <v>#N/A</v>
      </c>
      <c r="G625">
        <v>575</v>
      </c>
      <c r="H625" s="13" t="e">
        <f t="shared" si="72"/>
        <v>#N/A</v>
      </c>
      <c r="I625" t="e">
        <f t="shared" si="73"/>
        <v>#N/A</v>
      </c>
      <c r="J625" t="e">
        <f t="shared" si="68"/>
        <v>#N/A</v>
      </c>
      <c r="K625" s="27" t="e">
        <f t="shared" si="69"/>
        <v>#N/A</v>
      </c>
    </row>
    <row r="626" spans="1:11">
      <c r="A626" s="26">
        <v>576</v>
      </c>
      <c r="B626" s="82" t="e">
        <f t="shared" si="70"/>
        <v>#N/A</v>
      </c>
      <c r="C626" s="58" t="e">
        <f t="shared" si="74"/>
        <v>#N/A</v>
      </c>
      <c r="D626" s="83" t="e">
        <f t="shared" si="71"/>
        <v>#N/A</v>
      </c>
      <c r="E626" t="e">
        <f t="shared" si="67"/>
        <v>#N/A</v>
      </c>
      <c r="G626">
        <v>576</v>
      </c>
      <c r="H626" s="13" t="e">
        <f t="shared" si="72"/>
        <v>#N/A</v>
      </c>
      <c r="I626" t="e">
        <f t="shared" si="73"/>
        <v>#N/A</v>
      </c>
      <c r="J626" t="e">
        <f t="shared" si="68"/>
        <v>#N/A</v>
      </c>
      <c r="K626" s="27" t="e">
        <f t="shared" si="69"/>
        <v>#N/A</v>
      </c>
    </row>
    <row r="627" spans="1:11">
      <c r="A627" s="26">
        <v>577</v>
      </c>
      <c r="B627" s="82" t="e">
        <f t="shared" si="70"/>
        <v>#N/A</v>
      </c>
      <c r="C627" s="58" t="e">
        <f t="shared" si="74"/>
        <v>#N/A</v>
      </c>
      <c r="D627" s="83" t="e">
        <f t="shared" si="71"/>
        <v>#N/A</v>
      </c>
      <c r="E627" t="e">
        <f t="shared" ref="E627:E690" si="75">((D627^2)+(D627*D628)+(D628^2))*B628/3</f>
        <v>#N/A</v>
      </c>
      <c r="G627">
        <v>577</v>
      </c>
      <c r="H627" s="13" t="e">
        <f t="shared" si="72"/>
        <v>#N/A</v>
      </c>
      <c r="I627" t="e">
        <f t="shared" si="73"/>
        <v>#N/A</v>
      </c>
      <c r="J627" t="e">
        <f t="shared" ref="J627:J690" si="76">IF($G$28&lt;$C$14,0,((($C$11^2)-((I627-$C$13)^2))^0.5)+$C$16)</f>
        <v>#N/A</v>
      </c>
      <c r="K627" s="27" t="e">
        <f t="shared" ref="K627:K690" si="77">((J627^2)+(J627*J628)+(J628^2))*H628/3</f>
        <v>#N/A</v>
      </c>
    </row>
    <row r="628" spans="1:11">
      <c r="A628" s="26">
        <v>578</v>
      </c>
      <c r="B628" s="82" t="e">
        <f t="shared" ref="B628:B691" si="78">C628-C627</f>
        <v>#N/A</v>
      </c>
      <c r="C628" s="58" t="e">
        <f t="shared" si="74"/>
        <v>#N/A</v>
      </c>
      <c r="D628" s="83" t="e">
        <f t="shared" ref="D628:D691" si="79">IF($G$28&lt;$C$14,0,((($C$11^2)-((C628-$C$13)^2))^0.5)+$C$16)</f>
        <v>#N/A</v>
      </c>
      <c r="E628" t="e">
        <f t="shared" si="75"/>
        <v>#N/A</v>
      </c>
      <c r="G628">
        <v>578</v>
      </c>
      <c r="H628" s="13" t="e">
        <f t="shared" ref="H628:H691" si="80">I628-I627</f>
        <v>#N/A</v>
      </c>
      <c r="I628" t="e">
        <f t="shared" ref="I628:I691" si="81">($G$27-$C$14)/2000+I627</f>
        <v>#N/A</v>
      </c>
      <c r="J628" t="e">
        <f t="shared" si="76"/>
        <v>#N/A</v>
      </c>
      <c r="K628" s="27" t="e">
        <f t="shared" si="77"/>
        <v>#N/A</v>
      </c>
    </row>
    <row r="629" spans="1:11">
      <c r="A629" s="26">
        <v>579</v>
      </c>
      <c r="B629" s="82" t="e">
        <f t="shared" si="78"/>
        <v>#N/A</v>
      </c>
      <c r="C629" s="58" t="e">
        <f t="shared" si="74"/>
        <v>#N/A</v>
      </c>
      <c r="D629" s="83" t="e">
        <f t="shared" si="79"/>
        <v>#N/A</v>
      </c>
      <c r="E629" t="e">
        <f t="shared" si="75"/>
        <v>#N/A</v>
      </c>
      <c r="G629">
        <v>579</v>
      </c>
      <c r="H629" s="13" t="e">
        <f t="shared" si="80"/>
        <v>#N/A</v>
      </c>
      <c r="I629" t="e">
        <f t="shared" si="81"/>
        <v>#N/A</v>
      </c>
      <c r="J629" t="e">
        <f t="shared" si="76"/>
        <v>#N/A</v>
      </c>
      <c r="K629" s="27" t="e">
        <f t="shared" si="77"/>
        <v>#N/A</v>
      </c>
    </row>
    <row r="630" spans="1:11">
      <c r="A630" s="26">
        <v>580</v>
      </c>
      <c r="B630" s="82" t="e">
        <f t="shared" si="78"/>
        <v>#N/A</v>
      </c>
      <c r="C630" s="58" t="e">
        <f t="shared" si="74"/>
        <v>#N/A</v>
      </c>
      <c r="D630" s="83" t="e">
        <f t="shared" si="79"/>
        <v>#N/A</v>
      </c>
      <c r="E630" t="e">
        <f t="shared" si="75"/>
        <v>#N/A</v>
      </c>
      <c r="G630">
        <v>580</v>
      </c>
      <c r="H630" s="13" t="e">
        <f t="shared" si="80"/>
        <v>#N/A</v>
      </c>
      <c r="I630" t="e">
        <f t="shared" si="81"/>
        <v>#N/A</v>
      </c>
      <c r="J630" t="e">
        <f t="shared" si="76"/>
        <v>#N/A</v>
      </c>
      <c r="K630" s="27" t="e">
        <f t="shared" si="77"/>
        <v>#N/A</v>
      </c>
    </row>
    <row r="631" spans="1:11">
      <c r="A631" s="26">
        <v>581</v>
      </c>
      <c r="B631" s="82" t="e">
        <f t="shared" si="78"/>
        <v>#N/A</v>
      </c>
      <c r="C631" s="58" t="e">
        <f t="shared" si="74"/>
        <v>#N/A</v>
      </c>
      <c r="D631" s="83" t="e">
        <f t="shared" si="79"/>
        <v>#N/A</v>
      </c>
      <c r="E631" t="e">
        <f t="shared" si="75"/>
        <v>#N/A</v>
      </c>
      <c r="G631">
        <v>581</v>
      </c>
      <c r="H631" s="13" t="e">
        <f t="shared" si="80"/>
        <v>#N/A</v>
      </c>
      <c r="I631" t="e">
        <f t="shared" si="81"/>
        <v>#N/A</v>
      </c>
      <c r="J631" t="e">
        <f t="shared" si="76"/>
        <v>#N/A</v>
      </c>
      <c r="K631" s="27" t="e">
        <f t="shared" si="77"/>
        <v>#N/A</v>
      </c>
    </row>
    <row r="632" spans="1:11">
      <c r="A632" s="26">
        <v>582</v>
      </c>
      <c r="B632" s="82" t="e">
        <f t="shared" si="78"/>
        <v>#N/A</v>
      </c>
      <c r="C632" s="58" t="e">
        <f t="shared" si="74"/>
        <v>#N/A</v>
      </c>
      <c r="D632" s="83" t="e">
        <f t="shared" si="79"/>
        <v>#N/A</v>
      </c>
      <c r="E632" t="e">
        <f t="shared" si="75"/>
        <v>#N/A</v>
      </c>
      <c r="G632">
        <v>582</v>
      </c>
      <c r="H632" s="13" t="e">
        <f t="shared" si="80"/>
        <v>#N/A</v>
      </c>
      <c r="I632" t="e">
        <f t="shared" si="81"/>
        <v>#N/A</v>
      </c>
      <c r="J632" t="e">
        <f t="shared" si="76"/>
        <v>#N/A</v>
      </c>
      <c r="K632" s="27" t="e">
        <f t="shared" si="77"/>
        <v>#N/A</v>
      </c>
    </row>
    <row r="633" spans="1:11">
      <c r="A633" s="26">
        <v>583</v>
      </c>
      <c r="B633" s="82" t="e">
        <f t="shared" si="78"/>
        <v>#N/A</v>
      </c>
      <c r="C633" s="58" t="e">
        <f t="shared" si="74"/>
        <v>#N/A</v>
      </c>
      <c r="D633" s="83" t="e">
        <f t="shared" si="79"/>
        <v>#N/A</v>
      </c>
      <c r="E633" t="e">
        <f t="shared" si="75"/>
        <v>#N/A</v>
      </c>
      <c r="G633">
        <v>583</v>
      </c>
      <c r="H633" s="13" t="e">
        <f t="shared" si="80"/>
        <v>#N/A</v>
      </c>
      <c r="I633" t="e">
        <f t="shared" si="81"/>
        <v>#N/A</v>
      </c>
      <c r="J633" t="e">
        <f t="shared" si="76"/>
        <v>#N/A</v>
      </c>
      <c r="K633" s="27" t="e">
        <f t="shared" si="77"/>
        <v>#N/A</v>
      </c>
    </row>
    <row r="634" spans="1:11">
      <c r="A634" s="26">
        <v>584</v>
      </c>
      <c r="B634" s="82" t="e">
        <f t="shared" si="78"/>
        <v>#N/A</v>
      </c>
      <c r="C634" s="58" t="e">
        <f t="shared" si="74"/>
        <v>#N/A</v>
      </c>
      <c r="D634" s="83" t="e">
        <f t="shared" si="79"/>
        <v>#N/A</v>
      </c>
      <c r="E634" t="e">
        <f t="shared" si="75"/>
        <v>#N/A</v>
      </c>
      <c r="G634">
        <v>584</v>
      </c>
      <c r="H634" s="13" t="e">
        <f t="shared" si="80"/>
        <v>#N/A</v>
      </c>
      <c r="I634" t="e">
        <f t="shared" si="81"/>
        <v>#N/A</v>
      </c>
      <c r="J634" t="e">
        <f t="shared" si="76"/>
        <v>#N/A</v>
      </c>
      <c r="K634" s="27" t="e">
        <f t="shared" si="77"/>
        <v>#N/A</v>
      </c>
    </row>
    <row r="635" spans="1:11">
      <c r="A635" s="26">
        <v>585</v>
      </c>
      <c r="B635" s="82" t="e">
        <f t="shared" si="78"/>
        <v>#N/A</v>
      </c>
      <c r="C635" s="58" t="e">
        <f t="shared" si="74"/>
        <v>#N/A</v>
      </c>
      <c r="D635" s="83" t="e">
        <f t="shared" si="79"/>
        <v>#N/A</v>
      </c>
      <c r="E635" t="e">
        <f t="shared" si="75"/>
        <v>#N/A</v>
      </c>
      <c r="G635">
        <v>585</v>
      </c>
      <c r="H635" s="13" t="e">
        <f t="shared" si="80"/>
        <v>#N/A</v>
      </c>
      <c r="I635" t="e">
        <f t="shared" si="81"/>
        <v>#N/A</v>
      </c>
      <c r="J635" t="e">
        <f t="shared" si="76"/>
        <v>#N/A</v>
      </c>
      <c r="K635" s="27" t="e">
        <f t="shared" si="77"/>
        <v>#N/A</v>
      </c>
    </row>
    <row r="636" spans="1:11">
      <c r="A636" s="26">
        <v>586</v>
      </c>
      <c r="B636" s="82" t="e">
        <f t="shared" si="78"/>
        <v>#N/A</v>
      </c>
      <c r="C636" s="58" t="e">
        <f t="shared" si="74"/>
        <v>#N/A</v>
      </c>
      <c r="D636" s="83" t="e">
        <f t="shared" si="79"/>
        <v>#N/A</v>
      </c>
      <c r="E636" t="e">
        <f t="shared" si="75"/>
        <v>#N/A</v>
      </c>
      <c r="G636">
        <v>586</v>
      </c>
      <c r="H636" s="13" t="e">
        <f t="shared" si="80"/>
        <v>#N/A</v>
      </c>
      <c r="I636" t="e">
        <f t="shared" si="81"/>
        <v>#N/A</v>
      </c>
      <c r="J636" t="e">
        <f t="shared" si="76"/>
        <v>#N/A</v>
      </c>
      <c r="K636" s="27" t="e">
        <f t="shared" si="77"/>
        <v>#N/A</v>
      </c>
    </row>
    <row r="637" spans="1:11">
      <c r="A637" s="26">
        <v>587</v>
      </c>
      <c r="B637" s="82" t="e">
        <f t="shared" si="78"/>
        <v>#N/A</v>
      </c>
      <c r="C637" s="58" t="e">
        <f t="shared" si="74"/>
        <v>#N/A</v>
      </c>
      <c r="D637" s="83" t="e">
        <f t="shared" si="79"/>
        <v>#N/A</v>
      </c>
      <c r="E637" t="e">
        <f t="shared" si="75"/>
        <v>#N/A</v>
      </c>
      <c r="G637">
        <v>587</v>
      </c>
      <c r="H637" s="13" t="e">
        <f t="shared" si="80"/>
        <v>#N/A</v>
      </c>
      <c r="I637" t="e">
        <f t="shared" si="81"/>
        <v>#N/A</v>
      </c>
      <c r="J637" t="e">
        <f t="shared" si="76"/>
        <v>#N/A</v>
      </c>
      <c r="K637" s="27" t="e">
        <f t="shared" si="77"/>
        <v>#N/A</v>
      </c>
    </row>
    <row r="638" spans="1:11">
      <c r="A638" s="26">
        <v>588</v>
      </c>
      <c r="B638" s="82" t="e">
        <f t="shared" si="78"/>
        <v>#N/A</v>
      </c>
      <c r="C638" s="58" t="e">
        <f t="shared" si="74"/>
        <v>#N/A</v>
      </c>
      <c r="D638" s="83" t="e">
        <f t="shared" si="79"/>
        <v>#N/A</v>
      </c>
      <c r="E638" t="e">
        <f t="shared" si="75"/>
        <v>#N/A</v>
      </c>
      <c r="G638">
        <v>588</v>
      </c>
      <c r="H638" s="13" t="e">
        <f t="shared" si="80"/>
        <v>#N/A</v>
      </c>
      <c r="I638" t="e">
        <f t="shared" si="81"/>
        <v>#N/A</v>
      </c>
      <c r="J638" t="e">
        <f t="shared" si="76"/>
        <v>#N/A</v>
      </c>
      <c r="K638" s="27" t="e">
        <f t="shared" si="77"/>
        <v>#N/A</v>
      </c>
    </row>
    <row r="639" spans="1:11">
      <c r="A639" s="26">
        <v>589</v>
      </c>
      <c r="B639" s="82" t="e">
        <f t="shared" si="78"/>
        <v>#N/A</v>
      </c>
      <c r="C639" s="58" t="e">
        <f t="shared" si="74"/>
        <v>#N/A</v>
      </c>
      <c r="D639" s="83" t="e">
        <f t="shared" si="79"/>
        <v>#N/A</v>
      </c>
      <c r="E639" t="e">
        <f t="shared" si="75"/>
        <v>#N/A</v>
      </c>
      <c r="G639">
        <v>589</v>
      </c>
      <c r="H639" s="13" t="e">
        <f t="shared" si="80"/>
        <v>#N/A</v>
      </c>
      <c r="I639" t="e">
        <f t="shared" si="81"/>
        <v>#N/A</v>
      </c>
      <c r="J639" t="e">
        <f t="shared" si="76"/>
        <v>#N/A</v>
      </c>
      <c r="K639" s="27" t="e">
        <f t="shared" si="77"/>
        <v>#N/A</v>
      </c>
    </row>
    <row r="640" spans="1:11">
      <c r="A640" s="26">
        <v>590</v>
      </c>
      <c r="B640" s="82" t="e">
        <f t="shared" si="78"/>
        <v>#N/A</v>
      </c>
      <c r="C640" s="58" t="e">
        <f t="shared" si="74"/>
        <v>#N/A</v>
      </c>
      <c r="D640" s="83" t="e">
        <f t="shared" si="79"/>
        <v>#N/A</v>
      </c>
      <c r="E640" t="e">
        <f t="shared" si="75"/>
        <v>#N/A</v>
      </c>
      <c r="G640">
        <v>590</v>
      </c>
      <c r="H640" s="13" t="e">
        <f t="shared" si="80"/>
        <v>#N/A</v>
      </c>
      <c r="I640" t="e">
        <f t="shared" si="81"/>
        <v>#N/A</v>
      </c>
      <c r="J640" t="e">
        <f t="shared" si="76"/>
        <v>#N/A</v>
      </c>
      <c r="K640" s="27" t="e">
        <f t="shared" si="77"/>
        <v>#N/A</v>
      </c>
    </row>
    <row r="641" spans="1:11">
      <c r="A641" s="26">
        <v>591</v>
      </c>
      <c r="B641" s="82" t="e">
        <f t="shared" si="78"/>
        <v>#N/A</v>
      </c>
      <c r="C641" s="58" t="e">
        <f t="shared" si="74"/>
        <v>#N/A</v>
      </c>
      <c r="D641" s="83" t="e">
        <f t="shared" si="79"/>
        <v>#N/A</v>
      </c>
      <c r="E641" t="e">
        <f t="shared" si="75"/>
        <v>#N/A</v>
      </c>
      <c r="G641">
        <v>591</v>
      </c>
      <c r="H641" s="13" t="e">
        <f t="shared" si="80"/>
        <v>#N/A</v>
      </c>
      <c r="I641" t="e">
        <f t="shared" si="81"/>
        <v>#N/A</v>
      </c>
      <c r="J641" t="e">
        <f t="shared" si="76"/>
        <v>#N/A</v>
      </c>
      <c r="K641" s="27" t="e">
        <f t="shared" si="77"/>
        <v>#N/A</v>
      </c>
    </row>
    <row r="642" spans="1:11">
      <c r="A642" s="26">
        <v>592</v>
      </c>
      <c r="B642" s="82" t="e">
        <f t="shared" si="78"/>
        <v>#N/A</v>
      </c>
      <c r="C642" s="58" t="e">
        <f t="shared" si="74"/>
        <v>#N/A</v>
      </c>
      <c r="D642" s="83" t="e">
        <f t="shared" si="79"/>
        <v>#N/A</v>
      </c>
      <c r="E642" t="e">
        <f t="shared" si="75"/>
        <v>#N/A</v>
      </c>
      <c r="G642">
        <v>592</v>
      </c>
      <c r="H642" s="13" t="e">
        <f t="shared" si="80"/>
        <v>#N/A</v>
      </c>
      <c r="I642" t="e">
        <f t="shared" si="81"/>
        <v>#N/A</v>
      </c>
      <c r="J642" t="e">
        <f t="shared" si="76"/>
        <v>#N/A</v>
      </c>
      <c r="K642" s="27" t="e">
        <f t="shared" si="77"/>
        <v>#N/A</v>
      </c>
    </row>
    <row r="643" spans="1:11">
      <c r="A643" s="26">
        <v>593</v>
      </c>
      <c r="B643" s="82" t="e">
        <f t="shared" si="78"/>
        <v>#N/A</v>
      </c>
      <c r="C643" s="58" t="e">
        <f t="shared" si="74"/>
        <v>#N/A</v>
      </c>
      <c r="D643" s="83" t="e">
        <f t="shared" si="79"/>
        <v>#N/A</v>
      </c>
      <c r="E643" t="e">
        <f t="shared" si="75"/>
        <v>#N/A</v>
      </c>
      <c r="G643">
        <v>593</v>
      </c>
      <c r="H643" s="13" t="e">
        <f t="shared" si="80"/>
        <v>#N/A</v>
      </c>
      <c r="I643" t="e">
        <f t="shared" si="81"/>
        <v>#N/A</v>
      </c>
      <c r="J643" t="e">
        <f t="shared" si="76"/>
        <v>#N/A</v>
      </c>
      <c r="K643" s="27" t="e">
        <f t="shared" si="77"/>
        <v>#N/A</v>
      </c>
    </row>
    <row r="644" spans="1:11">
      <c r="A644" s="26">
        <v>594</v>
      </c>
      <c r="B644" s="82" t="e">
        <f t="shared" si="78"/>
        <v>#N/A</v>
      </c>
      <c r="C644" s="58" t="e">
        <f t="shared" si="74"/>
        <v>#N/A</v>
      </c>
      <c r="D644" s="83" t="e">
        <f t="shared" si="79"/>
        <v>#N/A</v>
      </c>
      <c r="E644" t="e">
        <f t="shared" si="75"/>
        <v>#N/A</v>
      </c>
      <c r="G644">
        <v>594</v>
      </c>
      <c r="H644" s="13" t="e">
        <f t="shared" si="80"/>
        <v>#N/A</v>
      </c>
      <c r="I644" t="e">
        <f t="shared" si="81"/>
        <v>#N/A</v>
      </c>
      <c r="J644" t="e">
        <f t="shared" si="76"/>
        <v>#N/A</v>
      </c>
      <c r="K644" s="27" t="e">
        <f t="shared" si="77"/>
        <v>#N/A</v>
      </c>
    </row>
    <row r="645" spans="1:11">
      <c r="A645" s="26">
        <v>595</v>
      </c>
      <c r="B645" s="82" t="e">
        <f t="shared" si="78"/>
        <v>#N/A</v>
      </c>
      <c r="C645" s="58" t="e">
        <f t="shared" si="74"/>
        <v>#N/A</v>
      </c>
      <c r="D645" s="83" t="e">
        <f t="shared" si="79"/>
        <v>#N/A</v>
      </c>
      <c r="E645" t="e">
        <f t="shared" si="75"/>
        <v>#N/A</v>
      </c>
      <c r="G645">
        <v>595</v>
      </c>
      <c r="H645" s="13" t="e">
        <f t="shared" si="80"/>
        <v>#N/A</v>
      </c>
      <c r="I645" t="e">
        <f t="shared" si="81"/>
        <v>#N/A</v>
      </c>
      <c r="J645" t="e">
        <f t="shared" si="76"/>
        <v>#N/A</v>
      </c>
      <c r="K645" s="27" t="e">
        <f t="shared" si="77"/>
        <v>#N/A</v>
      </c>
    </row>
    <row r="646" spans="1:11">
      <c r="A646" s="26">
        <v>596</v>
      </c>
      <c r="B646" s="82" t="e">
        <f t="shared" si="78"/>
        <v>#N/A</v>
      </c>
      <c r="C646" s="58" t="e">
        <f t="shared" si="74"/>
        <v>#N/A</v>
      </c>
      <c r="D646" s="83" t="e">
        <f t="shared" si="79"/>
        <v>#N/A</v>
      </c>
      <c r="E646" t="e">
        <f t="shared" si="75"/>
        <v>#N/A</v>
      </c>
      <c r="G646">
        <v>596</v>
      </c>
      <c r="H646" s="13" t="e">
        <f t="shared" si="80"/>
        <v>#N/A</v>
      </c>
      <c r="I646" t="e">
        <f t="shared" si="81"/>
        <v>#N/A</v>
      </c>
      <c r="J646" t="e">
        <f t="shared" si="76"/>
        <v>#N/A</v>
      </c>
      <c r="K646" s="27" t="e">
        <f t="shared" si="77"/>
        <v>#N/A</v>
      </c>
    </row>
    <row r="647" spans="1:11">
      <c r="A647" s="26">
        <v>597</v>
      </c>
      <c r="B647" s="82" t="e">
        <f t="shared" si="78"/>
        <v>#N/A</v>
      </c>
      <c r="C647" s="58" t="e">
        <f t="shared" si="74"/>
        <v>#N/A</v>
      </c>
      <c r="D647" s="83" t="e">
        <f t="shared" si="79"/>
        <v>#N/A</v>
      </c>
      <c r="E647" t="e">
        <f t="shared" si="75"/>
        <v>#N/A</v>
      </c>
      <c r="G647">
        <v>597</v>
      </c>
      <c r="H647" s="13" t="e">
        <f t="shared" si="80"/>
        <v>#N/A</v>
      </c>
      <c r="I647" t="e">
        <f t="shared" si="81"/>
        <v>#N/A</v>
      </c>
      <c r="J647" t="e">
        <f t="shared" si="76"/>
        <v>#N/A</v>
      </c>
      <c r="K647" s="27" t="e">
        <f t="shared" si="77"/>
        <v>#N/A</v>
      </c>
    </row>
    <row r="648" spans="1:11">
      <c r="A648" s="26">
        <v>598</v>
      </c>
      <c r="B648" s="82" t="e">
        <f t="shared" si="78"/>
        <v>#N/A</v>
      </c>
      <c r="C648" s="58" t="e">
        <f t="shared" si="74"/>
        <v>#N/A</v>
      </c>
      <c r="D648" s="83" t="e">
        <f t="shared" si="79"/>
        <v>#N/A</v>
      </c>
      <c r="E648" t="e">
        <f t="shared" si="75"/>
        <v>#N/A</v>
      </c>
      <c r="G648">
        <v>598</v>
      </c>
      <c r="H648" s="13" t="e">
        <f t="shared" si="80"/>
        <v>#N/A</v>
      </c>
      <c r="I648" t="e">
        <f t="shared" si="81"/>
        <v>#N/A</v>
      </c>
      <c r="J648" t="e">
        <f t="shared" si="76"/>
        <v>#N/A</v>
      </c>
      <c r="K648" s="27" t="e">
        <f t="shared" si="77"/>
        <v>#N/A</v>
      </c>
    </row>
    <row r="649" spans="1:11">
      <c r="A649" s="26">
        <v>599</v>
      </c>
      <c r="B649" s="82" t="e">
        <f t="shared" si="78"/>
        <v>#N/A</v>
      </c>
      <c r="C649" s="58" t="e">
        <f t="shared" si="74"/>
        <v>#N/A</v>
      </c>
      <c r="D649" s="83" t="e">
        <f t="shared" si="79"/>
        <v>#N/A</v>
      </c>
      <c r="E649" t="e">
        <f t="shared" si="75"/>
        <v>#N/A</v>
      </c>
      <c r="G649">
        <v>599</v>
      </c>
      <c r="H649" s="13" t="e">
        <f t="shared" si="80"/>
        <v>#N/A</v>
      </c>
      <c r="I649" t="e">
        <f t="shared" si="81"/>
        <v>#N/A</v>
      </c>
      <c r="J649" t="e">
        <f t="shared" si="76"/>
        <v>#N/A</v>
      </c>
      <c r="K649" s="27" t="e">
        <f t="shared" si="77"/>
        <v>#N/A</v>
      </c>
    </row>
    <row r="650" spans="1:11">
      <c r="A650" s="26">
        <v>600</v>
      </c>
      <c r="B650" s="82" t="e">
        <f t="shared" si="78"/>
        <v>#N/A</v>
      </c>
      <c r="C650" s="58" t="e">
        <f t="shared" si="74"/>
        <v>#N/A</v>
      </c>
      <c r="D650" s="83" t="e">
        <f t="shared" si="79"/>
        <v>#N/A</v>
      </c>
      <c r="E650" t="e">
        <f t="shared" si="75"/>
        <v>#N/A</v>
      </c>
      <c r="G650">
        <v>600</v>
      </c>
      <c r="H650" s="13" t="e">
        <f t="shared" si="80"/>
        <v>#N/A</v>
      </c>
      <c r="I650" t="e">
        <f t="shared" si="81"/>
        <v>#N/A</v>
      </c>
      <c r="J650" t="e">
        <f t="shared" si="76"/>
        <v>#N/A</v>
      </c>
      <c r="K650" s="27" t="e">
        <f t="shared" si="77"/>
        <v>#N/A</v>
      </c>
    </row>
    <row r="651" spans="1:11">
      <c r="A651" s="26">
        <v>601</v>
      </c>
      <c r="B651" s="82" t="e">
        <f t="shared" si="78"/>
        <v>#N/A</v>
      </c>
      <c r="C651" s="58" t="e">
        <f t="shared" si="74"/>
        <v>#N/A</v>
      </c>
      <c r="D651" s="83" t="e">
        <f t="shared" si="79"/>
        <v>#N/A</v>
      </c>
      <c r="E651" t="e">
        <f t="shared" si="75"/>
        <v>#N/A</v>
      </c>
      <c r="G651">
        <v>601</v>
      </c>
      <c r="H651" s="13" t="e">
        <f t="shared" si="80"/>
        <v>#N/A</v>
      </c>
      <c r="I651" t="e">
        <f t="shared" si="81"/>
        <v>#N/A</v>
      </c>
      <c r="J651" t="e">
        <f t="shared" si="76"/>
        <v>#N/A</v>
      </c>
      <c r="K651" s="27" t="e">
        <f t="shared" si="77"/>
        <v>#N/A</v>
      </c>
    </row>
    <row r="652" spans="1:11">
      <c r="A652" s="26">
        <v>602</v>
      </c>
      <c r="B652" s="82" t="e">
        <f t="shared" si="78"/>
        <v>#N/A</v>
      </c>
      <c r="C652" s="58" t="e">
        <f t="shared" si="74"/>
        <v>#N/A</v>
      </c>
      <c r="D652" s="83" t="e">
        <f t="shared" si="79"/>
        <v>#N/A</v>
      </c>
      <c r="E652" t="e">
        <f t="shared" si="75"/>
        <v>#N/A</v>
      </c>
      <c r="G652">
        <v>602</v>
      </c>
      <c r="H652" s="13" t="e">
        <f t="shared" si="80"/>
        <v>#N/A</v>
      </c>
      <c r="I652" t="e">
        <f t="shared" si="81"/>
        <v>#N/A</v>
      </c>
      <c r="J652" t="e">
        <f t="shared" si="76"/>
        <v>#N/A</v>
      </c>
      <c r="K652" s="27" t="e">
        <f t="shared" si="77"/>
        <v>#N/A</v>
      </c>
    </row>
    <row r="653" spans="1:11">
      <c r="A653" s="26">
        <v>603</v>
      </c>
      <c r="B653" s="82" t="e">
        <f t="shared" si="78"/>
        <v>#N/A</v>
      </c>
      <c r="C653" s="58" t="e">
        <f t="shared" si="74"/>
        <v>#N/A</v>
      </c>
      <c r="D653" s="83" t="e">
        <f t="shared" si="79"/>
        <v>#N/A</v>
      </c>
      <c r="E653" t="e">
        <f t="shared" si="75"/>
        <v>#N/A</v>
      </c>
      <c r="G653">
        <v>603</v>
      </c>
      <c r="H653" s="13" t="e">
        <f t="shared" si="80"/>
        <v>#N/A</v>
      </c>
      <c r="I653" t="e">
        <f t="shared" si="81"/>
        <v>#N/A</v>
      </c>
      <c r="J653" t="e">
        <f t="shared" si="76"/>
        <v>#N/A</v>
      </c>
      <c r="K653" s="27" t="e">
        <f t="shared" si="77"/>
        <v>#N/A</v>
      </c>
    </row>
    <row r="654" spans="1:11">
      <c r="A654" s="26">
        <v>604</v>
      </c>
      <c r="B654" s="82" t="e">
        <f t="shared" si="78"/>
        <v>#N/A</v>
      </c>
      <c r="C654" s="58" t="e">
        <f t="shared" si="74"/>
        <v>#N/A</v>
      </c>
      <c r="D654" s="83" t="e">
        <f t="shared" si="79"/>
        <v>#N/A</v>
      </c>
      <c r="E654" t="e">
        <f t="shared" si="75"/>
        <v>#N/A</v>
      </c>
      <c r="G654">
        <v>604</v>
      </c>
      <c r="H654" s="13" t="e">
        <f t="shared" si="80"/>
        <v>#N/A</v>
      </c>
      <c r="I654" t="e">
        <f t="shared" si="81"/>
        <v>#N/A</v>
      </c>
      <c r="J654" t="e">
        <f t="shared" si="76"/>
        <v>#N/A</v>
      </c>
      <c r="K654" s="27" t="e">
        <f t="shared" si="77"/>
        <v>#N/A</v>
      </c>
    </row>
    <row r="655" spans="1:11">
      <c r="A655" s="26">
        <v>605</v>
      </c>
      <c r="B655" s="82" t="e">
        <f t="shared" si="78"/>
        <v>#N/A</v>
      </c>
      <c r="C655" s="58" t="e">
        <f t="shared" si="74"/>
        <v>#N/A</v>
      </c>
      <c r="D655" s="83" t="e">
        <f t="shared" si="79"/>
        <v>#N/A</v>
      </c>
      <c r="E655" t="e">
        <f t="shared" si="75"/>
        <v>#N/A</v>
      </c>
      <c r="G655">
        <v>605</v>
      </c>
      <c r="H655" s="13" t="e">
        <f t="shared" si="80"/>
        <v>#N/A</v>
      </c>
      <c r="I655" t="e">
        <f t="shared" si="81"/>
        <v>#N/A</v>
      </c>
      <c r="J655" t="e">
        <f t="shared" si="76"/>
        <v>#N/A</v>
      </c>
      <c r="K655" s="27" t="e">
        <f t="shared" si="77"/>
        <v>#N/A</v>
      </c>
    </row>
    <row r="656" spans="1:11">
      <c r="A656" s="26">
        <v>606</v>
      </c>
      <c r="B656" s="82" t="e">
        <f t="shared" si="78"/>
        <v>#N/A</v>
      </c>
      <c r="C656" s="58" t="e">
        <f t="shared" ref="C656:C719" si="82">($C$37-$C$36)/2000+C655</f>
        <v>#N/A</v>
      </c>
      <c r="D656" s="83" t="e">
        <f t="shared" si="79"/>
        <v>#N/A</v>
      </c>
      <c r="E656" t="e">
        <f t="shared" si="75"/>
        <v>#N/A</v>
      </c>
      <c r="G656">
        <v>606</v>
      </c>
      <c r="H656" s="13" t="e">
        <f t="shared" si="80"/>
        <v>#N/A</v>
      </c>
      <c r="I656" t="e">
        <f t="shared" si="81"/>
        <v>#N/A</v>
      </c>
      <c r="J656" t="e">
        <f t="shared" si="76"/>
        <v>#N/A</v>
      </c>
      <c r="K656" s="27" t="e">
        <f t="shared" si="77"/>
        <v>#N/A</v>
      </c>
    </row>
    <row r="657" spans="1:11">
      <c r="A657" s="26">
        <v>607</v>
      </c>
      <c r="B657" s="82" t="e">
        <f t="shared" si="78"/>
        <v>#N/A</v>
      </c>
      <c r="C657" s="58" t="e">
        <f t="shared" si="82"/>
        <v>#N/A</v>
      </c>
      <c r="D657" s="83" t="e">
        <f t="shared" si="79"/>
        <v>#N/A</v>
      </c>
      <c r="E657" t="e">
        <f t="shared" si="75"/>
        <v>#N/A</v>
      </c>
      <c r="G657">
        <v>607</v>
      </c>
      <c r="H657" s="13" t="e">
        <f t="shared" si="80"/>
        <v>#N/A</v>
      </c>
      <c r="I657" t="e">
        <f t="shared" si="81"/>
        <v>#N/A</v>
      </c>
      <c r="J657" t="e">
        <f t="shared" si="76"/>
        <v>#N/A</v>
      </c>
      <c r="K657" s="27" t="e">
        <f t="shared" si="77"/>
        <v>#N/A</v>
      </c>
    </row>
    <row r="658" spans="1:11">
      <c r="A658" s="26">
        <v>608</v>
      </c>
      <c r="B658" s="82" t="e">
        <f t="shared" si="78"/>
        <v>#N/A</v>
      </c>
      <c r="C658" s="58" t="e">
        <f t="shared" si="82"/>
        <v>#N/A</v>
      </c>
      <c r="D658" s="83" t="e">
        <f t="shared" si="79"/>
        <v>#N/A</v>
      </c>
      <c r="E658" t="e">
        <f t="shared" si="75"/>
        <v>#N/A</v>
      </c>
      <c r="G658">
        <v>608</v>
      </c>
      <c r="H658" s="13" t="e">
        <f t="shared" si="80"/>
        <v>#N/A</v>
      </c>
      <c r="I658" t="e">
        <f t="shared" si="81"/>
        <v>#N/A</v>
      </c>
      <c r="J658" t="e">
        <f t="shared" si="76"/>
        <v>#N/A</v>
      </c>
      <c r="K658" s="27" t="e">
        <f t="shared" si="77"/>
        <v>#N/A</v>
      </c>
    </row>
    <row r="659" spans="1:11">
      <c r="A659" s="26">
        <v>609</v>
      </c>
      <c r="B659" s="82" t="e">
        <f t="shared" si="78"/>
        <v>#N/A</v>
      </c>
      <c r="C659" s="58" t="e">
        <f t="shared" si="82"/>
        <v>#N/A</v>
      </c>
      <c r="D659" s="83" t="e">
        <f t="shared" si="79"/>
        <v>#N/A</v>
      </c>
      <c r="E659" t="e">
        <f t="shared" si="75"/>
        <v>#N/A</v>
      </c>
      <c r="G659">
        <v>609</v>
      </c>
      <c r="H659" s="13" t="e">
        <f t="shared" si="80"/>
        <v>#N/A</v>
      </c>
      <c r="I659" t="e">
        <f t="shared" si="81"/>
        <v>#N/A</v>
      </c>
      <c r="J659" t="e">
        <f t="shared" si="76"/>
        <v>#N/A</v>
      </c>
      <c r="K659" s="27" t="e">
        <f t="shared" si="77"/>
        <v>#N/A</v>
      </c>
    </row>
    <row r="660" spans="1:11">
      <c r="A660" s="26">
        <v>610</v>
      </c>
      <c r="B660" s="82" t="e">
        <f t="shared" si="78"/>
        <v>#N/A</v>
      </c>
      <c r="C660" s="58" t="e">
        <f t="shared" si="82"/>
        <v>#N/A</v>
      </c>
      <c r="D660" s="83" t="e">
        <f t="shared" si="79"/>
        <v>#N/A</v>
      </c>
      <c r="E660" t="e">
        <f t="shared" si="75"/>
        <v>#N/A</v>
      </c>
      <c r="G660">
        <v>610</v>
      </c>
      <c r="H660" s="13" t="e">
        <f t="shared" si="80"/>
        <v>#N/A</v>
      </c>
      <c r="I660" t="e">
        <f t="shared" si="81"/>
        <v>#N/A</v>
      </c>
      <c r="J660" t="e">
        <f t="shared" si="76"/>
        <v>#N/A</v>
      </c>
      <c r="K660" s="27" t="e">
        <f t="shared" si="77"/>
        <v>#N/A</v>
      </c>
    </row>
    <row r="661" spans="1:11">
      <c r="A661" s="26">
        <v>611</v>
      </c>
      <c r="B661" s="82" t="e">
        <f t="shared" si="78"/>
        <v>#N/A</v>
      </c>
      <c r="C661" s="58" t="e">
        <f t="shared" si="82"/>
        <v>#N/A</v>
      </c>
      <c r="D661" s="83" t="e">
        <f t="shared" si="79"/>
        <v>#N/A</v>
      </c>
      <c r="E661" t="e">
        <f t="shared" si="75"/>
        <v>#N/A</v>
      </c>
      <c r="G661">
        <v>611</v>
      </c>
      <c r="H661" s="13" t="e">
        <f t="shared" si="80"/>
        <v>#N/A</v>
      </c>
      <c r="I661" t="e">
        <f t="shared" si="81"/>
        <v>#N/A</v>
      </c>
      <c r="J661" t="e">
        <f t="shared" si="76"/>
        <v>#N/A</v>
      </c>
      <c r="K661" s="27" t="e">
        <f t="shared" si="77"/>
        <v>#N/A</v>
      </c>
    </row>
    <row r="662" spans="1:11">
      <c r="A662" s="26">
        <v>612</v>
      </c>
      <c r="B662" s="82" t="e">
        <f t="shared" si="78"/>
        <v>#N/A</v>
      </c>
      <c r="C662" s="58" t="e">
        <f t="shared" si="82"/>
        <v>#N/A</v>
      </c>
      <c r="D662" s="83" t="e">
        <f t="shared" si="79"/>
        <v>#N/A</v>
      </c>
      <c r="E662" t="e">
        <f t="shared" si="75"/>
        <v>#N/A</v>
      </c>
      <c r="G662">
        <v>612</v>
      </c>
      <c r="H662" s="13" t="e">
        <f t="shared" si="80"/>
        <v>#N/A</v>
      </c>
      <c r="I662" t="e">
        <f t="shared" si="81"/>
        <v>#N/A</v>
      </c>
      <c r="J662" t="e">
        <f t="shared" si="76"/>
        <v>#N/A</v>
      </c>
      <c r="K662" s="27" t="e">
        <f t="shared" si="77"/>
        <v>#N/A</v>
      </c>
    </row>
    <row r="663" spans="1:11">
      <c r="A663" s="26">
        <v>613</v>
      </c>
      <c r="B663" s="82" t="e">
        <f t="shared" si="78"/>
        <v>#N/A</v>
      </c>
      <c r="C663" s="58" t="e">
        <f t="shared" si="82"/>
        <v>#N/A</v>
      </c>
      <c r="D663" s="83" t="e">
        <f t="shared" si="79"/>
        <v>#N/A</v>
      </c>
      <c r="E663" t="e">
        <f t="shared" si="75"/>
        <v>#N/A</v>
      </c>
      <c r="G663">
        <v>613</v>
      </c>
      <c r="H663" s="13" t="e">
        <f t="shared" si="80"/>
        <v>#N/A</v>
      </c>
      <c r="I663" t="e">
        <f t="shared" si="81"/>
        <v>#N/A</v>
      </c>
      <c r="J663" t="e">
        <f t="shared" si="76"/>
        <v>#N/A</v>
      </c>
      <c r="K663" s="27" t="e">
        <f t="shared" si="77"/>
        <v>#N/A</v>
      </c>
    </row>
    <row r="664" spans="1:11">
      <c r="A664" s="26">
        <v>614</v>
      </c>
      <c r="B664" s="82" t="e">
        <f t="shared" si="78"/>
        <v>#N/A</v>
      </c>
      <c r="C664" s="58" t="e">
        <f t="shared" si="82"/>
        <v>#N/A</v>
      </c>
      <c r="D664" s="83" t="e">
        <f t="shared" si="79"/>
        <v>#N/A</v>
      </c>
      <c r="E664" t="e">
        <f t="shared" si="75"/>
        <v>#N/A</v>
      </c>
      <c r="G664">
        <v>614</v>
      </c>
      <c r="H664" s="13" t="e">
        <f t="shared" si="80"/>
        <v>#N/A</v>
      </c>
      <c r="I664" t="e">
        <f t="shared" si="81"/>
        <v>#N/A</v>
      </c>
      <c r="J664" t="e">
        <f t="shared" si="76"/>
        <v>#N/A</v>
      </c>
      <c r="K664" s="27" t="e">
        <f t="shared" si="77"/>
        <v>#N/A</v>
      </c>
    </row>
    <row r="665" spans="1:11">
      <c r="A665" s="26">
        <v>615</v>
      </c>
      <c r="B665" s="82" t="e">
        <f t="shared" si="78"/>
        <v>#N/A</v>
      </c>
      <c r="C665" s="58" t="e">
        <f t="shared" si="82"/>
        <v>#N/A</v>
      </c>
      <c r="D665" s="83" t="e">
        <f t="shared" si="79"/>
        <v>#N/A</v>
      </c>
      <c r="E665" t="e">
        <f t="shared" si="75"/>
        <v>#N/A</v>
      </c>
      <c r="G665">
        <v>615</v>
      </c>
      <c r="H665" s="13" t="e">
        <f t="shared" si="80"/>
        <v>#N/A</v>
      </c>
      <c r="I665" t="e">
        <f t="shared" si="81"/>
        <v>#N/A</v>
      </c>
      <c r="J665" t="e">
        <f t="shared" si="76"/>
        <v>#N/A</v>
      </c>
      <c r="K665" s="27" t="e">
        <f t="shared" si="77"/>
        <v>#N/A</v>
      </c>
    </row>
    <row r="666" spans="1:11">
      <c r="A666" s="26">
        <v>616</v>
      </c>
      <c r="B666" s="82" t="e">
        <f t="shared" si="78"/>
        <v>#N/A</v>
      </c>
      <c r="C666" s="58" t="e">
        <f t="shared" si="82"/>
        <v>#N/A</v>
      </c>
      <c r="D666" s="83" t="e">
        <f t="shared" si="79"/>
        <v>#N/A</v>
      </c>
      <c r="E666" t="e">
        <f t="shared" si="75"/>
        <v>#N/A</v>
      </c>
      <c r="G666">
        <v>616</v>
      </c>
      <c r="H666" s="13" t="e">
        <f t="shared" si="80"/>
        <v>#N/A</v>
      </c>
      <c r="I666" t="e">
        <f t="shared" si="81"/>
        <v>#N/A</v>
      </c>
      <c r="J666" t="e">
        <f t="shared" si="76"/>
        <v>#N/A</v>
      </c>
      <c r="K666" s="27" t="e">
        <f t="shared" si="77"/>
        <v>#N/A</v>
      </c>
    </row>
    <row r="667" spans="1:11">
      <c r="A667" s="26">
        <v>617</v>
      </c>
      <c r="B667" s="82" t="e">
        <f t="shared" si="78"/>
        <v>#N/A</v>
      </c>
      <c r="C667" s="58" t="e">
        <f t="shared" si="82"/>
        <v>#N/A</v>
      </c>
      <c r="D667" s="83" t="e">
        <f t="shared" si="79"/>
        <v>#N/A</v>
      </c>
      <c r="E667" t="e">
        <f t="shared" si="75"/>
        <v>#N/A</v>
      </c>
      <c r="G667">
        <v>617</v>
      </c>
      <c r="H667" s="13" t="e">
        <f t="shared" si="80"/>
        <v>#N/A</v>
      </c>
      <c r="I667" t="e">
        <f t="shared" si="81"/>
        <v>#N/A</v>
      </c>
      <c r="J667" t="e">
        <f t="shared" si="76"/>
        <v>#N/A</v>
      </c>
      <c r="K667" s="27" t="e">
        <f t="shared" si="77"/>
        <v>#N/A</v>
      </c>
    </row>
    <row r="668" spans="1:11">
      <c r="A668" s="26">
        <v>618</v>
      </c>
      <c r="B668" s="82" t="e">
        <f t="shared" si="78"/>
        <v>#N/A</v>
      </c>
      <c r="C668" s="58" t="e">
        <f t="shared" si="82"/>
        <v>#N/A</v>
      </c>
      <c r="D668" s="83" t="e">
        <f t="shared" si="79"/>
        <v>#N/A</v>
      </c>
      <c r="E668" t="e">
        <f t="shared" si="75"/>
        <v>#N/A</v>
      </c>
      <c r="G668">
        <v>618</v>
      </c>
      <c r="H668" s="13" t="e">
        <f t="shared" si="80"/>
        <v>#N/A</v>
      </c>
      <c r="I668" t="e">
        <f t="shared" si="81"/>
        <v>#N/A</v>
      </c>
      <c r="J668" t="e">
        <f t="shared" si="76"/>
        <v>#N/A</v>
      </c>
      <c r="K668" s="27" t="e">
        <f t="shared" si="77"/>
        <v>#N/A</v>
      </c>
    </row>
    <row r="669" spans="1:11">
      <c r="A669" s="26">
        <v>619</v>
      </c>
      <c r="B669" s="82" t="e">
        <f t="shared" si="78"/>
        <v>#N/A</v>
      </c>
      <c r="C669" s="58" t="e">
        <f t="shared" si="82"/>
        <v>#N/A</v>
      </c>
      <c r="D669" s="83" t="e">
        <f t="shared" si="79"/>
        <v>#N/A</v>
      </c>
      <c r="E669" t="e">
        <f t="shared" si="75"/>
        <v>#N/A</v>
      </c>
      <c r="G669">
        <v>619</v>
      </c>
      <c r="H669" s="13" t="e">
        <f t="shared" si="80"/>
        <v>#N/A</v>
      </c>
      <c r="I669" t="e">
        <f t="shared" si="81"/>
        <v>#N/A</v>
      </c>
      <c r="J669" t="e">
        <f t="shared" si="76"/>
        <v>#N/A</v>
      </c>
      <c r="K669" s="27" t="e">
        <f t="shared" si="77"/>
        <v>#N/A</v>
      </c>
    </row>
    <row r="670" spans="1:11">
      <c r="A670" s="26">
        <v>620</v>
      </c>
      <c r="B670" s="82" t="e">
        <f t="shared" si="78"/>
        <v>#N/A</v>
      </c>
      <c r="C670" s="58" t="e">
        <f t="shared" si="82"/>
        <v>#N/A</v>
      </c>
      <c r="D670" s="83" t="e">
        <f t="shared" si="79"/>
        <v>#N/A</v>
      </c>
      <c r="E670" t="e">
        <f t="shared" si="75"/>
        <v>#N/A</v>
      </c>
      <c r="G670">
        <v>620</v>
      </c>
      <c r="H670" s="13" t="e">
        <f t="shared" si="80"/>
        <v>#N/A</v>
      </c>
      <c r="I670" t="e">
        <f t="shared" si="81"/>
        <v>#N/A</v>
      </c>
      <c r="J670" t="e">
        <f t="shared" si="76"/>
        <v>#N/A</v>
      </c>
      <c r="K670" s="27" t="e">
        <f t="shared" si="77"/>
        <v>#N/A</v>
      </c>
    </row>
    <row r="671" spans="1:11">
      <c r="A671" s="26">
        <v>621</v>
      </c>
      <c r="B671" s="82" t="e">
        <f t="shared" si="78"/>
        <v>#N/A</v>
      </c>
      <c r="C671" s="58" t="e">
        <f t="shared" si="82"/>
        <v>#N/A</v>
      </c>
      <c r="D671" s="83" t="e">
        <f t="shared" si="79"/>
        <v>#N/A</v>
      </c>
      <c r="E671" t="e">
        <f t="shared" si="75"/>
        <v>#N/A</v>
      </c>
      <c r="G671">
        <v>621</v>
      </c>
      <c r="H671" s="13" t="e">
        <f t="shared" si="80"/>
        <v>#N/A</v>
      </c>
      <c r="I671" t="e">
        <f t="shared" si="81"/>
        <v>#N/A</v>
      </c>
      <c r="J671" t="e">
        <f t="shared" si="76"/>
        <v>#N/A</v>
      </c>
      <c r="K671" s="27" t="e">
        <f t="shared" si="77"/>
        <v>#N/A</v>
      </c>
    </row>
    <row r="672" spans="1:11">
      <c r="A672" s="26">
        <v>622</v>
      </c>
      <c r="B672" s="82" t="e">
        <f t="shared" si="78"/>
        <v>#N/A</v>
      </c>
      <c r="C672" s="58" t="e">
        <f t="shared" si="82"/>
        <v>#N/A</v>
      </c>
      <c r="D672" s="83" t="e">
        <f t="shared" si="79"/>
        <v>#N/A</v>
      </c>
      <c r="E672" t="e">
        <f t="shared" si="75"/>
        <v>#N/A</v>
      </c>
      <c r="G672">
        <v>622</v>
      </c>
      <c r="H672" s="13" t="e">
        <f t="shared" si="80"/>
        <v>#N/A</v>
      </c>
      <c r="I672" t="e">
        <f t="shared" si="81"/>
        <v>#N/A</v>
      </c>
      <c r="J672" t="e">
        <f t="shared" si="76"/>
        <v>#N/A</v>
      </c>
      <c r="K672" s="27" t="e">
        <f t="shared" si="77"/>
        <v>#N/A</v>
      </c>
    </row>
    <row r="673" spans="1:11">
      <c r="A673" s="26">
        <v>623</v>
      </c>
      <c r="B673" s="82" t="e">
        <f t="shared" si="78"/>
        <v>#N/A</v>
      </c>
      <c r="C673" s="58" t="e">
        <f t="shared" si="82"/>
        <v>#N/A</v>
      </c>
      <c r="D673" s="83" t="e">
        <f t="shared" si="79"/>
        <v>#N/A</v>
      </c>
      <c r="E673" t="e">
        <f t="shared" si="75"/>
        <v>#N/A</v>
      </c>
      <c r="G673">
        <v>623</v>
      </c>
      <c r="H673" s="13" t="e">
        <f t="shared" si="80"/>
        <v>#N/A</v>
      </c>
      <c r="I673" t="e">
        <f t="shared" si="81"/>
        <v>#N/A</v>
      </c>
      <c r="J673" t="e">
        <f t="shared" si="76"/>
        <v>#N/A</v>
      </c>
      <c r="K673" s="27" t="e">
        <f t="shared" si="77"/>
        <v>#N/A</v>
      </c>
    </row>
    <row r="674" spans="1:11">
      <c r="A674" s="26">
        <v>624</v>
      </c>
      <c r="B674" s="82" t="e">
        <f t="shared" si="78"/>
        <v>#N/A</v>
      </c>
      <c r="C674" s="58" t="e">
        <f t="shared" si="82"/>
        <v>#N/A</v>
      </c>
      <c r="D674" s="83" t="e">
        <f t="shared" si="79"/>
        <v>#N/A</v>
      </c>
      <c r="E674" t="e">
        <f t="shared" si="75"/>
        <v>#N/A</v>
      </c>
      <c r="G674">
        <v>624</v>
      </c>
      <c r="H674" s="13" t="e">
        <f t="shared" si="80"/>
        <v>#N/A</v>
      </c>
      <c r="I674" t="e">
        <f t="shared" si="81"/>
        <v>#N/A</v>
      </c>
      <c r="J674" t="e">
        <f t="shared" si="76"/>
        <v>#N/A</v>
      </c>
      <c r="K674" s="27" t="e">
        <f t="shared" si="77"/>
        <v>#N/A</v>
      </c>
    </row>
    <row r="675" spans="1:11">
      <c r="A675" s="26">
        <v>625</v>
      </c>
      <c r="B675" s="82" t="e">
        <f t="shared" si="78"/>
        <v>#N/A</v>
      </c>
      <c r="C675" s="58" t="e">
        <f t="shared" si="82"/>
        <v>#N/A</v>
      </c>
      <c r="D675" s="83" t="e">
        <f t="shared" si="79"/>
        <v>#N/A</v>
      </c>
      <c r="E675" t="e">
        <f t="shared" si="75"/>
        <v>#N/A</v>
      </c>
      <c r="G675">
        <v>625</v>
      </c>
      <c r="H675" s="13" t="e">
        <f t="shared" si="80"/>
        <v>#N/A</v>
      </c>
      <c r="I675" t="e">
        <f t="shared" si="81"/>
        <v>#N/A</v>
      </c>
      <c r="J675" t="e">
        <f t="shared" si="76"/>
        <v>#N/A</v>
      </c>
      <c r="K675" s="27" t="e">
        <f t="shared" si="77"/>
        <v>#N/A</v>
      </c>
    </row>
    <row r="676" spans="1:11">
      <c r="A676" s="26">
        <v>626</v>
      </c>
      <c r="B676" s="82" t="e">
        <f t="shared" si="78"/>
        <v>#N/A</v>
      </c>
      <c r="C676" s="58" t="e">
        <f t="shared" si="82"/>
        <v>#N/A</v>
      </c>
      <c r="D676" s="83" t="e">
        <f t="shared" si="79"/>
        <v>#N/A</v>
      </c>
      <c r="E676" t="e">
        <f t="shared" si="75"/>
        <v>#N/A</v>
      </c>
      <c r="G676">
        <v>626</v>
      </c>
      <c r="H676" s="13" t="e">
        <f t="shared" si="80"/>
        <v>#N/A</v>
      </c>
      <c r="I676" t="e">
        <f t="shared" si="81"/>
        <v>#N/A</v>
      </c>
      <c r="J676" t="e">
        <f t="shared" si="76"/>
        <v>#N/A</v>
      </c>
      <c r="K676" s="27" t="e">
        <f t="shared" si="77"/>
        <v>#N/A</v>
      </c>
    </row>
    <row r="677" spans="1:11">
      <c r="A677" s="26">
        <v>627</v>
      </c>
      <c r="B677" s="82" t="e">
        <f t="shared" si="78"/>
        <v>#N/A</v>
      </c>
      <c r="C677" s="58" t="e">
        <f t="shared" si="82"/>
        <v>#N/A</v>
      </c>
      <c r="D677" s="83" t="e">
        <f t="shared" si="79"/>
        <v>#N/A</v>
      </c>
      <c r="E677" t="e">
        <f t="shared" si="75"/>
        <v>#N/A</v>
      </c>
      <c r="G677">
        <v>627</v>
      </c>
      <c r="H677" s="13" t="e">
        <f t="shared" si="80"/>
        <v>#N/A</v>
      </c>
      <c r="I677" t="e">
        <f t="shared" si="81"/>
        <v>#N/A</v>
      </c>
      <c r="J677" t="e">
        <f t="shared" si="76"/>
        <v>#N/A</v>
      </c>
      <c r="K677" s="27" t="e">
        <f t="shared" si="77"/>
        <v>#N/A</v>
      </c>
    </row>
    <row r="678" spans="1:11">
      <c r="A678" s="26">
        <v>628</v>
      </c>
      <c r="B678" s="82" t="e">
        <f t="shared" si="78"/>
        <v>#N/A</v>
      </c>
      <c r="C678" s="58" t="e">
        <f t="shared" si="82"/>
        <v>#N/A</v>
      </c>
      <c r="D678" s="83" t="e">
        <f t="shared" si="79"/>
        <v>#N/A</v>
      </c>
      <c r="E678" t="e">
        <f t="shared" si="75"/>
        <v>#N/A</v>
      </c>
      <c r="G678">
        <v>628</v>
      </c>
      <c r="H678" s="13" t="e">
        <f t="shared" si="80"/>
        <v>#N/A</v>
      </c>
      <c r="I678" t="e">
        <f t="shared" si="81"/>
        <v>#N/A</v>
      </c>
      <c r="J678" t="e">
        <f t="shared" si="76"/>
        <v>#N/A</v>
      </c>
      <c r="K678" s="27" t="e">
        <f t="shared" si="77"/>
        <v>#N/A</v>
      </c>
    </row>
    <row r="679" spans="1:11">
      <c r="A679" s="26">
        <v>629</v>
      </c>
      <c r="B679" s="82" t="e">
        <f t="shared" si="78"/>
        <v>#N/A</v>
      </c>
      <c r="C679" s="58" t="e">
        <f t="shared" si="82"/>
        <v>#N/A</v>
      </c>
      <c r="D679" s="83" t="e">
        <f t="shared" si="79"/>
        <v>#N/A</v>
      </c>
      <c r="E679" t="e">
        <f t="shared" si="75"/>
        <v>#N/A</v>
      </c>
      <c r="G679">
        <v>629</v>
      </c>
      <c r="H679" s="13" t="e">
        <f t="shared" si="80"/>
        <v>#N/A</v>
      </c>
      <c r="I679" t="e">
        <f t="shared" si="81"/>
        <v>#N/A</v>
      </c>
      <c r="J679" t="e">
        <f t="shared" si="76"/>
        <v>#N/A</v>
      </c>
      <c r="K679" s="27" t="e">
        <f t="shared" si="77"/>
        <v>#N/A</v>
      </c>
    </row>
    <row r="680" spans="1:11">
      <c r="A680" s="26">
        <v>630</v>
      </c>
      <c r="B680" s="82" t="e">
        <f t="shared" si="78"/>
        <v>#N/A</v>
      </c>
      <c r="C680" s="58" t="e">
        <f t="shared" si="82"/>
        <v>#N/A</v>
      </c>
      <c r="D680" s="83" t="e">
        <f t="shared" si="79"/>
        <v>#N/A</v>
      </c>
      <c r="E680" t="e">
        <f t="shared" si="75"/>
        <v>#N/A</v>
      </c>
      <c r="G680">
        <v>630</v>
      </c>
      <c r="H680" s="13" t="e">
        <f t="shared" si="80"/>
        <v>#N/A</v>
      </c>
      <c r="I680" t="e">
        <f t="shared" si="81"/>
        <v>#N/A</v>
      </c>
      <c r="J680" t="e">
        <f t="shared" si="76"/>
        <v>#N/A</v>
      </c>
      <c r="K680" s="27" t="e">
        <f t="shared" si="77"/>
        <v>#N/A</v>
      </c>
    </row>
    <row r="681" spans="1:11">
      <c r="A681" s="26">
        <v>631</v>
      </c>
      <c r="B681" s="82" t="e">
        <f t="shared" si="78"/>
        <v>#N/A</v>
      </c>
      <c r="C681" s="58" t="e">
        <f t="shared" si="82"/>
        <v>#N/A</v>
      </c>
      <c r="D681" s="83" t="e">
        <f t="shared" si="79"/>
        <v>#N/A</v>
      </c>
      <c r="E681" t="e">
        <f t="shared" si="75"/>
        <v>#N/A</v>
      </c>
      <c r="G681">
        <v>631</v>
      </c>
      <c r="H681" s="13" t="e">
        <f t="shared" si="80"/>
        <v>#N/A</v>
      </c>
      <c r="I681" t="e">
        <f t="shared" si="81"/>
        <v>#N/A</v>
      </c>
      <c r="J681" t="e">
        <f t="shared" si="76"/>
        <v>#N/A</v>
      </c>
      <c r="K681" s="27" t="e">
        <f t="shared" si="77"/>
        <v>#N/A</v>
      </c>
    </row>
    <row r="682" spans="1:11">
      <c r="A682" s="26">
        <v>632</v>
      </c>
      <c r="B682" s="82" t="e">
        <f t="shared" si="78"/>
        <v>#N/A</v>
      </c>
      <c r="C682" s="58" t="e">
        <f t="shared" si="82"/>
        <v>#N/A</v>
      </c>
      <c r="D682" s="83" t="e">
        <f t="shared" si="79"/>
        <v>#N/A</v>
      </c>
      <c r="E682" t="e">
        <f t="shared" si="75"/>
        <v>#N/A</v>
      </c>
      <c r="G682">
        <v>632</v>
      </c>
      <c r="H682" s="13" t="e">
        <f t="shared" si="80"/>
        <v>#N/A</v>
      </c>
      <c r="I682" t="e">
        <f t="shared" si="81"/>
        <v>#N/A</v>
      </c>
      <c r="J682" t="e">
        <f t="shared" si="76"/>
        <v>#N/A</v>
      </c>
      <c r="K682" s="27" t="e">
        <f t="shared" si="77"/>
        <v>#N/A</v>
      </c>
    </row>
    <row r="683" spans="1:11">
      <c r="A683" s="26">
        <v>633</v>
      </c>
      <c r="B683" s="82" t="e">
        <f t="shared" si="78"/>
        <v>#N/A</v>
      </c>
      <c r="C683" s="58" t="e">
        <f t="shared" si="82"/>
        <v>#N/A</v>
      </c>
      <c r="D683" s="83" t="e">
        <f t="shared" si="79"/>
        <v>#N/A</v>
      </c>
      <c r="E683" t="e">
        <f t="shared" si="75"/>
        <v>#N/A</v>
      </c>
      <c r="G683">
        <v>633</v>
      </c>
      <c r="H683" s="13" t="e">
        <f t="shared" si="80"/>
        <v>#N/A</v>
      </c>
      <c r="I683" t="e">
        <f t="shared" si="81"/>
        <v>#N/A</v>
      </c>
      <c r="J683" t="e">
        <f t="shared" si="76"/>
        <v>#N/A</v>
      </c>
      <c r="K683" s="27" t="e">
        <f t="shared" si="77"/>
        <v>#N/A</v>
      </c>
    </row>
    <row r="684" spans="1:11">
      <c r="A684" s="26">
        <v>634</v>
      </c>
      <c r="B684" s="82" t="e">
        <f t="shared" si="78"/>
        <v>#N/A</v>
      </c>
      <c r="C684" s="58" t="e">
        <f t="shared" si="82"/>
        <v>#N/A</v>
      </c>
      <c r="D684" s="83" t="e">
        <f t="shared" si="79"/>
        <v>#N/A</v>
      </c>
      <c r="E684" t="e">
        <f t="shared" si="75"/>
        <v>#N/A</v>
      </c>
      <c r="G684">
        <v>634</v>
      </c>
      <c r="H684" s="13" t="e">
        <f t="shared" si="80"/>
        <v>#N/A</v>
      </c>
      <c r="I684" t="e">
        <f t="shared" si="81"/>
        <v>#N/A</v>
      </c>
      <c r="J684" t="e">
        <f t="shared" si="76"/>
        <v>#N/A</v>
      </c>
      <c r="K684" s="27" t="e">
        <f t="shared" si="77"/>
        <v>#N/A</v>
      </c>
    </row>
    <row r="685" spans="1:11">
      <c r="A685" s="26">
        <v>635</v>
      </c>
      <c r="B685" s="82" t="e">
        <f t="shared" si="78"/>
        <v>#N/A</v>
      </c>
      <c r="C685" s="58" t="e">
        <f t="shared" si="82"/>
        <v>#N/A</v>
      </c>
      <c r="D685" s="83" t="e">
        <f t="shared" si="79"/>
        <v>#N/A</v>
      </c>
      <c r="E685" t="e">
        <f t="shared" si="75"/>
        <v>#N/A</v>
      </c>
      <c r="G685">
        <v>635</v>
      </c>
      <c r="H685" s="13" t="e">
        <f t="shared" si="80"/>
        <v>#N/A</v>
      </c>
      <c r="I685" t="e">
        <f t="shared" si="81"/>
        <v>#N/A</v>
      </c>
      <c r="J685" t="e">
        <f t="shared" si="76"/>
        <v>#N/A</v>
      </c>
      <c r="K685" s="27" t="e">
        <f t="shared" si="77"/>
        <v>#N/A</v>
      </c>
    </row>
    <row r="686" spans="1:11">
      <c r="A686" s="26">
        <v>636</v>
      </c>
      <c r="B686" s="82" t="e">
        <f t="shared" si="78"/>
        <v>#N/A</v>
      </c>
      <c r="C686" s="58" t="e">
        <f t="shared" si="82"/>
        <v>#N/A</v>
      </c>
      <c r="D686" s="83" t="e">
        <f t="shared" si="79"/>
        <v>#N/A</v>
      </c>
      <c r="E686" t="e">
        <f t="shared" si="75"/>
        <v>#N/A</v>
      </c>
      <c r="G686">
        <v>636</v>
      </c>
      <c r="H686" s="13" t="e">
        <f t="shared" si="80"/>
        <v>#N/A</v>
      </c>
      <c r="I686" t="e">
        <f t="shared" si="81"/>
        <v>#N/A</v>
      </c>
      <c r="J686" t="e">
        <f t="shared" si="76"/>
        <v>#N/A</v>
      </c>
      <c r="K686" s="27" t="e">
        <f t="shared" si="77"/>
        <v>#N/A</v>
      </c>
    </row>
    <row r="687" spans="1:11">
      <c r="A687" s="26">
        <v>637</v>
      </c>
      <c r="B687" s="82" t="e">
        <f t="shared" si="78"/>
        <v>#N/A</v>
      </c>
      <c r="C687" s="58" t="e">
        <f t="shared" si="82"/>
        <v>#N/A</v>
      </c>
      <c r="D687" s="83" t="e">
        <f t="shared" si="79"/>
        <v>#N/A</v>
      </c>
      <c r="E687" t="e">
        <f t="shared" si="75"/>
        <v>#N/A</v>
      </c>
      <c r="G687">
        <v>637</v>
      </c>
      <c r="H687" s="13" t="e">
        <f t="shared" si="80"/>
        <v>#N/A</v>
      </c>
      <c r="I687" t="e">
        <f t="shared" si="81"/>
        <v>#N/A</v>
      </c>
      <c r="J687" t="e">
        <f t="shared" si="76"/>
        <v>#N/A</v>
      </c>
      <c r="K687" s="27" t="e">
        <f t="shared" si="77"/>
        <v>#N/A</v>
      </c>
    </row>
    <row r="688" spans="1:11">
      <c r="A688" s="26">
        <v>638</v>
      </c>
      <c r="B688" s="82" t="e">
        <f t="shared" si="78"/>
        <v>#N/A</v>
      </c>
      <c r="C688" s="58" t="e">
        <f t="shared" si="82"/>
        <v>#N/A</v>
      </c>
      <c r="D688" s="83" t="e">
        <f t="shared" si="79"/>
        <v>#N/A</v>
      </c>
      <c r="E688" t="e">
        <f t="shared" si="75"/>
        <v>#N/A</v>
      </c>
      <c r="G688">
        <v>638</v>
      </c>
      <c r="H688" s="13" t="e">
        <f t="shared" si="80"/>
        <v>#N/A</v>
      </c>
      <c r="I688" t="e">
        <f t="shared" si="81"/>
        <v>#N/A</v>
      </c>
      <c r="J688" t="e">
        <f t="shared" si="76"/>
        <v>#N/A</v>
      </c>
      <c r="K688" s="27" t="e">
        <f t="shared" si="77"/>
        <v>#N/A</v>
      </c>
    </row>
    <row r="689" spans="1:11">
      <c r="A689" s="26">
        <v>639</v>
      </c>
      <c r="B689" s="82" t="e">
        <f t="shared" si="78"/>
        <v>#N/A</v>
      </c>
      <c r="C689" s="58" t="e">
        <f t="shared" si="82"/>
        <v>#N/A</v>
      </c>
      <c r="D689" s="83" t="e">
        <f t="shared" si="79"/>
        <v>#N/A</v>
      </c>
      <c r="E689" t="e">
        <f t="shared" si="75"/>
        <v>#N/A</v>
      </c>
      <c r="G689">
        <v>639</v>
      </c>
      <c r="H689" s="13" t="e">
        <f t="shared" si="80"/>
        <v>#N/A</v>
      </c>
      <c r="I689" t="e">
        <f t="shared" si="81"/>
        <v>#N/A</v>
      </c>
      <c r="J689" t="e">
        <f t="shared" si="76"/>
        <v>#N/A</v>
      </c>
      <c r="K689" s="27" t="e">
        <f t="shared" si="77"/>
        <v>#N/A</v>
      </c>
    </row>
    <row r="690" spans="1:11">
      <c r="A690" s="26">
        <v>640</v>
      </c>
      <c r="B690" s="82" t="e">
        <f t="shared" si="78"/>
        <v>#N/A</v>
      </c>
      <c r="C690" s="58" t="e">
        <f t="shared" si="82"/>
        <v>#N/A</v>
      </c>
      <c r="D690" s="83" t="e">
        <f t="shared" si="79"/>
        <v>#N/A</v>
      </c>
      <c r="E690" t="e">
        <f t="shared" si="75"/>
        <v>#N/A</v>
      </c>
      <c r="G690">
        <v>640</v>
      </c>
      <c r="H690" s="13" t="e">
        <f t="shared" si="80"/>
        <v>#N/A</v>
      </c>
      <c r="I690" t="e">
        <f t="shared" si="81"/>
        <v>#N/A</v>
      </c>
      <c r="J690" t="e">
        <f t="shared" si="76"/>
        <v>#N/A</v>
      </c>
      <c r="K690" s="27" t="e">
        <f t="shared" si="77"/>
        <v>#N/A</v>
      </c>
    </row>
    <row r="691" spans="1:11">
      <c r="A691" s="26">
        <v>641</v>
      </c>
      <c r="B691" s="82" t="e">
        <f t="shared" si="78"/>
        <v>#N/A</v>
      </c>
      <c r="C691" s="58" t="e">
        <f t="shared" si="82"/>
        <v>#N/A</v>
      </c>
      <c r="D691" s="83" t="e">
        <f t="shared" si="79"/>
        <v>#N/A</v>
      </c>
      <c r="E691" t="e">
        <f t="shared" ref="E691:E754" si="83">((D691^2)+(D691*D692)+(D692^2))*B692/3</f>
        <v>#N/A</v>
      </c>
      <c r="G691">
        <v>641</v>
      </c>
      <c r="H691" s="13" t="e">
        <f t="shared" si="80"/>
        <v>#N/A</v>
      </c>
      <c r="I691" t="e">
        <f t="shared" si="81"/>
        <v>#N/A</v>
      </c>
      <c r="J691" t="e">
        <f t="shared" ref="J691:J754" si="84">IF($G$28&lt;$C$14,0,((($C$11^2)-((I691-$C$13)^2))^0.5)+$C$16)</f>
        <v>#N/A</v>
      </c>
      <c r="K691" s="27" t="e">
        <f t="shared" ref="K691:K754" si="85">((J691^2)+(J691*J692)+(J692^2))*H692/3</f>
        <v>#N/A</v>
      </c>
    </row>
    <row r="692" spans="1:11">
      <c r="A692" s="26">
        <v>642</v>
      </c>
      <c r="B692" s="82" t="e">
        <f t="shared" ref="B692:B755" si="86">C692-C691</f>
        <v>#N/A</v>
      </c>
      <c r="C692" s="58" t="e">
        <f t="shared" si="82"/>
        <v>#N/A</v>
      </c>
      <c r="D692" s="83" t="e">
        <f t="shared" ref="D692:D755" si="87">IF($G$28&lt;$C$14,0,((($C$11^2)-((C692-$C$13)^2))^0.5)+$C$16)</f>
        <v>#N/A</v>
      </c>
      <c r="E692" t="e">
        <f t="shared" si="83"/>
        <v>#N/A</v>
      </c>
      <c r="G692">
        <v>642</v>
      </c>
      <c r="H692" s="13" t="e">
        <f t="shared" ref="H692:H755" si="88">I692-I691</f>
        <v>#N/A</v>
      </c>
      <c r="I692" t="e">
        <f t="shared" ref="I692:I755" si="89">($G$27-$C$14)/2000+I691</f>
        <v>#N/A</v>
      </c>
      <c r="J692" t="e">
        <f t="shared" si="84"/>
        <v>#N/A</v>
      </c>
      <c r="K692" s="27" t="e">
        <f t="shared" si="85"/>
        <v>#N/A</v>
      </c>
    </row>
    <row r="693" spans="1:11">
      <c r="A693" s="26">
        <v>643</v>
      </c>
      <c r="B693" s="82" t="e">
        <f t="shared" si="86"/>
        <v>#N/A</v>
      </c>
      <c r="C693" s="58" t="e">
        <f t="shared" si="82"/>
        <v>#N/A</v>
      </c>
      <c r="D693" s="83" t="e">
        <f t="shared" si="87"/>
        <v>#N/A</v>
      </c>
      <c r="E693" t="e">
        <f t="shared" si="83"/>
        <v>#N/A</v>
      </c>
      <c r="G693">
        <v>643</v>
      </c>
      <c r="H693" s="13" t="e">
        <f t="shared" si="88"/>
        <v>#N/A</v>
      </c>
      <c r="I693" t="e">
        <f t="shared" si="89"/>
        <v>#N/A</v>
      </c>
      <c r="J693" t="e">
        <f t="shared" si="84"/>
        <v>#N/A</v>
      </c>
      <c r="K693" s="27" t="e">
        <f t="shared" si="85"/>
        <v>#N/A</v>
      </c>
    </row>
    <row r="694" spans="1:11">
      <c r="A694" s="26">
        <v>644</v>
      </c>
      <c r="B694" s="82" t="e">
        <f t="shared" si="86"/>
        <v>#N/A</v>
      </c>
      <c r="C694" s="58" t="e">
        <f t="shared" si="82"/>
        <v>#N/A</v>
      </c>
      <c r="D694" s="83" t="e">
        <f t="shared" si="87"/>
        <v>#N/A</v>
      </c>
      <c r="E694" t="e">
        <f t="shared" si="83"/>
        <v>#N/A</v>
      </c>
      <c r="G694">
        <v>644</v>
      </c>
      <c r="H694" s="13" t="e">
        <f t="shared" si="88"/>
        <v>#N/A</v>
      </c>
      <c r="I694" t="e">
        <f t="shared" si="89"/>
        <v>#N/A</v>
      </c>
      <c r="J694" t="e">
        <f t="shared" si="84"/>
        <v>#N/A</v>
      </c>
      <c r="K694" s="27" t="e">
        <f t="shared" si="85"/>
        <v>#N/A</v>
      </c>
    </row>
    <row r="695" spans="1:11">
      <c r="A695" s="26">
        <v>645</v>
      </c>
      <c r="B695" s="82" t="e">
        <f t="shared" si="86"/>
        <v>#N/A</v>
      </c>
      <c r="C695" s="58" t="e">
        <f t="shared" si="82"/>
        <v>#N/A</v>
      </c>
      <c r="D695" s="83" t="e">
        <f t="shared" si="87"/>
        <v>#N/A</v>
      </c>
      <c r="E695" t="e">
        <f t="shared" si="83"/>
        <v>#N/A</v>
      </c>
      <c r="G695">
        <v>645</v>
      </c>
      <c r="H695" s="13" t="e">
        <f t="shared" si="88"/>
        <v>#N/A</v>
      </c>
      <c r="I695" t="e">
        <f t="shared" si="89"/>
        <v>#N/A</v>
      </c>
      <c r="J695" t="e">
        <f t="shared" si="84"/>
        <v>#N/A</v>
      </c>
      <c r="K695" s="27" t="e">
        <f t="shared" si="85"/>
        <v>#N/A</v>
      </c>
    </row>
    <row r="696" spans="1:11">
      <c r="A696" s="26">
        <v>646</v>
      </c>
      <c r="B696" s="82" t="e">
        <f t="shared" si="86"/>
        <v>#N/A</v>
      </c>
      <c r="C696" s="58" t="e">
        <f t="shared" si="82"/>
        <v>#N/A</v>
      </c>
      <c r="D696" s="83" t="e">
        <f t="shared" si="87"/>
        <v>#N/A</v>
      </c>
      <c r="E696" t="e">
        <f t="shared" si="83"/>
        <v>#N/A</v>
      </c>
      <c r="G696">
        <v>646</v>
      </c>
      <c r="H696" s="13" t="e">
        <f t="shared" si="88"/>
        <v>#N/A</v>
      </c>
      <c r="I696" t="e">
        <f t="shared" si="89"/>
        <v>#N/A</v>
      </c>
      <c r="J696" t="e">
        <f t="shared" si="84"/>
        <v>#N/A</v>
      </c>
      <c r="K696" s="27" t="e">
        <f t="shared" si="85"/>
        <v>#N/A</v>
      </c>
    </row>
    <row r="697" spans="1:11">
      <c r="A697" s="26">
        <v>647</v>
      </c>
      <c r="B697" s="82" t="e">
        <f t="shared" si="86"/>
        <v>#N/A</v>
      </c>
      <c r="C697" s="58" t="e">
        <f t="shared" si="82"/>
        <v>#N/A</v>
      </c>
      <c r="D697" s="83" t="e">
        <f t="shared" si="87"/>
        <v>#N/A</v>
      </c>
      <c r="E697" t="e">
        <f t="shared" si="83"/>
        <v>#N/A</v>
      </c>
      <c r="G697">
        <v>647</v>
      </c>
      <c r="H697" s="13" t="e">
        <f t="shared" si="88"/>
        <v>#N/A</v>
      </c>
      <c r="I697" t="e">
        <f t="shared" si="89"/>
        <v>#N/A</v>
      </c>
      <c r="J697" t="e">
        <f t="shared" si="84"/>
        <v>#N/A</v>
      </c>
      <c r="K697" s="27" t="e">
        <f t="shared" si="85"/>
        <v>#N/A</v>
      </c>
    </row>
    <row r="698" spans="1:11">
      <c r="A698" s="26">
        <v>648</v>
      </c>
      <c r="B698" s="82" t="e">
        <f t="shared" si="86"/>
        <v>#N/A</v>
      </c>
      <c r="C698" s="58" t="e">
        <f t="shared" si="82"/>
        <v>#N/A</v>
      </c>
      <c r="D698" s="83" t="e">
        <f t="shared" si="87"/>
        <v>#N/A</v>
      </c>
      <c r="E698" t="e">
        <f t="shared" si="83"/>
        <v>#N/A</v>
      </c>
      <c r="G698">
        <v>648</v>
      </c>
      <c r="H698" s="13" t="e">
        <f t="shared" si="88"/>
        <v>#N/A</v>
      </c>
      <c r="I698" t="e">
        <f t="shared" si="89"/>
        <v>#N/A</v>
      </c>
      <c r="J698" t="e">
        <f t="shared" si="84"/>
        <v>#N/A</v>
      </c>
      <c r="K698" s="27" t="e">
        <f t="shared" si="85"/>
        <v>#N/A</v>
      </c>
    </row>
    <row r="699" spans="1:11">
      <c r="A699" s="26">
        <v>649</v>
      </c>
      <c r="B699" s="82" t="e">
        <f t="shared" si="86"/>
        <v>#N/A</v>
      </c>
      <c r="C699" s="58" t="e">
        <f t="shared" si="82"/>
        <v>#N/A</v>
      </c>
      <c r="D699" s="83" t="e">
        <f t="shared" si="87"/>
        <v>#N/A</v>
      </c>
      <c r="E699" t="e">
        <f t="shared" si="83"/>
        <v>#N/A</v>
      </c>
      <c r="G699">
        <v>649</v>
      </c>
      <c r="H699" s="13" t="e">
        <f t="shared" si="88"/>
        <v>#N/A</v>
      </c>
      <c r="I699" t="e">
        <f t="shared" si="89"/>
        <v>#N/A</v>
      </c>
      <c r="J699" t="e">
        <f t="shared" si="84"/>
        <v>#N/A</v>
      </c>
      <c r="K699" s="27" t="e">
        <f t="shared" si="85"/>
        <v>#N/A</v>
      </c>
    </row>
    <row r="700" spans="1:11">
      <c r="A700" s="26">
        <v>650</v>
      </c>
      <c r="B700" s="82" t="e">
        <f t="shared" si="86"/>
        <v>#N/A</v>
      </c>
      <c r="C700" s="58" t="e">
        <f t="shared" si="82"/>
        <v>#N/A</v>
      </c>
      <c r="D700" s="83" t="e">
        <f t="shared" si="87"/>
        <v>#N/A</v>
      </c>
      <c r="E700" t="e">
        <f t="shared" si="83"/>
        <v>#N/A</v>
      </c>
      <c r="G700">
        <v>650</v>
      </c>
      <c r="H700" s="13" t="e">
        <f t="shared" si="88"/>
        <v>#N/A</v>
      </c>
      <c r="I700" t="e">
        <f t="shared" si="89"/>
        <v>#N/A</v>
      </c>
      <c r="J700" t="e">
        <f t="shared" si="84"/>
        <v>#N/A</v>
      </c>
      <c r="K700" s="27" t="e">
        <f t="shared" si="85"/>
        <v>#N/A</v>
      </c>
    </row>
    <row r="701" spans="1:11">
      <c r="A701" s="26">
        <v>651</v>
      </c>
      <c r="B701" s="82" t="e">
        <f t="shared" si="86"/>
        <v>#N/A</v>
      </c>
      <c r="C701" s="58" t="e">
        <f t="shared" si="82"/>
        <v>#N/A</v>
      </c>
      <c r="D701" s="83" t="e">
        <f t="shared" si="87"/>
        <v>#N/A</v>
      </c>
      <c r="E701" t="e">
        <f t="shared" si="83"/>
        <v>#N/A</v>
      </c>
      <c r="G701">
        <v>651</v>
      </c>
      <c r="H701" s="13" t="e">
        <f t="shared" si="88"/>
        <v>#N/A</v>
      </c>
      <c r="I701" t="e">
        <f t="shared" si="89"/>
        <v>#N/A</v>
      </c>
      <c r="J701" t="e">
        <f t="shared" si="84"/>
        <v>#N/A</v>
      </c>
      <c r="K701" s="27" t="e">
        <f t="shared" si="85"/>
        <v>#N/A</v>
      </c>
    </row>
    <row r="702" spans="1:11">
      <c r="A702" s="26">
        <v>652</v>
      </c>
      <c r="B702" s="82" t="e">
        <f t="shared" si="86"/>
        <v>#N/A</v>
      </c>
      <c r="C702" s="58" t="e">
        <f t="shared" si="82"/>
        <v>#N/A</v>
      </c>
      <c r="D702" s="83" t="e">
        <f t="shared" si="87"/>
        <v>#N/A</v>
      </c>
      <c r="E702" t="e">
        <f t="shared" si="83"/>
        <v>#N/A</v>
      </c>
      <c r="G702">
        <v>652</v>
      </c>
      <c r="H702" s="13" t="e">
        <f t="shared" si="88"/>
        <v>#N/A</v>
      </c>
      <c r="I702" t="e">
        <f t="shared" si="89"/>
        <v>#N/A</v>
      </c>
      <c r="J702" t="e">
        <f t="shared" si="84"/>
        <v>#N/A</v>
      </c>
      <c r="K702" s="27" t="e">
        <f t="shared" si="85"/>
        <v>#N/A</v>
      </c>
    </row>
    <row r="703" spans="1:11">
      <c r="A703" s="26">
        <v>653</v>
      </c>
      <c r="B703" s="82" t="e">
        <f t="shared" si="86"/>
        <v>#N/A</v>
      </c>
      <c r="C703" s="58" t="e">
        <f t="shared" si="82"/>
        <v>#N/A</v>
      </c>
      <c r="D703" s="83" t="e">
        <f t="shared" si="87"/>
        <v>#N/A</v>
      </c>
      <c r="E703" t="e">
        <f t="shared" si="83"/>
        <v>#N/A</v>
      </c>
      <c r="G703">
        <v>653</v>
      </c>
      <c r="H703" s="13" t="e">
        <f t="shared" si="88"/>
        <v>#N/A</v>
      </c>
      <c r="I703" t="e">
        <f t="shared" si="89"/>
        <v>#N/A</v>
      </c>
      <c r="J703" t="e">
        <f t="shared" si="84"/>
        <v>#N/A</v>
      </c>
      <c r="K703" s="27" t="e">
        <f t="shared" si="85"/>
        <v>#N/A</v>
      </c>
    </row>
    <row r="704" spans="1:11">
      <c r="A704" s="26">
        <v>654</v>
      </c>
      <c r="B704" s="82" t="e">
        <f t="shared" si="86"/>
        <v>#N/A</v>
      </c>
      <c r="C704" s="58" t="e">
        <f t="shared" si="82"/>
        <v>#N/A</v>
      </c>
      <c r="D704" s="83" t="e">
        <f t="shared" si="87"/>
        <v>#N/A</v>
      </c>
      <c r="E704" t="e">
        <f t="shared" si="83"/>
        <v>#N/A</v>
      </c>
      <c r="G704">
        <v>654</v>
      </c>
      <c r="H704" s="13" t="e">
        <f t="shared" si="88"/>
        <v>#N/A</v>
      </c>
      <c r="I704" t="e">
        <f t="shared" si="89"/>
        <v>#N/A</v>
      </c>
      <c r="J704" t="e">
        <f t="shared" si="84"/>
        <v>#N/A</v>
      </c>
      <c r="K704" s="27" t="e">
        <f t="shared" si="85"/>
        <v>#N/A</v>
      </c>
    </row>
    <row r="705" spans="1:11">
      <c r="A705" s="26">
        <v>655</v>
      </c>
      <c r="B705" s="82" t="e">
        <f t="shared" si="86"/>
        <v>#N/A</v>
      </c>
      <c r="C705" s="58" t="e">
        <f t="shared" si="82"/>
        <v>#N/A</v>
      </c>
      <c r="D705" s="83" t="e">
        <f t="shared" si="87"/>
        <v>#N/A</v>
      </c>
      <c r="E705" t="e">
        <f t="shared" si="83"/>
        <v>#N/A</v>
      </c>
      <c r="G705">
        <v>655</v>
      </c>
      <c r="H705" s="13" t="e">
        <f t="shared" si="88"/>
        <v>#N/A</v>
      </c>
      <c r="I705" t="e">
        <f t="shared" si="89"/>
        <v>#N/A</v>
      </c>
      <c r="J705" t="e">
        <f t="shared" si="84"/>
        <v>#N/A</v>
      </c>
      <c r="K705" s="27" t="e">
        <f t="shared" si="85"/>
        <v>#N/A</v>
      </c>
    </row>
    <row r="706" spans="1:11">
      <c r="A706" s="26">
        <v>656</v>
      </c>
      <c r="B706" s="82" t="e">
        <f t="shared" si="86"/>
        <v>#N/A</v>
      </c>
      <c r="C706" s="58" t="e">
        <f t="shared" si="82"/>
        <v>#N/A</v>
      </c>
      <c r="D706" s="83" t="e">
        <f t="shared" si="87"/>
        <v>#N/A</v>
      </c>
      <c r="E706" t="e">
        <f t="shared" si="83"/>
        <v>#N/A</v>
      </c>
      <c r="G706">
        <v>656</v>
      </c>
      <c r="H706" s="13" t="e">
        <f t="shared" si="88"/>
        <v>#N/A</v>
      </c>
      <c r="I706" t="e">
        <f t="shared" si="89"/>
        <v>#N/A</v>
      </c>
      <c r="J706" t="e">
        <f t="shared" si="84"/>
        <v>#N/A</v>
      </c>
      <c r="K706" s="27" t="e">
        <f t="shared" si="85"/>
        <v>#N/A</v>
      </c>
    </row>
    <row r="707" spans="1:11">
      <c r="A707" s="26">
        <v>657</v>
      </c>
      <c r="B707" s="82" t="e">
        <f t="shared" si="86"/>
        <v>#N/A</v>
      </c>
      <c r="C707" s="58" t="e">
        <f t="shared" si="82"/>
        <v>#N/A</v>
      </c>
      <c r="D707" s="83" t="e">
        <f t="shared" si="87"/>
        <v>#N/A</v>
      </c>
      <c r="E707" t="e">
        <f t="shared" si="83"/>
        <v>#N/A</v>
      </c>
      <c r="G707">
        <v>657</v>
      </c>
      <c r="H707" s="13" t="e">
        <f t="shared" si="88"/>
        <v>#N/A</v>
      </c>
      <c r="I707" t="e">
        <f t="shared" si="89"/>
        <v>#N/A</v>
      </c>
      <c r="J707" t="e">
        <f t="shared" si="84"/>
        <v>#N/A</v>
      </c>
      <c r="K707" s="27" t="e">
        <f t="shared" si="85"/>
        <v>#N/A</v>
      </c>
    </row>
    <row r="708" spans="1:11">
      <c r="A708" s="26">
        <v>658</v>
      </c>
      <c r="B708" s="82" t="e">
        <f t="shared" si="86"/>
        <v>#N/A</v>
      </c>
      <c r="C708" s="58" t="e">
        <f t="shared" si="82"/>
        <v>#N/A</v>
      </c>
      <c r="D708" s="83" t="e">
        <f t="shared" si="87"/>
        <v>#N/A</v>
      </c>
      <c r="E708" t="e">
        <f t="shared" si="83"/>
        <v>#N/A</v>
      </c>
      <c r="G708">
        <v>658</v>
      </c>
      <c r="H708" s="13" t="e">
        <f t="shared" si="88"/>
        <v>#N/A</v>
      </c>
      <c r="I708" t="e">
        <f t="shared" si="89"/>
        <v>#N/A</v>
      </c>
      <c r="J708" t="e">
        <f t="shared" si="84"/>
        <v>#N/A</v>
      </c>
      <c r="K708" s="27" t="e">
        <f t="shared" si="85"/>
        <v>#N/A</v>
      </c>
    </row>
    <row r="709" spans="1:11">
      <c r="A709" s="26">
        <v>659</v>
      </c>
      <c r="B709" s="82" t="e">
        <f t="shared" si="86"/>
        <v>#N/A</v>
      </c>
      <c r="C709" s="58" t="e">
        <f t="shared" si="82"/>
        <v>#N/A</v>
      </c>
      <c r="D709" s="83" t="e">
        <f t="shared" si="87"/>
        <v>#N/A</v>
      </c>
      <c r="E709" t="e">
        <f t="shared" si="83"/>
        <v>#N/A</v>
      </c>
      <c r="G709">
        <v>659</v>
      </c>
      <c r="H709" s="13" t="e">
        <f t="shared" si="88"/>
        <v>#N/A</v>
      </c>
      <c r="I709" t="e">
        <f t="shared" si="89"/>
        <v>#N/A</v>
      </c>
      <c r="J709" t="e">
        <f t="shared" si="84"/>
        <v>#N/A</v>
      </c>
      <c r="K709" s="27" t="e">
        <f t="shared" si="85"/>
        <v>#N/A</v>
      </c>
    </row>
    <row r="710" spans="1:11">
      <c r="A710" s="26">
        <v>660</v>
      </c>
      <c r="B710" s="82" t="e">
        <f t="shared" si="86"/>
        <v>#N/A</v>
      </c>
      <c r="C710" s="58" t="e">
        <f t="shared" si="82"/>
        <v>#N/A</v>
      </c>
      <c r="D710" s="83" t="e">
        <f t="shared" si="87"/>
        <v>#N/A</v>
      </c>
      <c r="E710" t="e">
        <f t="shared" si="83"/>
        <v>#N/A</v>
      </c>
      <c r="G710">
        <v>660</v>
      </c>
      <c r="H710" s="13" t="e">
        <f t="shared" si="88"/>
        <v>#N/A</v>
      </c>
      <c r="I710" t="e">
        <f t="shared" si="89"/>
        <v>#N/A</v>
      </c>
      <c r="J710" t="e">
        <f t="shared" si="84"/>
        <v>#N/A</v>
      </c>
      <c r="K710" s="27" t="e">
        <f t="shared" si="85"/>
        <v>#N/A</v>
      </c>
    </row>
    <row r="711" spans="1:11">
      <c r="A711" s="26">
        <v>661</v>
      </c>
      <c r="B711" s="82" t="e">
        <f t="shared" si="86"/>
        <v>#N/A</v>
      </c>
      <c r="C711" s="58" t="e">
        <f t="shared" si="82"/>
        <v>#N/A</v>
      </c>
      <c r="D711" s="83" t="e">
        <f t="shared" si="87"/>
        <v>#N/A</v>
      </c>
      <c r="E711" t="e">
        <f t="shared" si="83"/>
        <v>#N/A</v>
      </c>
      <c r="G711">
        <v>661</v>
      </c>
      <c r="H711" s="13" t="e">
        <f t="shared" si="88"/>
        <v>#N/A</v>
      </c>
      <c r="I711" t="e">
        <f t="shared" si="89"/>
        <v>#N/A</v>
      </c>
      <c r="J711" t="e">
        <f t="shared" si="84"/>
        <v>#N/A</v>
      </c>
      <c r="K711" s="27" t="e">
        <f t="shared" si="85"/>
        <v>#N/A</v>
      </c>
    </row>
    <row r="712" spans="1:11">
      <c r="A712" s="26">
        <v>662</v>
      </c>
      <c r="B712" s="82" t="e">
        <f t="shared" si="86"/>
        <v>#N/A</v>
      </c>
      <c r="C712" s="58" t="e">
        <f t="shared" si="82"/>
        <v>#N/A</v>
      </c>
      <c r="D712" s="83" t="e">
        <f t="shared" si="87"/>
        <v>#N/A</v>
      </c>
      <c r="E712" t="e">
        <f t="shared" si="83"/>
        <v>#N/A</v>
      </c>
      <c r="G712">
        <v>662</v>
      </c>
      <c r="H712" s="13" t="e">
        <f t="shared" si="88"/>
        <v>#N/A</v>
      </c>
      <c r="I712" t="e">
        <f t="shared" si="89"/>
        <v>#N/A</v>
      </c>
      <c r="J712" t="e">
        <f t="shared" si="84"/>
        <v>#N/A</v>
      </c>
      <c r="K712" s="27" t="e">
        <f t="shared" si="85"/>
        <v>#N/A</v>
      </c>
    </row>
    <row r="713" spans="1:11">
      <c r="A713" s="26">
        <v>663</v>
      </c>
      <c r="B713" s="82" t="e">
        <f t="shared" si="86"/>
        <v>#N/A</v>
      </c>
      <c r="C713" s="58" t="e">
        <f t="shared" si="82"/>
        <v>#N/A</v>
      </c>
      <c r="D713" s="83" t="e">
        <f t="shared" si="87"/>
        <v>#N/A</v>
      </c>
      <c r="E713" t="e">
        <f t="shared" si="83"/>
        <v>#N/A</v>
      </c>
      <c r="G713">
        <v>663</v>
      </c>
      <c r="H713" s="13" t="e">
        <f t="shared" si="88"/>
        <v>#N/A</v>
      </c>
      <c r="I713" t="e">
        <f t="shared" si="89"/>
        <v>#N/A</v>
      </c>
      <c r="J713" t="e">
        <f t="shared" si="84"/>
        <v>#N/A</v>
      </c>
      <c r="K713" s="27" t="e">
        <f t="shared" si="85"/>
        <v>#N/A</v>
      </c>
    </row>
    <row r="714" spans="1:11">
      <c r="A714" s="26">
        <v>664</v>
      </c>
      <c r="B714" s="82" t="e">
        <f t="shared" si="86"/>
        <v>#N/A</v>
      </c>
      <c r="C714" s="58" t="e">
        <f t="shared" si="82"/>
        <v>#N/A</v>
      </c>
      <c r="D714" s="83" t="e">
        <f t="shared" si="87"/>
        <v>#N/A</v>
      </c>
      <c r="E714" t="e">
        <f t="shared" si="83"/>
        <v>#N/A</v>
      </c>
      <c r="G714">
        <v>664</v>
      </c>
      <c r="H714" s="13" t="e">
        <f t="shared" si="88"/>
        <v>#N/A</v>
      </c>
      <c r="I714" t="e">
        <f t="shared" si="89"/>
        <v>#N/A</v>
      </c>
      <c r="J714" t="e">
        <f t="shared" si="84"/>
        <v>#N/A</v>
      </c>
      <c r="K714" s="27" t="e">
        <f t="shared" si="85"/>
        <v>#N/A</v>
      </c>
    </row>
    <row r="715" spans="1:11">
      <c r="A715" s="26">
        <v>665</v>
      </c>
      <c r="B715" s="82" t="e">
        <f t="shared" si="86"/>
        <v>#N/A</v>
      </c>
      <c r="C715" s="58" t="e">
        <f t="shared" si="82"/>
        <v>#N/A</v>
      </c>
      <c r="D715" s="83" t="e">
        <f t="shared" si="87"/>
        <v>#N/A</v>
      </c>
      <c r="E715" t="e">
        <f t="shared" si="83"/>
        <v>#N/A</v>
      </c>
      <c r="G715">
        <v>665</v>
      </c>
      <c r="H715" s="13" t="e">
        <f t="shared" si="88"/>
        <v>#N/A</v>
      </c>
      <c r="I715" t="e">
        <f t="shared" si="89"/>
        <v>#N/A</v>
      </c>
      <c r="J715" t="e">
        <f t="shared" si="84"/>
        <v>#N/A</v>
      </c>
      <c r="K715" s="27" t="e">
        <f t="shared" si="85"/>
        <v>#N/A</v>
      </c>
    </row>
    <row r="716" spans="1:11">
      <c r="A716" s="26">
        <v>666</v>
      </c>
      <c r="B716" s="82" t="e">
        <f t="shared" si="86"/>
        <v>#N/A</v>
      </c>
      <c r="C716" s="58" t="e">
        <f t="shared" si="82"/>
        <v>#N/A</v>
      </c>
      <c r="D716" s="83" t="e">
        <f t="shared" si="87"/>
        <v>#N/A</v>
      </c>
      <c r="E716" t="e">
        <f t="shared" si="83"/>
        <v>#N/A</v>
      </c>
      <c r="G716">
        <v>666</v>
      </c>
      <c r="H716" s="13" t="e">
        <f t="shared" si="88"/>
        <v>#N/A</v>
      </c>
      <c r="I716" t="e">
        <f t="shared" si="89"/>
        <v>#N/A</v>
      </c>
      <c r="J716" t="e">
        <f t="shared" si="84"/>
        <v>#N/A</v>
      </c>
      <c r="K716" s="27" t="e">
        <f t="shared" si="85"/>
        <v>#N/A</v>
      </c>
    </row>
    <row r="717" spans="1:11">
      <c r="A717" s="26">
        <v>667</v>
      </c>
      <c r="B717" s="82" t="e">
        <f t="shared" si="86"/>
        <v>#N/A</v>
      </c>
      <c r="C717" s="58" t="e">
        <f t="shared" si="82"/>
        <v>#N/A</v>
      </c>
      <c r="D717" s="83" t="e">
        <f t="shared" si="87"/>
        <v>#N/A</v>
      </c>
      <c r="E717" t="e">
        <f t="shared" si="83"/>
        <v>#N/A</v>
      </c>
      <c r="G717">
        <v>667</v>
      </c>
      <c r="H717" s="13" t="e">
        <f t="shared" si="88"/>
        <v>#N/A</v>
      </c>
      <c r="I717" t="e">
        <f t="shared" si="89"/>
        <v>#N/A</v>
      </c>
      <c r="J717" t="e">
        <f t="shared" si="84"/>
        <v>#N/A</v>
      </c>
      <c r="K717" s="27" t="e">
        <f t="shared" si="85"/>
        <v>#N/A</v>
      </c>
    </row>
    <row r="718" spans="1:11">
      <c r="A718" s="26">
        <v>668</v>
      </c>
      <c r="B718" s="82" t="e">
        <f t="shared" si="86"/>
        <v>#N/A</v>
      </c>
      <c r="C718" s="58" t="e">
        <f t="shared" si="82"/>
        <v>#N/A</v>
      </c>
      <c r="D718" s="83" t="e">
        <f t="shared" si="87"/>
        <v>#N/A</v>
      </c>
      <c r="E718" t="e">
        <f t="shared" si="83"/>
        <v>#N/A</v>
      </c>
      <c r="G718">
        <v>668</v>
      </c>
      <c r="H718" s="13" t="e">
        <f t="shared" si="88"/>
        <v>#N/A</v>
      </c>
      <c r="I718" t="e">
        <f t="shared" si="89"/>
        <v>#N/A</v>
      </c>
      <c r="J718" t="e">
        <f t="shared" si="84"/>
        <v>#N/A</v>
      </c>
      <c r="K718" s="27" t="e">
        <f t="shared" si="85"/>
        <v>#N/A</v>
      </c>
    </row>
    <row r="719" spans="1:11">
      <c r="A719" s="26">
        <v>669</v>
      </c>
      <c r="B719" s="82" t="e">
        <f t="shared" si="86"/>
        <v>#N/A</v>
      </c>
      <c r="C719" s="58" t="e">
        <f t="shared" si="82"/>
        <v>#N/A</v>
      </c>
      <c r="D719" s="83" t="e">
        <f t="shared" si="87"/>
        <v>#N/A</v>
      </c>
      <c r="E719" t="e">
        <f t="shared" si="83"/>
        <v>#N/A</v>
      </c>
      <c r="G719">
        <v>669</v>
      </c>
      <c r="H719" s="13" t="e">
        <f t="shared" si="88"/>
        <v>#N/A</v>
      </c>
      <c r="I719" t="e">
        <f t="shared" si="89"/>
        <v>#N/A</v>
      </c>
      <c r="J719" t="e">
        <f t="shared" si="84"/>
        <v>#N/A</v>
      </c>
      <c r="K719" s="27" t="e">
        <f t="shared" si="85"/>
        <v>#N/A</v>
      </c>
    </row>
    <row r="720" spans="1:11">
      <c r="A720" s="26">
        <v>670</v>
      </c>
      <c r="B720" s="82" t="e">
        <f t="shared" si="86"/>
        <v>#N/A</v>
      </c>
      <c r="C720" s="58" t="e">
        <f t="shared" ref="C720:C783" si="90">($C$37-$C$36)/2000+C719</f>
        <v>#N/A</v>
      </c>
      <c r="D720" s="83" t="e">
        <f t="shared" si="87"/>
        <v>#N/A</v>
      </c>
      <c r="E720" t="e">
        <f t="shared" si="83"/>
        <v>#N/A</v>
      </c>
      <c r="G720">
        <v>670</v>
      </c>
      <c r="H720" s="13" t="e">
        <f t="shared" si="88"/>
        <v>#N/A</v>
      </c>
      <c r="I720" t="e">
        <f t="shared" si="89"/>
        <v>#N/A</v>
      </c>
      <c r="J720" t="e">
        <f t="shared" si="84"/>
        <v>#N/A</v>
      </c>
      <c r="K720" s="27" t="e">
        <f t="shared" si="85"/>
        <v>#N/A</v>
      </c>
    </row>
    <row r="721" spans="1:11">
      <c r="A721" s="26">
        <v>671</v>
      </c>
      <c r="B721" s="82" t="e">
        <f t="shared" si="86"/>
        <v>#N/A</v>
      </c>
      <c r="C721" s="58" t="e">
        <f t="shared" si="90"/>
        <v>#N/A</v>
      </c>
      <c r="D721" s="83" t="e">
        <f t="shared" si="87"/>
        <v>#N/A</v>
      </c>
      <c r="E721" t="e">
        <f t="shared" si="83"/>
        <v>#N/A</v>
      </c>
      <c r="G721">
        <v>671</v>
      </c>
      <c r="H721" s="13" t="e">
        <f t="shared" si="88"/>
        <v>#N/A</v>
      </c>
      <c r="I721" t="e">
        <f t="shared" si="89"/>
        <v>#N/A</v>
      </c>
      <c r="J721" t="e">
        <f t="shared" si="84"/>
        <v>#N/A</v>
      </c>
      <c r="K721" s="27" t="e">
        <f t="shared" si="85"/>
        <v>#N/A</v>
      </c>
    </row>
    <row r="722" spans="1:11">
      <c r="A722" s="26">
        <v>672</v>
      </c>
      <c r="B722" s="82" t="e">
        <f t="shared" si="86"/>
        <v>#N/A</v>
      </c>
      <c r="C722" s="58" t="e">
        <f t="shared" si="90"/>
        <v>#N/A</v>
      </c>
      <c r="D722" s="83" t="e">
        <f t="shared" si="87"/>
        <v>#N/A</v>
      </c>
      <c r="E722" t="e">
        <f t="shared" si="83"/>
        <v>#N/A</v>
      </c>
      <c r="G722">
        <v>672</v>
      </c>
      <c r="H722" s="13" t="e">
        <f t="shared" si="88"/>
        <v>#N/A</v>
      </c>
      <c r="I722" t="e">
        <f t="shared" si="89"/>
        <v>#N/A</v>
      </c>
      <c r="J722" t="e">
        <f t="shared" si="84"/>
        <v>#N/A</v>
      </c>
      <c r="K722" s="27" t="e">
        <f t="shared" si="85"/>
        <v>#N/A</v>
      </c>
    </row>
    <row r="723" spans="1:11">
      <c r="A723" s="26">
        <v>673</v>
      </c>
      <c r="B723" s="82" t="e">
        <f t="shared" si="86"/>
        <v>#N/A</v>
      </c>
      <c r="C723" s="58" t="e">
        <f t="shared" si="90"/>
        <v>#N/A</v>
      </c>
      <c r="D723" s="83" t="e">
        <f t="shared" si="87"/>
        <v>#N/A</v>
      </c>
      <c r="E723" t="e">
        <f t="shared" si="83"/>
        <v>#N/A</v>
      </c>
      <c r="G723">
        <v>673</v>
      </c>
      <c r="H723" s="13" t="e">
        <f t="shared" si="88"/>
        <v>#N/A</v>
      </c>
      <c r="I723" t="e">
        <f t="shared" si="89"/>
        <v>#N/A</v>
      </c>
      <c r="J723" t="e">
        <f t="shared" si="84"/>
        <v>#N/A</v>
      </c>
      <c r="K723" s="27" t="e">
        <f t="shared" si="85"/>
        <v>#N/A</v>
      </c>
    </row>
    <row r="724" spans="1:11">
      <c r="A724" s="26">
        <v>674</v>
      </c>
      <c r="B724" s="82" t="e">
        <f t="shared" si="86"/>
        <v>#N/A</v>
      </c>
      <c r="C724" s="58" t="e">
        <f t="shared" si="90"/>
        <v>#N/A</v>
      </c>
      <c r="D724" s="83" t="e">
        <f t="shared" si="87"/>
        <v>#N/A</v>
      </c>
      <c r="E724" t="e">
        <f t="shared" si="83"/>
        <v>#N/A</v>
      </c>
      <c r="G724">
        <v>674</v>
      </c>
      <c r="H724" s="13" t="e">
        <f t="shared" si="88"/>
        <v>#N/A</v>
      </c>
      <c r="I724" t="e">
        <f t="shared" si="89"/>
        <v>#N/A</v>
      </c>
      <c r="J724" t="e">
        <f t="shared" si="84"/>
        <v>#N/A</v>
      </c>
      <c r="K724" s="27" t="e">
        <f t="shared" si="85"/>
        <v>#N/A</v>
      </c>
    </row>
    <row r="725" spans="1:11">
      <c r="A725" s="26">
        <v>675</v>
      </c>
      <c r="B725" s="82" t="e">
        <f t="shared" si="86"/>
        <v>#N/A</v>
      </c>
      <c r="C725" s="58" t="e">
        <f t="shared" si="90"/>
        <v>#N/A</v>
      </c>
      <c r="D725" s="83" t="e">
        <f t="shared" si="87"/>
        <v>#N/A</v>
      </c>
      <c r="E725" t="e">
        <f t="shared" si="83"/>
        <v>#N/A</v>
      </c>
      <c r="G725">
        <v>675</v>
      </c>
      <c r="H725" s="13" t="e">
        <f t="shared" si="88"/>
        <v>#N/A</v>
      </c>
      <c r="I725" t="e">
        <f t="shared" si="89"/>
        <v>#N/A</v>
      </c>
      <c r="J725" t="e">
        <f t="shared" si="84"/>
        <v>#N/A</v>
      </c>
      <c r="K725" s="27" t="e">
        <f t="shared" si="85"/>
        <v>#N/A</v>
      </c>
    </row>
    <row r="726" spans="1:11">
      <c r="A726" s="26">
        <v>676</v>
      </c>
      <c r="B726" s="82" t="e">
        <f t="shared" si="86"/>
        <v>#N/A</v>
      </c>
      <c r="C726" s="58" t="e">
        <f t="shared" si="90"/>
        <v>#N/A</v>
      </c>
      <c r="D726" s="83" t="e">
        <f t="shared" si="87"/>
        <v>#N/A</v>
      </c>
      <c r="E726" t="e">
        <f t="shared" si="83"/>
        <v>#N/A</v>
      </c>
      <c r="G726">
        <v>676</v>
      </c>
      <c r="H726" s="13" t="e">
        <f t="shared" si="88"/>
        <v>#N/A</v>
      </c>
      <c r="I726" t="e">
        <f t="shared" si="89"/>
        <v>#N/A</v>
      </c>
      <c r="J726" t="e">
        <f t="shared" si="84"/>
        <v>#N/A</v>
      </c>
      <c r="K726" s="27" t="e">
        <f t="shared" si="85"/>
        <v>#N/A</v>
      </c>
    </row>
    <row r="727" spans="1:11">
      <c r="A727" s="26">
        <v>677</v>
      </c>
      <c r="B727" s="82" t="e">
        <f t="shared" si="86"/>
        <v>#N/A</v>
      </c>
      <c r="C727" s="58" t="e">
        <f t="shared" si="90"/>
        <v>#N/A</v>
      </c>
      <c r="D727" s="83" t="e">
        <f t="shared" si="87"/>
        <v>#N/A</v>
      </c>
      <c r="E727" t="e">
        <f t="shared" si="83"/>
        <v>#N/A</v>
      </c>
      <c r="G727">
        <v>677</v>
      </c>
      <c r="H727" s="13" t="e">
        <f t="shared" si="88"/>
        <v>#N/A</v>
      </c>
      <c r="I727" t="e">
        <f t="shared" si="89"/>
        <v>#N/A</v>
      </c>
      <c r="J727" t="e">
        <f t="shared" si="84"/>
        <v>#N/A</v>
      </c>
      <c r="K727" s="27" t="e">
        <f t="shared" si="85"/>
        <v>#N/A</v>
      </c>
    </row>
    <row r="728" spans="1:11">
      <c r="A728" s="26">
        <v>678</v>
      </c>
      <c r="B728" s="82" t="e">
        <f t="shared" si="86"/>
        <v>#N/A</v>
      </c>
      <c r="C728" s="58" t="e">
        <f t="shared" si="90"/>
        <v>#N/A</v>
      </c>
      <c r="D728" s="83" t="e">
        <f t="shared" si="87"/>
        <v>#N/A</v>
      </c>
      <c r="E728" t="e">
        <f t="shared" si="83"/>
        <v>#N/A</v>
      </c>
      <c r="G728">
        <v>678</v>
      </c>
      <c r="H728" s="13" t="e">
        <f t="shared" si="88"/>
        <v>#N/A</v>
      </c>
      <c r="I728" t="e">
        <f t="shared" si="89"/>
        <v>#N/A</v>
      </c>
      <c r="J728" t="e">
        <f t="shared" si="84"/>
        <v>#N/A</v>
      </c>
      <c r="K728" s="27" t="e">
        <f t="shared" si="85"/>
        <v>#N/A</v>
      </c>
    </row>
    <row r="729" spans="1:11">
      <c r="A729" s="26">
        <v>679</v>
      </c>
      <c r="B729" s="82" t="e">
        <f t="shared" si="86"/>
        <v>#N/A</v>
      </c>
      <c r="C729" s="58" t="e">
        <f t="shared" si="90"/>
        <v>#N/A</v>
      </c>
      <c r="D729" s="83" t="e">
        <f t="shared" si="87"/>
        <v>#N/A</v>
      </c>
      <c r="E729" t="e">
        <f t="shared" si="83"/>
        <v>#N/A</v>
      </c>
      <c r="G729">
        <v>679</v>
      </c>
      <c r="H729" s="13" t="e">
        <f t="shared" si="88"/>
        <v>#N/A</v>
      </c>
      <c r="I729" t="e">
        <f t="shared" si="89"/>
        <v>#N/A</v>
      </c>
      <c r="J729" t="e">
        <f t="shared" si="84"/>
        <v>#N/A</v>
      </c>
      <c r="K729" s="27" t="e">
        <f t="shared" si="85"/>
        <v>#N/A</v>
      </c>
    </row>
    <row r="730" spans="1:11">
      <c r="A730" s="26">
        <v>680</v>
      </c>
      <c r="B730" s="82" t="e">
        <f t="shared" si="86"/>
        <v>#N/A</v>
      </c>
      <c r="C730" s="58" t="e">
        <f t="shared" si="90"/>
        <v>#N/A</v>
      </c>
      <c r="D730" s="83" t="e">
        <f t="shared" si="87"/>
        <v>#N/A</v>
      </c>
      <c r="E730" t="e">
        <f t="shared" si="83"/>
        <v>#N/A</v>
      </c>
      <c r="G730">
        <v>680</v>
      </c>
      <c r="H730" s="13" t="e">
        <f t="shared" si="88"/>
        <v>#N/A</v>
      </c>
      <c r="I730" t="e">
        <f t="shared" si="89"/>
        <v>#N/A</v>
      </c>
      <c r="J730" t="e">
        <f t="shared" si="84"/>
        <v>#N/A</v>
      </c>
      <c r="K730" s="27" t="e">
        <f t="shared" si="85"/>
        <v>#N/A</v>
      </c>
    </row>
    <row r="731" spans="1:11">
      <c r="A731" s="26">
        <v>681</v>
      </c>
      <c r="B731" s="82" t="e">
        <f t="shared" si="86"/>
        <v>#N/A</v>
      </c>
      <c r="C731" s="58" t="e">
        <f t="shared" si="90"/>
        <v>#N/A</v>
      </c>
      <c r="D731" s="83" t="e">
        <f t="shared" si="87"/>
        <v>#N/A</v>
      </c>
      <c r="E731" t="e">
        <f t="shared" si="83"/>
        <v>#N/A</v>
      </c>
      <c r="G731">
        <v>681</v>
      </c>
      <c r="H731" s="13" t="e">
        <f t="shared" si="88"/>
        <v>#N/A</v>
      </c>
      <c r="I731" t="e">
        <f t="shared" si="89"/>
        <v>#N/A</v>
      </c>
      <c r="J731" t="e">
        <f t="shared" si="84"/>
        <v>#N/A</v>
      </c>
      <c r="K731" s="27" t="e">
        <f t="shared" si="85"/>
        <v>#N/A</v>
      </c>
    </row>
    <row r="732" spans="1:11">
      <c r="A732" s="26">
        <v>682</v>
      </c>
      <c r="B732" s="82" t="e">
        <f t="shared" si="86"/>
        <v>#N/A</v>
      </c>
      <c r="C732" s="58" t="e">
        <f t="shared" si="90"/>
        <v>#N/A</v>
      </c>
      <c r="D732" s="83" t="e">
        <f t="shared" si="87"/>
        <v>#N/A</v>
      </c>
      <c r="E732" t="e">
        <f t="shared" si="83"/>
        <v>#N/A</v>
      </c>
      <c r="G732">
        <v>682</v>
      </c>
      <c r="H732" s="13" t="e">
        <f t="shared" si="88"/>
        <v>#N/A</v>
      </c>
      <c r="I732" t="e">
        <f t="shared" si="89"/>
        <v>#N/A</v>
      </c>
      <c r="J732" t="e">
        <f t="shared" si="84"/>
        <v>#N/A</v>
      </c>
      <c r="K732" s="27" t="e">
        <f t="shared" si="85"/>
        <v>#N/A</v>
      </c>
    </row>
    <row r="733" spans="1:11">
      <c r="A733" s="26">
        <v>683</v>
      </c>
      <c r="B733" s="82" t="e">
        <f t="shared" si="86"/>
        <v>#N/A</v>
      </c>
      <c r="C733" s="58" t="e">
        <f t="shared" si="90"/>
        <v>#N/A</v>
      </c>
      <c r="D733" s="83" t="e">
        <f t="shared" si="87"/>
        <v>#N/A</v>
      </c>
      <c r="E733" t="e">
        <f t="shared" si="83"/>
        <v>#N/A</v>
      </c>
      <c r="G733">
        <v>683</v>
      </c>
      <c r="H733" s="13" t="e">
        <f t="shared" si="88"/>
        <v>#N/A</v>
      </c>
      <c r="I733" t="e">
        <f t="shared" si="89"/>
        <v>#N/A</v>
      </c>
      <c r="J733" t="e">
        <f t="shared" si="84"/>
        <v>#N/A</v>
      </c>
      <c r="K733" s="27" t="e">
        <f t="shared" si="85"/>
        <v>#N/A</v>
      </c>
    </row>
    <row r="734" spans="1:11">
      <c r="A734" s="26">
        <v>684</v>
      </c>
      <c r="B734" s="82" t="e">
        <f t="shared" si="86"/>
        <v>#N/A</v>
      </c>
      <c r="C734" s="58" t="e">
        <f t="shared" si="90"/>
        <v>#N/A</v>
      </c>
      <c r="D734" s="83" t="e">
        <f t="shared" si="87"/>
        <v>#N/A</v>
      </c>
      <c r="E734" t="e">
        <f t="shared" si="83"/>
        <v>#N/A</v>
      </c>
      <c r="G734">
        <v>684</v>
      </c>
      <c r="H734" s="13" t="e">
        <f t="shared" si="88"/>
        <v>#N/A</v>
      </c>
      <c r="I734" t="e">
        <f t="shared" si="89"/>
        <v>#N/A</v>
      </c>
      <c r="J734" t="e">
        <f t="shared" si="84"/>
        <v>#N/A</v>
      </c>
      <c r="K734" s="27" t="e">
        <f t="shared" si="85"/>
        <v>#N/A</v>
      </c>
    </row>
    <row r="735" spans="1:11">
      <c r="A735" s="26">
        <v>685</v>
      </c>
      <c r="B735" s="82" t="e">
        <f t="shared" si="86"/>
        <v>#N/A</v>
      </c>
      <c r="C735" s="58" t="e">
        <f t="shared" si="90"/>
        <v>#N/A</v>
      </c>
      <c r="D735" s="83" t="e">
        <f t="shared" si="87"/>
        <v>#N/A</v>
      </c>
      <c r="E735" t="e">
        <f t="shared" si="83"/>
        <v>#N/A</v>
      </c>
      <c r="G735">
        <v>685</v>
      </c>
      <c r="H735" s="13" t="e">
        <f t="shared" si="88"/>
        <v>#N/A</v>
      </c>
      <c r="I735" t="e">
        <f t="shared" si="89"/>
        <v>#N/A</v>
      </c>
      <c r="J735" t="e">
        <f t="shared" si="84"/>
        <v>#N/A</v>
      </c>
      <c r="K735" s="27" t="e">
        <f t="shared" si="85"/>
        <v>#N/A</v>
      </c>
    </row>
    <row r="736" spans="1:11">
      <c r="A736" s="26">
        <v>686</v>
      </c>
      <c r="B736" s="82" t="e">
        <f t="shared" si="86"/>
        <v>#N/A</v>
      </c>
      <c r="C736" s="58" t="e">
        <f t="shared" si="90"/>
        <v>#N/A</v>
      </c>
      <c r="D736" s="83" t="e">
        <f t="shared" si="87"/>
        <v>#N/A</v>
      </c>
      <c r="E736" t="e">
        <f t="shared" si="83"/>
        <v>#N/A</v>
      </c>
      <c r="G736">
        <v>686</v>
      </c>
      <c r="H736" s="13" t="e">
        <f t="shared" si="88"/>
        <v>#N/A</v>
      </c>
      <c r="I736" t="e">
        <f t="shared" si="89"/>
        <v>#N/A</v>
      </c>
      <c r="J736" t="e">
        <f t="shared" si="84"/>
        <v>#N/A</v>
      </c>
      <c r="K736" s="27" t="e">
        <f t="shared" si="85"/>
        <v>#N/A</v>
      </c>
    </row>
    <row r="737" spans="1:11">
      <c r="A737" s="26">
        <v>687</v>
      </c>
      <c r="B737" s="82" t="e">
        <f t="shared" si="86"/>
        <v>#N/A</v>
      </c>
      <c r="C737" s="58" t="e">
        <f t="shared" si="90"/>
        <v>#N/A</v>
      </c>
      <c r="D737" s="83" t="e">
        <f t="shared" si="87"/>
        <v>#N/A</v>
      </c>
      <c r="E737" t="e">
        <f t="shared" si="83"/>
        <v>#N/A</v>
      </c>
      <c r="G737">
        <v>687</v>
      </c>
      <c r="H737" s="13" t="e">
        <f t="shared" si="88"/>
        <v>#N/A</v>
      </c>
      <c r="I737" t="e">
        <f t="shared" si="89"/>
        <v>#N/A</v>
      </c>
      <c r="J737" t="e">
        <f t="shared" si="84"/>
        <v>#N/A</v>
      </c>
      <c r="K737" s="27" t="e">
        <f t="shared" si="85"/>
        <v>#N/A</v>
      </c>
    </row>
    <row r="738" spans="1:11">
      <c r="A738" s="26">
        <v>688</v>
      </c>
      <c r="B738" s="82" t="e">
        <f t="shared" si="86"/>
        <v>#N/A</v>
      </c>
      <c r="C738" s="58" t="e">
        <f t="shared" si="90"/>
        <v>#N/A</v>
      </c>
      <c r="D738" s="83" t="e">
        <f t="shared" si="87"/>
        <v>#N/A</v>
      </c>
      <c r="E738" t="e">
        <f t="shared" si="83"/>
        <v>#N/A</v>
      </c>
      <c r="G738">
        <v>688</v>
      </c>
      <c r="H738" s="13" t="e">
        <f t="shared" si="88"/>
        <v>#N/A</v>
      </c>
      <c r="I738" t="e">
        <f t="shared" si="89"/>
        <v>#N/A</v>
      </c>
      <c r="J738" t="e">
        <f t="shared" si="84"/>
        <v>#N/A</v>
      </c>
      <c r="K738" s="27" t="e">
        <f t="shared" si="85"/>
        <v>#N/A</v>
      </c>
    </row>
    <row r="739" spans="1:11">
      <c r="A739" s="26">
        <v>689</v>
      </c>
      <c r="B739" s="82" t="e">
        <f t="shared" si="86"/>
        <v>#N/A</v>
      </c>
      <c r="C739" s="58" t="e">
        <f t="shared" si="90"/>
        <v>#N/A</v>
      </c>
      <c r="D739" s="83" t="e">
        <f t="shared" si="87"/>
        <v>#N/A</v>
      </c>
      <c r="E739" t="e">
        <f t="shared" si="83"/>
        <v>#N/A</v>
      </c>
      <c r="G739">
        <v>689</v>
      </c>
      <c r="H739" s="13" t="e">
        <f t="shared" si="88"/>
        <v>#N/A</v>
      </c>
      <c r="I739" t="e">
        <f t="shared" si="89"/>
        <v>#N/A</v>
      </c>
      <c r="J739" t="e">
        <f t="shared" si="84"/>
        <v>#N/A</v>
      </c>
      <c r="K739" s="27" t="e">
        <f t="shared" si="85"/>
        <v>#N/A</v>
      </c>
    </row>
    <row r="740" spans="1:11">
      <c r="A740" s="26">
        <v>690</v>
      </c>
      <c r="B740" s="82" t="e">
        <f t="shared" si="86"/>
        <v>#N/A</v>
      </c>
      <c r="C740" s="58" t="e">
        <f t="shared" si="90"/>
        <v>#N/A</v>
      </c>
      <c r="D740" s="83" t="e">
        <f t="shared" si="87"/>
        <v>#N/A</v>
      </c>
      <c r="E740" t="e">
        <f t="shared" si="83"/>
        <v>#N/A</v>
      </c>
      <c r="G740">
        <v>690</v>
      </c>
      <c r="H740" s="13" t="e">
        <f t="shared" si="88"/>
        <v>#N/A</v>
      </c>
      <c r="I740" t="e">
        <f t="shared" si="89"/>
        <v>#N/A</v>
      </c>
      <c r="J740" t="e">
        <f t="shared" si="84"/>
        <v>#N/A</v>
      </c>
      <c r="K740" s="27" t="e">
        <f t="shared" si="85"/>
        <v>#N/A</v>
      </c>
    </row>
    <row r="741" spans="1:11">
      <c r="A741" s="26">
        <v>691</v>
      </c>
      <c r="B741" s="82" t="e">
        <f t="shared" si="86"/>
        <v>#N/A</v>
      </c>
      <c r="C741" s="58" t="e">
        <f t="shared" si="90"/>
        <v>#N/A</v>
      </c>
      <c r="D741" s="83" t="e">
        <f t="shared" si="87"/>
        <v>#N/A</v>
      </c>
      <c r="E741" t="e">
        <f t="shared" si="83"/>
        <v>#N/A</v>
      </c>
      <c r="G741">
        <v>691</v>
      </c>
      <c r="H741" s="13" t="e">
        <f t="shared" si="88"/>
        <v>#N/A</v>
      </c>
      <c r="I741" t="e">
        <f t="shared" si="89"/>
        <v>#N/A</v>
      </c>
      <c r="J741" t="e">
        <f t="shared" si="84"/>
        <v>#N/A</v>
      </c>
      <c r="K741" s="27" t="e">
        <f t="shared" si="85"/>
        <v>#N/A</v>
      </c>
    </row>
    <row r="742" spans="1:11">
      <c r="A742" s="26">
        <v>692</v>
      </c>
      <c r="B742" s="82" t="e">
        <f t="shared" si="86"/>
        <v>#N/A</v>
      </c>
      <c r="C742" s="58" t="e">
        <f t="shared" si="90"/>
        <v>#N/A</v>
      </c>
      <c r="D742" s="83" t="e">
        <f t="shared" si="87"/>
        <v>#N/A</v>
      </c>
      <c r="E742" t="e">
        <f t="shared" si="83"/>
        <v>#N/A</v>
      </c>
      <c r="G742">
        <v>692</v>
      </c>
      <c r="H742" s="13" t="e">
        <f t="shared" si="88"/>
        <v>#N/A</v>
      </c>
      <c r="I742" t="e">
        <f t="shared" si="89"/>
        <v>#N/A</v>
      </c>
      <c r="J742" t="e">
        <f t="shared" si="84"/>
        <v>#N/A</v>
      </c>
      <c r="K742" s="27" t="e">
        <f t="shared" si="85"/>
        <v>#N/A</v>
      </c>
    </row>
    <row r="743" spans="1:11">
      <c r="A743" s="26">
        <v>693</v>
      </c>
      <c r="B743" s="82" t="e">
        <f t="shared" si="86"/>
        <v>#N/A</v>
      </c>
      <c r="C743" s="58" t="e">
        <f t="shared" si="90"/>
        <v>#N/A</v>
      </c>
      <c r="D743" s="83" t="e">
        <f t="shared" si="87"/>
        <v>#N/A</v>
      </c>
      <c r="E743" t="e">
        <f t="shared" si="83"/>
        <v>#N/A</v>
      </c>
      <c r="G743">
        <v>693</v>
      </c>
      <c r="H743" s="13" t="e">
        <f t="shared" si="88"/>
        <v>#N/A</v>
      </c>
      <c r="I743" t="e">
        <f t="shared" si="89"/>
        <v>#N/A</v>
      </c>
      <c r="J743" t="e">
        <f t="shared" si="84"/>
        <v>#N/A</v>
      </c>
      <c r="K743" s="27" t="e">
        <f t="shared" si="85"/>
        <v>#N/A</v>
      </c>
    </row>
    <row r="744" spans="1:11">
      <c r="A744" s="26">
        <v>694</v>
      </c>
      <c r="B744" s="82" t="e">
        <f t="shared" si="86"/>
        <v>#N/A</v>
      </c>
      <c r="C744" s="58" t="e">
        <f t="shared" si="90"/>
        <v>#N/A</v>
      </c>
      <c r="D744" s="83" t="e">
        <f t="shared" si="87"/>
        <v>#N/A</v>
      </c>
      <c r="E744" t="e">
        <f t="shared" si="83"/>
        <v>#N/A</v>
      </c>
      <c r="G744">
        <v>694</v>
      </c>
      <c r="H744" s="13" t="e">
        <f t="shared" si="88"/>
        <v>#N/A</v>
      </c>
      <c r="I744" t="e">
        <f t="shared" si="89"/>
        <v>#N/A</v>
      </c>
      <c r="J744" t="e">
        <f t="shared" si="84"/>
        <v>#N/A</v>
      </c>
      <c r="K744" s="27" t="e">
        <f t="shared" si="85"/>
        <v>#N/A</v>
      </c>
    </row>
    <row r="745" spans="1:11">
      <c r="A745" s="26">
        <v>695</v>
      </c>
      <c r="B745" s="82" t="e">
        <f t="shared" si="86"/>
        <v>#N/A</v>
      </c>
      <c r="C745" s="58" t="e">
        <f t="shared" si="90"/>
        <v>#N/A</v>
      </c>
      <c r="D745" s="83" t="e">
        <f t="shared" si="87"/>
        <v>#N/A</v>
      </c>
      <c r="E745" t="e">
        <f t="shared" si="83"/>
        <v>#N/A</v>
      </c>
      <c r="G745">
        <v>695</v>
      </c>
      <c r="H745" s="13" t="e">
        <f t="shared" si="88"/>
        <v>#N/A</v>
      </c>
      <c r="I745" t="e">
        <f t="shared" si="89"/>
        <v>#N/A</v>
      </c>
      <c r="J745" t="e">
        <f t="shared" si="84"/>
        <v>#N/A</v>
      </c>
      <c r="K745" s="27" t="e">
        <f t="shared" si="85"/>
        <v>#N/A</v>
      </c>
    </row>
    <row r="746" spans="1:11">
      <c r="A746" s="26">
        <v>696</v>
      </c>
      <c r="B746" s="82" t="e">
        <f t="shared" si="86"/>
        <v>#N/A</v>
      </c>
      <c r="C746" s="58" t="e">
        <f t="shared" si="90"/>
        <v>#N/A</v>
      </c>
      <c r="D746" s="83" t="e">
        <f t="shared" si="87"/>
        <v>#N/A</v>
      </c>
      <c r="E746" t="e">
        <f t="shared" si="83"/>
        <v>#N/A</v>
      </c>
      <c r="G746">
        <v>696</v>
      </c>
      <c r="H746" s="13" t="e">
        <f t="shared" si="88"/>
        <v>#N/A</v>
      </c>
      <c r="I746" t="e">
        <f t="shared" si="89"/>
        <v>#N/A</v>
      </c>
      <c r="J746" t="e">
        <f t="shared" si="84"/>
        <v>#N/A</v>
      </c>
      <c r="K746" s="27" t="e">
        <f t="shared" si="85"/>
        <v>#N/A</v>
      </c>
    </row>
    <row r="747" spans="1:11">
      <c r="A747" s="26">
        <v>697</v>
      </c>
      <c r="B747" s="82" t="e">
        <f t="shared" si="86"/>
        <v>#N/A</v>
      </c>
      <c r="C747" s="58" t="e">
        <f t="shared" si="90"/>
        <v>#N/A</v>
      </c>
      <c r="D747" s="83" t="e">
        <f t="shared" si="87"/>
        <v>#N/A</v>
      </c>
      <c r="E747" t="e">
        <f t="shared" si="83"/>
        <v>#N/A</v>
      </c>
      <c r="G747">
        <v>697</v>
      </c>
      <c r="H747" s="13" t="e">
        <f t="shared" si="88"/>
        <v>#N/A</v>
      </c>
      <c r="I747" t="e">
        <f t="shared" si="89"/>
        <v>#N/A</v>
      </c>
      <c r="J747" t="e">
        <f t="shared" si="84"/>
        <v>#N/A</v>
      </c>
      <c r="K747" s="27" t="e">
        <f t="shared" si="85"/>
        <v>#N/A</v>
      </c>
    </row>
    <row r="748" spans="1:11">
      <c r="A748" s="26">
        <v>698</v>
      </c>
      <c r="B748" s="82" t="e">
        <f t="shared" si="86"/>
        <v>#N/A</v>
      </c>
      <c r="C748" s="58" t="e">
        <f t="shared" si="90"/>
        <v>#N/A</v>
      </c>
      <c r="D748" s="83" t="e">
        <f t="shared" si="87"/>
        <v>#N/A</v>
      </c>
      <c r="E748" t="e">
        <f t="shared" si="83"/>
        <v>#N/A</v>
      </c>
      <c r="G748">
        <v>698</v>
      </c>
      <c r="H748" s="13" t="e">
        <f t="shared" si="88"/>
        <v>#N/A</v>
      </c>
      <c r="I748" t="e">
        <f t="shared" si="89"/>
        <v>#N/A</v>
      </c>
      <c r="J748" t="e">
        <f t="shared" si="84"/>
        <v>#N/A</v>
      </c>
      <c r="K748" s="27" t="e">
        <f t="shared" si="85"/>
        <v>#N/A</v>
      </c>
    </row>
    <row r="749" spans="1:11">
      <c r="A749" s="26">
        <v>699</v>
      </c>
      <c r="B749" s="82" t="e">
        <f t="shared" si="86"/>
        <v>#N/A</v>
      </c>
      <c r="C749" s="58" t="e">
        <f t="shared" si="90"/>
        <v>#N/A</v>
      </c>
      <c r="D749" s="83" t="e">
        <f t="shared" si="87"/>
        <v>#N/A</v>
      </c>
      <c r="E749" t="e">
        <f t="shared" si="83"/>
        <v>#N/A</v>
      </c>
      <c r="G749">
        <v>699</v>
      </c>
      <c r="H749" s="13" t="e">
        <f t="shared" si="88"/>
        <v>#N/A</v>
      </c>
      <c r="I749" t="e">
        <f t="shared" si="89"/>
        <v>#N/A</v>
      </c>
      <c r="J749" t="e">
        <f t="shared" si="84"/>
        <v>#N/A</v>
      </c>
      <c r="K749" s="27" t="e">
        <f t="shared" si="85"/>
        <v>#N/A</v>
      </c>
    </row>
    <row r="750" spans="1:11">
      <c r="A750" s="26">
        <v>700</v>
      </c>
      <c r="B750" s="82" t="e">
        <f t="shared" si="86"/>
        <v>#N/A</v>
      </c>
      <c r="C750" s="58" t="e">
        <f t="shared" si="90"/>
        <v>#N/A</v>
      </c>
      <c r="D750" s="83" t="e">
        <f t="shared" si="87"/>
        <v>#N/A</v>
      </c>
      <c r="E750" t="e">
        <f t="shared" si="83"/>
        <v>#N/A</v>
      </c>
      <c r="G750">
        <v>700</v>
      </c>
      <c r="H750" s="13" t="e">
        <f t="shared" si="88"/>
        <v>#N/A</v>
      </c>
      <c r="I750" t="e">
        <f t="shared" si="89"/>
        <v>#N/A</v>
      </c>
      <c r="J750" t="e">
        <f t="shared" si="84"/>
        <v>#N/A</v>
      </c>
      <c r="K750" s="27" t="e">
        <f t="shared" si="85"/>
        <v>#N/A</v>
      </c>
    </row>
    <row r="751" spans="1:11">
      <c r="A751" s="26">
        <v>701</v>
      </c>
      <c r="B751" s="82" t="e">
        <f t="shared" si="86"/>
        <v>#N/A</v>
      </c>
      <c r="C751" s="58" t="e">
        <f t="shared" si="90"/>
        <v>#N/A</v>
      </c>
      <c r="D751" s="83" t="e">
        <f t="shared" si="87"/>
        <v>#N/A</v>
      </c>
      <c r="E751" t="e">
        <f t="shared" si="83"/>
        <v>#N/A</v>
      </c>
      <c r="G751">
        <v>701</v>
      </c>
      <c r="H751" s="13" t="e">
        <f t="shared" si="88"/>
        <v>#N/A</v>
      </c>
      <c r="I751" t="e">
        <f t="shared" si="89"/>
        <v>#N/A</v>
      </c>
      <c r="J751" t="e">
        <f t="shared" si="84"/>
        <v>#N/A</v>
      </c>
      <c r="K751" s="27" t="e">
        <f t="shared" si="85"/>
        <v>#N/A</v>
      </c>
    </row>
    <row r="752" spans="1:11">
      <c r="A752" s="26">
        <v>702</v>
      </c>
      <c r="B752" s="82" t="e">
        <f t="shared" si="86"/>
        <v>#N/A</v>
      </c>
      <c r="C752" s="58" t="e">
        <f t="shared" si="90"/>
        <v>#N/A</v>
      </c>
      <c r="D752" s="83" t="e">
        <f t="shared" si="87"/>
        <v>#N/A</v>
      </c>
      <c r="E752" t="e">
        <f t="shared" si="83"/>
        <v>#N/A</v>
      </c>
      <c r="G752">
        <v>702</v>
      </c>
      <c r="H752" s="13" t="e">
        <f t="shared" si="88"/>
        <v>#N/A</v>
      </c>
      <c r="I752" t="e">
        <f t="shared" si="89"/>
        <v>#N/A</v>
      </c>
      <c r="J752" t="e">
        <f t="shared" si="84"/>
        <v>#N/A</v>
      </c>
      <c r="K752" s="27" t="e">
        <f t="shared" si="85"/>
        <v>#N/A</v>
      </c>
    </row>
    <row r="753" spans="1:11">
      <c r="A753" s="26">
        <v>703</v>
      </c>
      <c r="B753" s="82" t="e">
        <f t="shared" si="86"/>
        <v>#N/A</v>
      </c>
      <c r="C753" s="58" t="e">
        <f t="shared" si="90"/>
        <v>#N/A</v>
      </c>
      <c r="D753" s="83" t="e">
        <f t="shared" si="87"/>
        <v>#N/A</v>
      </c>
      <c r="E753" t="e">
        <f t="shared" si="83"/>
        <v>#N/A</v>
      </c>
      <c r="G753">
        <v>703</v>
      </c>
      <c r="H753" s="13" t="e">
        <f t="shared" si="88"/>
        <v>#N/A</v>
      </c>
      <c r="I753" t="e">
        <f t="shared" si="89"/>
        <v>#N/A</v>
      </c>
      <c r="J753" t="e">
        <f t="shared" si="84"/>
        <v>#N/A</v>
      </c>
      <c r="K753" s="27" t="e">
        <f t="shared" si="85"/>
        <v>#N/A</v>
      </c>
    </row>
    <row r="754" spans="1:11">
      <c r="A754" s="26">
        <v>704</v>
      </c>
      <c r="B754" s="82" t="e">
        <f t="shared" si="86"/>
        <v>#N/A</v>
      </c>
      <c r="C754" s="58" t="e">
        <f t="shared" si="90"/>
        <v>#N/A</v>
      </c>
      <c r="D754" s="83" t="e">
        <f t="shared" si="87"/>
        <v>#N/A</v>
      </c>
      <c r="E754" t="e">
        <f t="shared" si="83"/>
        <v>#N/A</v>
      </c>
      <c r="G754">
        <v>704</v>
      </c>
      <c r="H754" s="13" t="e">
        <f t="shared" si="88"/>
        <v>#N/A</v>
      </c>
      <c r="I754" t="e">
        <f t="shared" si="89"/>
        <v>#N/A</v>
      </c>
      <c r="J754" t="e">
        <f t="shared" si="84"/>
        <v>#N/A</v>
      </c>
      <c r="K754" s="27" t="e">
        <f t="shared" si="85"/>
        <v>#N/A</v>
      </c>
    </row>
    <row r="755" spans="1:11">
      <c r="A755" s="26">
        <v>705</v>
      </c>
      <c r="B755" s="82" t="e">
        <f t="shared" si="86"/>
        <v>#N/A</v>
      </c>
      <c r="C755" s="58" t="e">
        <f t="shared" si="90"/>
        <v>#N/A</v>
      </c>
      <c r="D755" s="83" t="e">
        <f t="shared" si="87"/>
        <v>#N/A</v>
      </c>
      <c r="E755" t="e">
        <f t="shared" ref="E755:E818" si="91">((D755^2)+(D755*D756)+(D756^2))*B756/3</f>
        <v>#N/A</v>
      </c>
      <c r="G755">
        <v>705</v>
      </c>
      <c r="H755" s="13" t="e">
        <f t="shared" si="88"/>
        <v>#N/A</v>
      </c>
      <c r="I755" t="e">
        <f t="shared" si="89"/>
        <v>#N/A</v>
      </c>
      <c r="J755" t="e">
        <f t="shared" ref="J755:J818" si="92">IF($G$28&lt;$C$14,0,((($C$11^2)-((I755-$C$13)^2))^0.5)+$C$16)</f>
        <v>#N/A</v>
      </c>
      <c r="K755" s="27" t="e">
        <f t="shared" ref="K755:K818" si="93">((J755^2)+(J755*J756)+(J756^2))*H756/3</f>
        <v>#N/A</v>
      </c>
    </row>
    <row r="756" spans="1:11">
      <c r="A756" s="26">
        <v>706</v>
      </c>
      <c r="B756" s="82" t="e">
        <f t="shared" ref="B756:B819" si="94">C756-C755</f>
        <v>#N/A</v>
      </c>
      <c r="C756" s="58" t="e">
        <f t="shared" si="90"/>
        <v>#N/A</v>
      </c>
      <c r="D756" s="83" t="e">
        <f t="shared" ref="D756:D819" si="95">IF($G$28&lt;$C$14,0,((($C$11^2)-((C756-$C$13)^2))^0.5)+$C$16)</f>
        <v>#N/A</v>
      </c>
      <c r="E756" t="e">
        <f t="shared" si="91"/>
        <v>#N/A</v>
      </c>
      <c r="G756">
        <v>706</v>
      </c>
      <c r="H756" s="13" t="e">
        <f t="shared" ref="H756:H819" si="96">I756-I755</f>
        <v>#N/A</v>
      </c>
      <c r="I756" t="e">
        <f t="shared" ref="I756:I819" si="97">($G$27-$C$14)/2000+I755</f>
        <v>#N/A</v>
      </c>
      <c r="J756" t="e">
        <f t="shared" si="92"/>
        <v>#N/A</v>
      </c>
      <c r="K756" s="27" t="e">
        <f t="shared" si="93"/>
        <v>#N/A</v>
      </c>
    </row>
    <row r="757" spans="1:11">
      <c r="A757" s="26">
        <v>707</v>
      </c>
      <c r="B757" s="82" t="e">
        <f t="shared" si="94"/>
        <v>#N/A</v>
      </c>
      <c r="C757" s="58" t="e">
        <f t="shared" si="90"/>
        <v>#N/A</v>
      </c>
      <c r="D757" s="83" t="e">
        <f t="shared" si="95"/>
        <v>#N/A</v>
      </c>
      <c r="E757" t="e">
        <f t="shared" si="91"/>
        <v>#N/A</v>
      </c>
      <c r="G757">
        <v>707</v>
      </c>
      <c r="H757" s="13" t="e">
        <f t="shared" si="96"/>
        <v>#N/A</v>
      </c>
      <c r="I757" t="e">
        <f t="shared" si="97"/>
        <v>#N/A</v>
      </c>
      <c r="J757" t="e">
        <f t="shared" si="92"/>
        <v>#N/A</v>
      </c>
      <c r="K757" s="27" t="e">
        <f t="shared" si="93"/>
        <v>#N/A</v>
      </c>
    </row>
    <row r="758" spans="1:11">
      <c r="A758" s="26">
        <v>708</v>
      </c>
      <c r="B758" s="82" t="e">
        <f t="shared" si="94"/>
        <v>#N/A</v>
      </c>
      <c r="C758" s="58" t="e">
        <f t="shared" si="90"/>
        <v>#N/A</v>
      </c>
      <c r="D758" s="83" t="e">
        <f t="shared" si="95"/>
        <v>#N/A</v>
      </c>
      <c r="E758" t="e">
        <f t="shared" si="91"/>
        <v>#N/A</v>
      </c>
      <c r="G758">
        <v>708</v>
      </c>
      <c r="H758" s="13" t="e">
        <f t="shared" si="96"/>
        <v>#N/A</v>
      </c>
      <c r="I758" t="e">
        <f t="shared" si="97"/>
        <v>#N/A</v>
      </c>
      <c r="J758" t="e">
        <f t="shared" si="92"/>
        <v>#N/A</v>
      </c>
      <c r="K758" s="27" t="e">
        <f t="shared" si="93"/>
        <v>#N/A</v>
      </c>
    </row>
    <row r="759" spans="1:11">
      <c r="A759" s="26">
        <v>709</v>
      </c>
      <c r="B759" s="82" t="e">
        <f t="shared" si="94"/>
        <v>#N/A</v>
      </c>
      <c r="C759" s="58" t="e">
        <f t="shared" si="90"/>
        <v>#N/A</v>
      </c>
      <c r="D759" s="83" t="e">
        <f t="shared" si="95"/>
        <v>#N/A</v>
      </c>
      <c r="E759" t="e">
        <f t="shared" si="91"/>
        <v>#N/A</v>
      </c>
      <c r="G759">
        <v>709</v>
      </c>
      <c r="H759" s="13" t="e">
        <f t="shared" si="96"/>
        <v>#N/A</v>
      </c>
      <c r="I759" t="e">
        <f t="shared" si="97"/>
        <v>#N/A</v>
      </c>
      <c r="J759" t="e">
        <f t="shared" si="92"/>
        <v>#N/A</v>
      </c>
      <c r="K759" s="27" t="e">
        <f t="shared" si="93"/>
        <v>#N/A</v>
      </c>
    </row>
    <row r="760" spans="1:11">
      <c r="A760" s="26">
        <v>710</v>
      </c>
      <c r="B760" s="82" t="e">
        <f t="shared" si="94"/>
        <v>#N/A</v>
      </c>
      <c r="C760" s="58" t="e">
        <f t="shared" si="90"/>
        <v>#N/A</v>
      </c>
      <c r="D760" s="83" t="e">
        <f t="shared" si="95"/>
        <v>#N/A</v>
      </c>
      <c r="E760" t="e">
        <f t="shared" si="91"/>
        <v>#N/A</v>
      </c>
      <c r="G760">
        <v>710</v>
      </c>
      <c r="H760" s="13" t="e">
        <f t="shared" si="96"/>
        <v>#N/A</v>
      </c>
      <c r="I760" t="e">
        <f t="shared" si="97"/>
        <v>#N/A</v>
      </c>
      <c r="J760" t="e">
        <f t="shared" si="92"/>
        <v>#N/A</v>
      </c>
      <c r="K760" s="27" t="e">
        <f t="shared" si="93"/>
        <v>#N/A</v>
      </c>
    </row>
    <row r="761" spans="1:11">
      <c r="A761" s="26">
        <v>711</v>
      </c>
      <c r="B761" s="82" t="e">
        <f t="shared" si="94"/>
        <v>#N/A</v>
      </c>
      <c r="C761" s="58" t="e">
        <f t="shared" si="90"/>
        <v>#N/A</v>
      </c>
      <c r="D761" s="83" t="e">
        <f t="shared" si="95"/>
        <v>#N/A</v>
      </c>
      <c r="E761" t="e">
        <f t="shared" si="91"/>
        <v>#N/A</v>
      </c>
      <c r="G761">
        <v>711</v>
      </c>
      <c r="H761" s="13" t="e">
        <f t="shared" si="96"/>
        <v>#N/A</v>
      </c>
      <c r="I761" t="e">
        <f t="shared" si="97"/>
        <v>#N/A</v>
      </c>
      <c r="J761" t="e">
        <f t="shared" si="92"/>
        <v>#N/A</v>
      </c>
      <c r="K761" s="27" t="e">
        <f t="shared" si="93"/>
        <v>#N/A</v>
      </c>
    </row>
    <row r="762" spans="1:11">
      <c r="A762" s="26">
        <v>712</v>
      </c>
      <c r="B762" s="82" t="e">
        <f t="shared" si="94"/>
        <v>#N/A</v>
      </c>
      <c r="C762" s="58" t="e">
        <f t="shared" si="90"/>
        <v>#N/A</v>
      </c>
      <c r="D762" s="83" t="e">
        <f t="shared" si="95"/>
        <v>#N/A</v>
      </c>
      <c r="E762" t="e">
        <f t="shared" si="91"/>
        <v>#N/A</v>
      </c>
      <c r="G762">
        <v>712</v>
      </c>
      <c r="H762" s="13" t="e">
        <f t="shared" si="96"/>
        <v>#N/A</v>
      </c>
      <c r="I762" t="e">
        <f t="shared" si="97"/>
        <v>#N/A</v>
      </c>
      <c r="J762" t="e">
        <f t="shared" si="92"/>
        <v>#N/A</v>
      </c>
      <c r="K762" s="27" t="e">
        <f t="shared" si="93"/>
        <v>#N/A</v>
      </c>
    </row>
    <row r="763" spans="1:11">
      <c r="A763" s="26">
        <v>713</v>
      </c>
      <c r="B763" s="82" t="e">
        <f t="shared" si="94"/>
        <v>#N/A</v>
      </c>
      <c r="C763" s="58" t="e">
        <f t="shared" si="90"/>
        <v>#N/A</v>
      </c>
      <c r="D763" s="83" t="e">
        <f t="shared" si="95"/>
        <v>#N/A</v>
      </c>
      <c r="E763" t="e">
        <f t="shared" si="91"/>
        <v>#N/A</v>
      </c>
      <c r="G763">
        <v>713</v>
      </c>
      <c r="H763" s="13" t="e">
        <f t="shared" si="96"/>
        <v>#N/A</v>
      </c>
      <c r="I763" t="e">
        <f t="shared" si="97"/>
        <v>#N/A</v>
      </c>
      <c r="J763" t="e">
        <f t="shared" si="92"/>
        <v>#N/A</v>
      </c>
      <c r="K763" s="27" t="e">
        <f t="shared" si="93"/>
        <v>#N/A</v>
      </c>
    </row>
    <row r="764" spans="1:11">
      <c r="A764" s="26">
        <v>714</v>
      </c>
      <c r="B764" s="82" t="e">
        <f t="shared" si="94"/>
        <v>#N/A</v>
      </c>
      <c r="C764" s="58" t="e">
        <f t="shared" si="90"/>
        <v>#N/A</v>
      </c>
      <c r="D764" s="83" t="e">
        <f t="shared" si="95"/>
        <v>#N/A</v>
      </c>
      <c r="E764" t="e">
        <f t="shared" si="91"/>
        <v>#N/A</v>
      </c>
      <c r="G764">
        <v>714</v>
      </c>
      <c r="H764" s="13" t="e">
        <f t="shared" si="96"/>
        <v>#N/A</v>
      </c>
      <c r="I764" t="e">
        <f t="shared" si="97"/>
        <v>#N/A</v>
      </c>
      <c r="J764" t="e">
        <f t="shared" si="92"/>
        <v>#N/A</v>
      </c>
      <c r="K764" s="27" t="e">
        <f t="shared" si="93"/>
        <v>#N/A</v>
      </c>
    </row>
    <row r="765" spans="1:11">
      <c r="A765" s="26">
        <v>715</v>
      </c>
      <c r="B765" s="82" t="e">
        <f t="shared" si="94"/>
        <v>#N/A</v>
      </c>
      <c r="C765" s="58" t="e">
        <f t="shared" si="90"/>
        <v>#N/A</v>
      </c>
      <c r="D765" s="83" t="e">
        <f t="shared" si="95"/>
        <v>#N/A</v>
      </c>
      <c r="E765" t="e">
        <f t="shared" si="91"/>
        <v>#N/A</v>
      </c>
      <c r="G765">
        <v>715</v>
      </c>
      <c r="H765" s="13" t="e">
        <f t="shared" si="96"/>
        <v>#N/A</v>
      </c>
      <c r="I765" t="e">
        <f t="shared" si="97"/>
        <v>#N/A</v>
      </c>
      <c r="J765" t="e">
        <f t="shared" si="92"/>
        <v>#N/A</v>
      </c>
      <c r="K765" s="27" t="e">
        <f t="shared" si="93"/>
        <v>#N/A</v>
      </c>
    </row>
    <row r="766" spans="1:11">
      <c r="A766" s="26">
        <v>716</v>
      </c>
      <c r="B766" s="82" t="e">
        <f t="shared" si="94"/>
        <v>#N/A</v>
      </c>
      <c r="C766" s="58" t="e">
        <f t="shared" si="90"/>
        <v>#N/A</v>
      </c>
      <c r="D766" s="83" t="e">
        <f t="shared" si="95"/>
        <v>#N/A</v>
      </c>
      <c r="E766" t="e">
        <f t="shared" si="91"/>
        <v>#N/A</v>
      </c>
      <c r="G766">
        <v>716</v>
      </c>
      <c r="H766" s="13" t="e">
        <f t="shared" si="96"/>
        <v>#N/A</v>
      </c>
      <c r="I766" t="e">
        <f t="shared" si="97"/>
        <v>#N/A</v>
      </c>
      <c r="J766" t="e">
        <f t="shared" si="92"/>
        <v>#N/A</v>
      </c>
      <c r="K766" s="27" t="e">
        <f t="shared" si="93"/>
        <v>#N/A</v>
      </c>
    </row>
    <row r="767" spans="1:11">
      <c r="A767" s="26">
        <v>717</v>
      </c>
      <c r="B767" s="82" t="e">
        <f t="shared" si="94"/>
        <v>#N/A</v>
      </c>
      <c r="C767" s="58" t="e">
        <f t="shared" si="90"/>
        <v>#N/A</v>
      </c>
      <c r="D767" s="83" t="e">
        <f t="shared" si="95"/>
        <v>#N/A</v>
      </c>
      <c r="E767" t="e">
        <f t="shared" si="91"/>
        <v>#N/A</v>
      </c>
      <c r="G767">
        <v>717</v>
      </c>
      <c r="H767" s="13" t="e">
        <f t="shared" si="96"/>
        <v>#N/A</v>
      </c>
      <c r="I767" t="e">
        <f t="shared" si="97"/>
        <v>#N/A</v>
      </c>
      <c r="J767" t="e">
        <f t="shared" si="92"/>
        <v>#N/A</v>
      </c>
      <c r="K767" s="27" t="e">
        <f t="shared" si="93"/>
        <v>#N/A</v>
      </c>
    </row>
    <row r="768" spans="1:11">
      <c r="A768" s="26">
        <v>718</v>
      </c>
      <c r="B768" s="82" t="e">
        <f t="shared" si="94"/>
        <v>#N/A</v>
      </c>
      <c r="C768" s="58" t="e">
        <f t="shared" si="90"/>
        <v>#N/A</v>
      </c>
      <c r="D768" s="83" t="e">
        <f t="shared" si="95"/>
        <v>#N/A</v>
      </c>
      <c r="E768" t="e">
        <f t="shared" si="91"/>
        <v>#N/A</v>
      </c>
      <c r="G768">
        <v>718</v>
      </c>
      <c r="H768" s="13" t="e">
        <f t="shared" si="96"/>
        <v>#N/A</v>
      </c>
      <c r="I768" t="e">
        <f t="shared" si="97"/>
        <v>#N/A</v>
      </c>
      <c r="J768" t="e">
        <f t="shared" si="92"/>
        <v>#N/A</v>
      </c>
      <c r="K768" s="27" t="e">
        <f t="shared" si="93"/>
        <v>#N/A</v>
      </c>
    </row>
    <row r="769" spans="1:11">
      <c r="A769" s="26">
        <v>719</v>
      </c>
      <c r="B769" s="82" t="e">
        <f t="shared" si="94"/>
        <v>#N/A</v>
      </c>
      <c r="C769" s="58" t="e">
        <f t="shared" si="90"/>
        <v>#N/A</v>
      </c>
      <c r="D769" s="83" t="e">
        <f t="shared" si="95"/>
        <v>#N/A</v>
      </c>
      <c r="E769" t="e">
        <f t="shared" si="91"/>
        <v>#N/A</v>
      </c>
      <c r="G769">
        <v>719</v>
      </c>
      <c r="H769" s="13" t="e">
        <f t="shared" si="96"/>
        <v>#N/A</v>
      </c>
      <c r="I769" t="e">
        <f t="shared" si="97"/>
        <v>#N/A</v>
      </c>
      <c r="J769" t="e">
        <f t="shared" si="92"/>
        <v>#N/A</v>
      </c>
      <c r="K769" s="27" t="e">
        <f t="shared" si="93"/>
        <v>#N/A</v>
      </c>
    </row>
    <row r="770" spans="1:11">
      <c r="A770" s="26">
        <v>720</v>
      </c>
      <c r="B770" s="82" t="e">
        <f t="shared" si="94"/>
        <v>#N/A</v>
      </c>
      <c r="C770" s="58" t="e">
        <f t="shared" si="90"/>
        <v>#N/A</v>
      </c>
      <c r="D770" s="83" t="e">
        <f t="shared" si="95"/>
        <v>#N/A</v>
      </c>
      <c r="E770" t="e">
        <f t="shared" si="91"/>
        <v>#N/A</v>
      </c>
      <c r="G770">
        <v>720</v>
      </c>
      <c r="H770" s="13" t="e">
        <f t="shared" si="96"/>
        <v>#N/A</v>
      </c>
      <c r="I770" t="e">
        <f t="shared" si="97"/>
        <v>#N/A</v>
      </c>
      <c r="J770" t="e">
        <f t="shared" si="92"/>
        <v>#N/A</v>
      </c>
      <c r="K770" s="27" t="e">
        <f t="shared" si="93"/>
        <v>#N/A</v>
      </c>
    </row>
    <row r="771" spans="1:11">
      <c r="A771" s="26">
        <v>721</v>
      </c>
      <c r="B771" s="82" t="e">
        <f t="shared" si="94"/>
        <v>#N/A</v>
      </c>
      <c r="C771" s="58" t="e">
        <f t="shared" si="90"/>
        <v>#N/A</v>
      </c>
      <c r="D771" s="83" t="e">
        <f t="shared" si="95"/>
        <v>#N/A</v>
      </c>
      <c r="E771" t="e">
        <f t="shared" si="91"/>
        <v>#N/A</v>
      </c>
      <c r="G771">
        <v>721</v>
      </c>
      <c r="H771" s="13" t="e">
        <f t="shared" si="96"/>
        <v>#N/A</v>
      </c>
      <c r="I771" t="e">
        <f t="shared" si="97"/>
        <v>#N/A</v>
      </c>
      <c r="J771" t="e">
        <f t="shared" si="92"/>
        <v>#N/A</v>
      </c>
      <c r="K771" s="27" t="e">
        <f t="shared" si="93"/>
        <v>#N/A</v>
      </c>
    </row>
    <row r="772" spans="1:11">
      <c r="A772" s="26">
        <v>722</v>
      </c>
      <c r="B772" s="82" t="e">
        <f t="shared" si="94"/>
        <v>#N/A</v>
      </c>
      <c r="C772" s="58" t="e">
        <f t="shared" si="90"/>
        <v>#N/A</v>
      </c>
      <c r="D772" s="83" t="e">
        <f t="shared" si="95"/>
        <v>#N/A</v>
      </c>
      <c r="E772" t="e">
        <f t="shared" si="91"/>
        <v>#N/A</v>
      </c>
      <c r="G772">
        <v>722</v>
      </c>
      <c r="H772" s="13" t="e">
        <f t="shared" si="96"/>
        <v>#N/A</v>
      </c>
      <c r="I772" t="e">
        <f t="shared" si="97"/>
        <v>#N/A</v>
      </c>
      <c r="J772" t="e">
        <f t="shared" si="92"/>
        <v>#N/A</v>
      </c>
      <c r="K772" s="27" t="e">
        <f t="shared" si="93"/>
        <v>#N/A</v>
      </c>
    </row>
    <row r="773" spans="1:11">
      <c r="A773" s="26">
        <v>723</v>
      </c>
      <c r="B773" s="82" t="e">
        <f t="shared" si="94"/>
        <v>#N/A</v>
      </c>
      <c r="C773" s="58" t="e">
        <f t="shared" si="90"/>
        <v>#N/A</v>
      </c>
      <c r="D773" s="83" t="e">
        <f t="shared" si="95"/>
        <v>#N/A</v>
      </c>
      <c r="E773" t="e">
        <f t="shared" si="91"/>
        <v>#N/A</v>
      </c>
      <c r="G773">
        <v>723</v>
      </c>
      <c r="H773" s="13" t="e">
        <f t="shared" si="96"/>
        <v>#N/A</v>
      </c>
      <c r="I773" t="e">
        <f t="shared" si="97"/>
        <v>#N/A</v>
      </c>
      <c r="J773" t="e">
        <f t="shared" si="92"/>
        <v>#N/A</v>
      </c>
      <c r="K773" s="27" t="e">
        <f t="shared" si="93"/>
        <v>#N/A</v>
      </c>
    </row>
    <row r="774" spans="1:11">
      <c r="A774" s="26">
        <v>724</v>
      </c>
      <c r="B774" s="82" t="e">
        <f t="shared" si="94"/>
        <v>#N/A</v>
      </c>
      <c r="C774" s="58" t="e">
        <f t="shared" si="90"/>
        <v>#N/A</v>
      </c>
      <c r="D774" s="83" t="e">
        <f t="shared" si="95"/>
        <v>#N/A</v>
      </c>
      <c r="E774" t="e">
        <f t="shared" si="91"/>
        <v>#N/A</v>
      </c>
      <c r="G774">
        <v>724</v>
      </c>
      <c r="H774" s="13" t="e">
        <f t="shared" si="96"/>
        <v>#N/A</v>
      </c>
      <c r="I774" t="e">
        <f t="shared" si="97"/>
        <v>#N/A</v>
      </c>
      <c r="J774" t="e">
        <f t="shared" si="92"/>
        <v>#N/A</v>
      </c>
      <c r="K774" s="27" t="e">
        <f t="shared" si="93"/>
        <v>#N/A</v>
      </c>
    </row>
    <row r="775" spans="1:11">
      <c r="A775" s="26">
        <v>725</v>
      </c>
      <c r="B775" s="82" t="e">
        <f t="shared" si="94"/>
        <v>#N/A</v>
      </c>
      <c r="C775" s="58" t="e">
        <f t="shared" si="90"/>
        <v>#N/A</v>
      </c>
      <c r="D775" s="83" t="e">
        <f t="shared" si="95"/>
        <v>#N/A</v>
      </c>
      <c r="E775" t="e">
        <f t="shared" si="91"/>
        <v>#N/A</v>
      </c>
      <c r="G775">
        <v>725</v>
      </c>
      <c r="H775" s="13" t="e">
        <f t="shared" si="96"/>
        <v>#N/A</v>
      </c>
      <c r="I775" t="e">
        <f t="shared" si="97"/>
        <v>#N/A</v>
      </c>
      <c r="J775" t="e">
        <f t="shared" si="92"/>
        <v>#N/A</v>
      </c>
      <c r="K775" s="27" t="e">
        <f t="shared" si="93"/>
        <v>#N/A</v>
      </c>
    </row>
    <row r="776" spans="1:11">
      <c r="A776" s="26">
        <v>726</v>
      </c>
      <c r="B776" s="82" t="e">
        <f t="shared" si="94"/>
        <v>#N/A</v>
      </c>
      <c r="C776" s="58" t="e">
        <f t="shared" si="90"/>
        <v>#N/A</v>
      </c>
      <c r="D776" s="83" t="e">
        <f t="shared" si="95"/>
        <v>#N/A</v>
      </c>
      <c r="E776" t="e">
        <f t="shared" si="91"/>
        <v>#N/A</v>
      </c>
      <c r="G776">
        <v>726</v>
      </c>
      <c r="H776" s="13" t="e">
        <f t="shared" si="96"/>
        <v>#N/A</v>
      </c>
      <c r="I776" t="e">
        <f t="shared" si="97"/>
        <v>#N/A</v>
      </c>
      <c r="J776" t="e">
        <f t="shared" si="92"/>
        <v>#N/A</v>
      </c>
      <c r="K776" s="27" t="e">
        <f t="shared" si="93"/>
        <v>#N/A</v>
      </c>
    </row>
    <row r="777" spans="1:11">
      <c r="A777" s="26">
        <v>727</v>
      </c>
      <c r="B777" s="82" t="e">
        <f t="shared" si="94"/>
        <v>#N/A</v>
      </c>
      <c r="C777" s="58" t="e">
        <f t="shared" si="90"/>
        <v>#N/A</v>
      </c>
      <c r="D777" s="83" t="e">
        <f t="shared" si="95"/>
        <v>#N/A</v>
      </c>
      <c r="E777" t="e">
        <f t="shared" si="91"/>
        <v>#N/A</v>
      </c>
      <c r="G777">
        <v>727</v>
      </c>
      <c r="H777" s="13" t="e">
        <f t="shared" si="96"/>
        <v>#N/A</v>
      </c>
      <c r="I777" t="e">
        <f t="shared" si="97"/>
        <v>#N/A</v>
      </c>
      <c r="J777" t="e">
        <f t="shared" si="92"/>
        <v>#N/A</v>
      </c>
      <c r="K777" s="27" t="e">
        <f t="shared" si="93"/>
        <v>#N/A</v>
      </c>
    </row>
    <row r="778" spans="1:11">
      <c r="A778" s="26">
        <v>728</v>
      </c>
      <c r="B778" s="82" t="e">
        <f t="shared" si="94"/>
        <v>#N/A</v>
      </c>
      <c r="C778" s="58" t="e">
        <f t="shared" si="90"/>
        <v>#N/A</v>
      </c>
      <c r="D778" s="83" t="e">
        <f t="shared" si="95"/>
        <v>#N/A</v>
      </c>
      <c r="E778" t="e">
        <f t="shared" si="91"/>
        <v>#N/A</v>
      </c>
      <c r="G778">
        <v>728</v>
      </c>
      <c r="H778" s="13" t="e">
        <f t="shared" si="96"/>
        <v>#N/A</v>
      </c>
      <c r="I778" t="e">
        <f t="shared" si="97"/>
        <v>#N/A</v>
      </c>
      <c r="J778" t="e">
        <f t="shared" si="92"/>
        <v>#N/A</v>
      </c>
      <c r="K778" s="27" t="e">
        <f t="shared" si="93"/>
        <v>#N/A</v>
      </c>
    </row>
    <row r="779" spans="1:11">
      <c r="A779" s="26">
        <v>729</v>
      </c>
      <c r="B779" s="82" t="e">
        <f t="shared" si="94"/>
        <v>#N/A</v>
      </c>
      <c r="C779" s="58" t="e">
        <f t="shared" si="90"/>
        <v>#N/A</v>
      </c>
      <c r="D779" s="83" t="e">
        <f t="shared" si="95"/>
        <v>#N/A</v>
      </c>
      <c r="E779" t="e">
        <f t="shared" si="91"/>
        <v>#N/A</v>
      </c>
      <c r="G779">
        <v>729</v>
      </c>
      <c r="H779" s="13" t="e">
        <f t="shared" si="96"/>
        <v>#N/A</v>
      </c>
      <c r="I779" t="e">
        <f t="shared" si="97"/>
        <v>#N/A</v>
      </c>
      <c r="J779" t="e">
        <f t="shared" si="92"/>
        <v>#N/A</v>
      </c>
      <c r="K779" s="27" t="e">
        <f t="shared" si="93"/>
        <v>#N/A</v>
      </c>
    </row>
    <row r="780" spans="1:11">
      <c r="A780" s="26">
        <v>730</v>
      </c>
      <c r="B780" s="82" t="e">
        <f t="shared" si="94"/>
        <v>#N/A</v>
      </c>
      <c r="C780" s="58" t="e">
        <f t="shared" si="90"/>
        <v>#N/A</v>
      </c>
      <c r="D780" s="83" t="e">
        <f t="shared" si="95"/>
        <v>#N/A</v>
      </c>
      <c r="E780" t="e">
        <f t="shared" si="91"/>
        <v>#N/A</v>
      </c>
      <c r="G780">
        <v>730</v>
      </c>
      <c r="H780" s="13" t="e">
        <f t="shared" si="96"/>
        <v>#N/A</v>
      </c>
      <c r="I780" t="e">
        <f t="shared" si="97"/>
        <v>#N/A</v>
      </c>
      <c r="J780" t="e">
        <f t="shared" si="92"/>
        <v>#N/A</v>
      </c>
      <c r="K780" s="27" t="e">
        <f t="shared" si="93"/>
        <v>#N/A</v>
      </c>
    </row>
    <row r="781" spans="1:11">
      <c r="A781" s="26">
        <v>731</v>
      </c>
      <c r="B781" s="82" t="e">
        <f t="shared" si="94"/>
        <v>#N/A</v>
      </c>
      <c r="C781" s="58" t="e">
        <f t="shared" si="90"/>
        <v>#N/A</v>
      </c>
      <c r="D781" s="83" t="e">
        <f t="shared" si="95"/>
        <v>#N/A</v>
      </c>
      <c r="E781" t="e">
        <f t="shared" si="91"/>
        <v>#N/A</v>
      </c>
      <c r="G781">
        <v>731</v>
      </c>
      <c r="H781" s="13" t="e">
        <f t="shared" si="96"/>
        <v>#N/A</v>
      </c>
      <c r="I781" t="e">
        <f t="shared" si="97"/>
        <v>#N/A</v>
      </c>
      <c r="J781" t="e">
        <f t="shared" si="92"/>
        <v>#N/A</v>
      </c>
      <c r="K781" s="27" t="e">
        <f t="shared" si="93"/>
        <v>#N/A</v>
      </c>
    </row>
    <row r="782" spans="1:11">
      <c r="A782" s="26">
        <v>732</v>
      </c>
      <c r="B782" s="82" t="e">
        <f t="shared" si="94"/>
        <v>#N/A</v>
      </c>
      <c r="C782" s="58" t="e">
        <f t="shared" si="90"/>
        <v>#N/A</v>
      </c>
      <c r="D782" s="83" t="e">
        <f t="shared" si="95"/>
        <v>#N/A</v>
      </c>
      <c r="E782" t="e">
        <f t="shared" si="91"/>
        <v>#N/A</v>
      </c>
      <c r="G782">
        <v>732</v>
      </c>
      <c r="H782" s="13" t="e">
        <f t="shared" si="96"/>
        <v>#N/A</v>
      </c>
      <c r="I782" t="e">
        <f t="shared" si="97"/>
        <v>#N/A</v>
      </c>
      <c r="J782" t="e">
        <f t="shared" si="92"/>
        <v>#N/A</v>
      </c>
      <c r="K782" s="27" t="e">
        <f t="shared" si="93"/>
        <v>#N/A</v>
      </c>
    </row>
    <row r="783" spans="1:11">
      <c r="A783" s="26">
        <v>733</v>
      </c>
      <c r="B783" s="82" t="e">
        <f t="shared" si="94"/>
        <v>#N/A</v>
      </c>
      <c r="C783" s="58" t="e">
        <f t="shared" si="90"/>
        <v>#N/A</v>
      </c>
      <c r="D783" s="83" t="e">
        <f t="shared" si="95"/>
        <v>#N/A</v>
      </c>
      <c r="E783" t="e">
        <f t="shared" si="91"/>
        <v>#N/A</v>
      </c>
      <c r="G783">
        <v>733</v>
      </c>
      <c r="H783" s="13" t="e">
        <f t="shared" si="96"/>
        <v>#N/A</v>
      </c>
      <c r="I783" t="e">
        <f t="shared" si="97"/>
        <v>#N/A</v>
      </c>
      <c r="J783" t="e">
        <f t="shared" si="92"/>
        <v>#N/A</v>
      </c>
      <c r="K783" s="27" t="e">
        <f t="shared" si="93"/>
        <v>#N/A</v>
      </c>
    </row>
    <row r="784" spans="1:11">
      <c r="A784" s="26">
        <v>734</v>
      </c>
      <c r="B784" s="82" t="e">
        <f t="shared" si="94"/>
        <v>#N/A</v>
      </c>
      <c r="C784" s="58" t="e">
        <f t="shared" ref="C784:C847" si="98">($C$37-$C$36)/2000+C783</f>
        <v>#N/A</v>
      </c>
      <c r="D784" s="83" t="e">
        <f t="shared" si="95"/>
        <v>#N/A</v>
      </c>
      <c r="E784" t="e">
        <f t="shared" si="91"/>
        <v>#N/A</v>
      </c>
      <c r="G784">
        <v>734</v>
      </c>
      <c r="H784" s="13" t="e">
        <f t="shared" si="96"/>
        <v>#N/A</v>
      </c>
      <c r="I784" t="e">
        <f t="shared" si="97"/>
        <v>#N/A</v>
      </c>
      <c r="J784" t="e">
        <f t="shared" si="92"/>
        <v>#N/A</v>
      </c>
      <c r="K784" s="27" t="e">
        <f t="shared" si="93"/>
        <v>#N/A</v>
      </c>
    </row>
    <row r="785" spans="1:11">
      <c r="A785" s="26">
        <v>735</v>
      </c>
      <c r="B785" s="82" t="e">
        <f t="shared" si="94"/>
        <v>#N/A</v>
      </c>
      <c r="C785" s="58" t="e">
        <f t="shared" si="98"/>
        <v>#N/A</v>
      </c>
      <c r="D785" s="83" t="e">
        <f t="shared" si="95"/>
        <v>#N/A</v>
      </c>
      <c r="E785" t="e">
        <f t="shared" si="91"/>
        <v>#N/A</v>
      </c>
      <c r="G785">
        <v>735</v>
      </c>
      <c r="H785" s="13" t="e">
        <f t="shared" si="96"/>
        <v>#N/A</v>
      </c>
      <c r="I785" t="e">
        <f t="shared" si="97"/>
        <v>#N/A</v>
      </c>
      <c r="J785" t="e">
        <f t="shared" si="92"/>
        <v>#N/A</v>
      </c>
      <c r="K785" s="27" t="e">
        <f t="shared" si="93"/>
        <v>#N/A</v>
      </c>
    </row>
    <row r="786" spans="1:11">
      <c r="A786" s="26">
        <v>736</v>
      </c>
      <c r="B786" s="82" t="e">
        <f t="shared" si="94"/>
        <v>#N/A</v>
      </c>
      <c r="C786" s="58" t="e">
        <f t="shared" si="98"/>
        <v>#N/A</v>
      </c>
      <c r="D786" s="83" t="e">
        <f t="shared" si="95"/>
        <v>#N/A</v>
      </c>
      <c r="E786" t="e">
        <f t="shared" si="91"/>
        <v>#N/A</v>
      </c>
      <c r="G786">
        <v>736</v>
      </c>
      <c r="H786" s="13" t="e">
        <f t="shared" si="96"/>
        <v>#N/A</v>
      </c>
      <c r="I786" t="e">
        <f t="shared" si="97"/>
        <v>#N/A</v>
      </c>
      <c r="J786" t="e">
        <f t="shared" si="92"/>
        <v>#N/A</v>
      </c>
      <c r="K786" s="27" t="e">
        <f t="shared" si="93"/>
        <v>#N/A</v>
      </c>
    </row>
    <row r="787" spans="1:11">
      <c r="A787" s="26">
        <v>737</v>
      </c>
      <c r="B787" s="82" t="e">
        <f t="shared" si="94"/>
        <v>#N/A</v>
      </c>
      <c r="C787" s="58" t="e">
        <f t="shared" si="98"/>
        <v>#N/A</v>
      </c>
      <c r="D787" s="83" t="e">
        <f t="shared" si="95"/>
        <v>#N/A</v>
      </c>
      <c r="E787" t="e">
        <f t="shared" si="91"/>
        <v>#N/A</v>
      </c>
      <c r="G787">
        <v>737</v>
      </c>
      <c r="H787" s="13" t="e">
        <f t="shared" si="96"/>
        <v>#N/A</v>
      </c>
      <c r="I787" t="e">
        <f t="shared" si="97"/>
        <v>#N/A</v>
      </c>
      <c r="J787" t="e">
        <f t="shared" si="92"/>
        <v>#N/A</v>
      </c>
      <c r="K787" s="27" t="e">
        <f t="shared" si="93"/>
        <v>#N/A</v>
      </c>
    </row>
    <row r="788" spans="1:11">
      <c r="A788" s="26">
        <v>738</v>
      </c>
      <c r="B788" s="82" t="e">
        <f t="shared" si="94"/>
        <v>#N/A</v>
      </c>
      <c r="C788" s="58" t="e">
        <f t="shared" si="98"/>
        <v>#N/A</v>
      </c>
      <c r="D788" s="83" t="e">
        <f t="shared" si="95"/>
        <v>#N/A</v>
      </c>
      <c r="E788" t="e">
        <f t="shared" si="91"/>
        <v>#N/A</v>
      </c>
      <c r="G788">
        <v>738</v>
      </c>
      <c r="H788" s="13" t="e">
        <f t="shared" si="96"/>
        <v>#N/A</v>
      </c>
      <c r="I788" t="e">
        <f t="shared" si="97"/>
        <v>#N/A</v>
      </c>
      <c r="J788" t="e">
        <f t="shared" si="92"/>
        <v>#N/A</v>
      </c>
      <c r="K788" s="27" t="e">
        <f t="shared" si="93"/>
        <v>#N/A</v>
      </c>
    </row>
    <row r="789" spans="1:11">
      <c r="A789" s="26">
        <v>739</v>
      </c>
      <c r="B789" s="82" t="e">
        <f t="shared" si="94"/>
        <v>#N/A</v>
      </c>
      <c r="C789" s="58" t="e">
        <f t="shared" si="98"/>
        <v>#N/A</v>
      </c>
      <c r="D789" s="83" t="e">
        <f t="shared" si="95"/>
        <v>#N/A</v>
      </c>
      <c r="E789" t="e">
        <f t="shared" si="91"/>
        <v>#N/A</v>
      </c>
      <c r="G789">
        <v>739</v>
      </c>
      <c r="H789" s="13" t="e">
        <f t="shared" si="96"/>
        <v>#N/A</v>
      </c>
      <c r="I789" t="e">
        <f t="shared" si="97"/>
        <v>#N/A</v>
      </c>
      <c r="J789" t="e">
        <f t="shared" si="92"/>
        <v>#N/A</v>
      </c>
      <c r="K789" s="27" t="e">
        <f t="shared" si="93"/>
        <v>#N/A</v>
      </c>
    </row>
    <row r="790" spans="1:11">
      <c r="A790" s="26">
        <v>740</v>
      </c>
      <c r="B790" s="82" t="e">
        <f t="shared" si="94"/>
        <v>#N/A</v>
      </c>
      <c r="C790" s="58" t="e">
        <f t="shared" si="98"/>
        <v>#N/A</v>
      </c>
      <c r="D790" s="83" t="e">
        <f t="shared" si="95"/>
        <v>#N/A</v>
      </c>
      <c r="E790" t="e">
        <f t="shared" si="91"/>
        <v>#N/A</v>
      </c>
      <c r="G790">
        <v>740</v>
      </c>
      <c r="H790" s="13" t="e">
        <f t="shared" si="96"/>
        <v>#N/A</v>
      </c>
      <c r="I790" t="e">
        <f t="shared" si="97"/>
        <v>#N/A</v>
      </c>
      <c r="J790" t="e">
        <f t="shared" si="92"/>
        <v>#N/A</v>
      </c>
      <c r="K790" s="27" t="e">
        <f t="shared" si="93"/>
        <v>#N/A</v>
      </c>
    </row>
    <row r="791" spans="1:11">
      <c r="A791" s="26">
        <v>741</v>
      </c>
      <c r="B791" s="82" t="e">
        <f t="shared" si="94"/>
        <v>#N/A</v>
      </c>
      <c r="C791" s="58" t="e">
        <f t="shared" si="98"/>
        <v>#N/A</v>
      </c>
      <c r="D791" s="83" t="e">
        <f t="shared" si="95"/>
        <v>#N/A</v>
      </c>
      <c r="E791" t="e">
        <f t="shared" si="91"/>
        <v>#N/A</v>
      </c>
      <c r="G791">
        <v>741</v>
      </c>
      <c r="H791" s="13" t="e">
        <f t="shared" si="96"/>
        <v>#N/A</v>
      </c>
      <c r="I791" t="e">
        <f t="shared" si="97"/>
        <v>#N/A</v>
      </c>
      <c r="J791" t="e">
        <f t="shared" si="92"/>
        <v>#N/A</v>
      </c>
      <c r="K791" s="27" t="e">
        <f t="shared" si="93"/>
        <v>#N/A</v>
      </c>
    </row>
    <row r="792" spans="1:11">
      <c r="A792" s="26">
        <v>742</v>
      </c>
      <c r="B792" s="82" t="e">
        <f t="shared" si="94"/>
        <v>#N/A</v>
      </c>
      <c r="C792" s="58" t="e">
        <f t="shared" si="98"/>
        <v>#N/A</v>
      </c>
      <c r="D792" s="83" t="e">
        <f t="shared" si="95"/>
        <v>#N/A</v>
      </c>
      <c r="E792" t="e">
        <f t="shared" si="91"/>
        <v>#N/A</v>
      </c>
      <c r="G792">
        <v>742</v>
      </c>
      <c r="H792" s="13" t="e">
        <f t="shared" si="96"/>
        <v>#N/A</v>
      </c>
      <c r="I792" t="e">
        <f t="shared" si="97"/>
        <v>#N/A</v>
      </c>
      <c r="J792" t="e">
        <f t="shared" si="92"/>
        <v>#N/A</v>
      </c>
      <c r="K792" s="27" t="e">
        <f t="shared" si="93"/>
        <v>#N/A</v>
      </c>
    </row>
    <row r="793" spans="1:11">
      <c r="A793" s="26">
        <v>743</v>
      </c>
      <c r="B793" s="82" t="e">
        <f t="shared" si="94"/>
        <v>#N/A</v>
      </c>
      <c r="C793" s="58" t="e">
        <f t="shared" si="98"/>
        <v>#N/A</v>
      </c>
      <c r="D793" s="83" t="e">
        <f t="shared" si="95"/>
        <v>#N/A</v>
      </c>
      <c r="E793" t="e">
        <f t="shared" si="91"/>
        <v>#N/A</v>
      </c>
      <c r="G793">
        <v>743</v>
      </c>
      <c r="H793" s="13" t="e">
        <f t="shared" si="96"/>
        <v>#N/A</v>
      </c>
      <c r="I793" t="e">
        <f t="shared" si="97"/>
        <v>#N/A</v>
      </c>
      <c r="J793" t="e">
        <f t="shared" si="92"/>
        <v>#N/A</v>
      </c>
      <c r="K793" s="27" t="e">
        <f t="shared" si="93"/>
        <v>#N/A</v>
      </c>
    </row>
    <row r="794" spans="1:11">
      <c r="A794" s="26">
        <v>744</v>
      </c>
      <c r="B794" s="82" t="e">
        <f t="shared" si="94"/>
        <v>#N/A</v>
      </c>
      <c r="C794" s="58" t="e">
        <f t="shared" si="98"/>
        <v>#N/A</v>
      </c>
      <c r="D794" s="83" t="e">
        <f t="shared" si="95"/>
        <v>#N/A</v>
      </c>
      <c r="E794" t="e">
        <f t="shared" si="91"/>
        <v>#N/A</v>
      </c>
      <c r="G794">
        <v>744</v>
      </c>
      <c r="H794" s="13" t="e">
        <f t="shared" si="96"/>
        <v>#N/A</v>
      </c>
      <c r="I794" t="e">
        <f t="shared" si="97"/>
        <v>#N/A</v>
      </c>
      <c r="J794" t="e">
        <f t="shared" si="92"/>
        <v>#N/A</v>
      </c>
      <c r="K794" s="27" t="e">
        <f t="shared" si="93"/>
        <v>#N/A</v>
      </c>
    </row>
    <row r="795" spans="1:11">
      <c r="A795" s="26">
        <v>745</v>
      </c>
      <c r="B795" s="82" t="e">
        <f t="shared" si="94"/>
        <v>#N/A</v>
      </c>
      <c r="C795" s="58" t="e">
        <f t="shared" si="98"/>
        <v>#N/A</v>
      </c>
      <c r="D795" s="83" t="e">
        <f t="shared" si="95"/>
        <v>#N/A</v>
      </c>
      <c r="E795" t="e">
        <f t="shared" si="91"/>
        <v>#N/A</v>
      </c>
      <c r="G795">
        <v>745</v>
      </c>
      <c r="H795" s="13" t="e">
        <f t="shared" si="96"/>
        <v>#N/A</v>
      </c>
      <c r="I795" t="e">
        <f t="shared" si="97"/>
        <v>#N/A</v>
      </c>
      <c r="J795" t="e">
        <f t="shared" si="92"/>
        <v>#N/A</v>
      </c>
      <c r="K795" s="27" t="e">
        <f t="shared" si="93"/>
        <v>#N/A</v>
      </c>
    </row>
    <row r="796" spans="1:11">
      <c r="A796" s="26">
        <v>746</v>
      </c>
      <c r="B796" s="82" t="e">
        <f t="shared" si="94"/>
        <v>#N/A</v>
      </c>
      <c r="C796" s="58" t="e">
        <f t="shared" si="98"/>
        <v>#N/A</v>
      </c>
      <c r="D796" s="83" t="e">
        <f t="shared" si="95"/>
        <v>#N/A</v>
      </c>
      <c r="E796" t="e">
        <f t="shared" si="91"/>
        <v>#N/A</v>
      </c>
      <c r="G796">
        <v>746</v>
      </c>
      <c r="H796" s="13" t="e">
        <f t="shared" si="96"/>
        <v>#N/A</v>
      </c>
      <c r="I796" t="e">
        <f t="shared" si="97"/>
        <v>#N/A</v>
      </c>
      <c r="J796" t="e">
        <f t="shared" si="92"/>
        <v>#N/A</v>
      </c>
      <c r="K796" s="27" t="e">
        <f t="shared" si="93"/>
        <v>#N/A</v>
      </c>
    </row>
    <row r="797" spans="1:11">
      <c r="A797" s="26">
        <v>747</v>
      </c>
      <c r="B797" s="82" t="e">
        <f t="shared" si="94"/>
        <v>#N/A</v>
      </c>
      <c r="C797" s="58" t="e">
        <f t="shared" si="98"/>
        <v>#N/A</v>
      </c>
      <c r="D797" s="83" t="e">
        <f t="shared" si="95"/>
        <v>#N/A</v>
      </c>
      <c r="E797" t="e">
        <f t="shared" si="91"/>
        <v>#N/A</v>
      </c>
      <c r="G797">
        <v>747</v>
      </c>
      <c r="H797" s="13" t="e">
        <f t="shared" si="96"/>
        <v>#N/A</v>
      </c>
      <c r="I797" t="e">
        <f t="shared" si="97"/>
        <v>#N/A</v>
      </c>
      <c r="J797" t="e">
        <f t="shared" si="92"/>
        <v>#N/A</v>
      </c>
      <c r="K797" s="27" t="e">
        <f t="shared" si="93"/>
        <v>#N/A</v>
      </c>
    </row>
    <row r="798" spans="1:11">
      <c r="A798" s="26">
        <v>748</v>
      </c>
      <c r="B798" s="82" t="e">
        <f t="shared" si="94"/>
        <v>#N/A</v>
      </c>
      <c r="C798" s="58" t="e">
        <f t="shared" si="98"/>
        <v>#N/A</v>
      </c>
      <c r="D798" s="83" t="e">
        <f t="shared" si="95"/>
        <v>#N/A</v>
      </c>
      <c r="E798" t="e">
        <f t="shared" si="91"/>
        <v>#N/A</v>
      </c>
      <c r="G798">
        <v>748</v>
      </c>
      <c r="H798" s="13" t="e">
        <f t="shared" si="96"/>
        <v>#N/A</v>
      </c>
      <c r="I798" t="e">
        <f t="shared" si="97"/>
        <v>#N/A</v>
      </c>
      <c r="J798" t="e">
        <f t="shared" si="92"/>
        <v>#N/A</v>
      </c>
      <c r="K798" s="27" t="e">
        <f t="shared" si="93"/>
        <v>#N/A</v>
      </c>
    </row>
    <row r="799" spans="1:11">
      <c r="A799" s="26">
        <v>749</v>
      </c>
      <c r="B799" s="82" t="e">
        <f t="shared" si="94"/>
        <v>#N/A</v>
      </c>
      <c r="C799" s="58" t="e">
        <f t="shared" si="98"/>
        <v>#N/A</v>
      </c>
      <c r="D799" s="83" t="e">
        <f t="shared" si="95"/>
        <v>#N/A</v>
      </c>
      <c r="E799" t="e">
        <f t="shared" si="91"/>
        <v>#N/A</v>
      </c>
      <c r="G799">
        <v>749</v>
      </c>
      <c r="H799" s="13" t="e">
        <f t="shared" si="96"/>
        <v>#N/A</v>
      </c>
      <c r="I799" t="e">
        <f t="shared" si="97"/>
        <v>#N/A</v>
      </c>
      <c r="J799" t="e">
        <f t="shared" si="92"/>
        <v>#N/A</v>
      </c>
      <c r="K799" s="27" t="e">
        <f t="shared" si="93"/>
        <v>#N/A</v>
      </c>
    </row>
    <row r="800" spans="1:11">
      <c r="A800" s="26">
        <v>750</v>
      </c>
      <c r="B800" s="82" t="e">
        <f t="shared" si="94"/>
        <v>#N/A</v>
      </c>
      <c r="C800" s="58" t="e">
        <f t="shared" si="98"/>
        <v>#N/A</v>
      </c>
      <c r="D800" s="83" t="e">
        <f t="shared" si="95"/>
        <v>#N/A</v>
      </c>
      <c r="E800" t="e">
        <f t="shared" si="91"/>
        <v>#N/A</v>
      </c>
      <c r="G800">
        <v>750</v>
      </c>
      <c r="H800" s="13" t="e">
        <f t="shared" si="96"/>
        <v>#N/A</v>
      </c>
      <c r="I800" t="e">
        <f t="shared" si="97"/>
        <v>#N/A</v>
      </c>
      <c r="J800" t="e">
        <f t="shared" si="92"/>
        <v>#N/A</v>
      </c>
      <c r="K800" s="27" t="e">
        <f t="shared" si="93"/>
        <v>#N/A</v>
      </c>
    </row>
    <row r="801" spans="1:11">
      <c r="A801" s="26">
        <v>751</v>
      </c>
      <c r="B801" s="82" t="e">
        <f t="shared" si="94"/>
        <v>#N/A</v>
      </c>
      <c r="C801" s="58" t="e">
        <f t="shared" si="98"/>
        <v>#N/A</v>
      </c>
      <c r="D801" s="83" t="e">
        <f t="shared" si="95"/>
        <v>#N/A</v>
      </c>
      <c r="E801" t="e">
        <f t="shared" si="91"/>
        <v>#N/A</v>
      </c>
      <c r="G801">
        <v>751</v>
      </c>
      <c r="H801" s="13" t="e">
        <f t="shared" si="96"/>
        <v>#N/A</v>
      </c>
      <c r="I801" t="e">
        <f t="shared" si="97"/>
        <v>#N/A</v>
      </c>
      <c r="J801" t="e">
        <f t="shared" si="92"/>
        <v>#N/A</v>
      </c>
      <c r="K801" s="27" t="e">
        <f t="shared" si="93"/>
        <v>#N/A</v>
      </c>
    </row>
    <row r="802" spans="1:11">
      <c r="A802" s="26">
        <v>752</v>
      </c>
      <c r="B802" s="82" t="e">
        <f t="shared" si="94"/>
        <v>#N/A</v>
      </c>
      <c r="C802" s="58" t="e">
        <f t="shared" si="98"/>
        <v>#N/A</v>
      </c>
      <c r="D802" s="83" t="e">
        <f t="shared" si="95"/>
        <v>#N/A</v>
      </c>
      <c r="E802" t="e">
        <f t="shared" si="91"/>
        <v>#N/A</v>
      </c>
      <c r="G802">
        <v>752</v>
      </c>
      <c r="H802" s="13" t="e">
        <f t="shared" si="96"/>
        <v>#N/A</v>
      </c>
      <c r="I802" t="e">
        <f t="shared" si="97"/>
        <v>#N/A</v>
      </c>
      <c r="J802" t="e">
        <f t="shared" si="92"/>
        <v>#N/A</v>
      </c>
      <c r="K802" s="27" t="e">
        <f t="shared" si="93"/>
        <v>#N/A</v>
      </c>
    </row>
    <row r="803" spans="1:11">
      <c r="A803" s="26">
        <v>753</v>
      </c>
      <c r="B803" s="82" t="e">
        <f t="shared" si="94"/>
        <v>#N/A</v>
      </c>
      <c r="C803" s="58" t="e">
        <f t="shared" si="98"/>
        <v>#N/A</v>
      </c>
      <c r="D803" s="83" t="e">
        <f t="shared" si="95"/>
        <v>#N/A</v>
      </c>
      <c r="E803" t="e">
        <f t="shared" si="91"/>
        <v>#N/A</v>
      </c>
      <c r="G803">
        <v>753</v>
      </c>
      <c r="H803" s="13" t="e">
        <f t="shared" si="96"/>
        <v>#N/A</v>
      </c>
      <c r="I803" t="e">
        <f t="shared" si="97"/>
        <v>#N/A</v>
      </c>
      <c r="J803" t="e">
        <f t="shared" si="92"/>
        <v>#N/A</v>
      </c>
      <c r="K803" s="27" t="e">
        <f t="shared" si="93"/>
        <v>#N/A</v>
      </c>
    </row>
    <row r="804" spans="1:11">
      <c r="A804" s="26">
        <v>754</v>
      </c>
      <c r="B804" s="82" t="e">
        <f t="shared" si="94"/>
        <v>#N/A</v>
      </c>
      <c r="C804" s="58" t="e">
        <f t="shared" si="98"/>
        <v>#N/A</v>
      </c>
      <c r="D804" s="83" t="e">
        <f t="shared" si="95"/>
        <v>#N/A</v>
      </c>
      <c r="E804" t="e">
        <f t="shared" si="91"/>
        <v>#N/A</v>
      </c>
      <c r="G804">
        <v>754</v>
      </c>
      <c r="H804" s="13" t="e">
        <f t="shared" si="96"/>
        <v>#N/A</v>
      </c>
      <c r="I804" t="e">
        <f t="shared" si="97"/>
        <v>#N/A</v>
      </c>
      <c r="J804" t="e">
        <f t="shared" si="92"/>
        <v>#N/A</v>
      </c>
      <c r="K804" s="27" t="e">
        <f t="shared" si="93"/>
        <v>#N/A</v>
      </c>
    </row>
    <row r="805" spans="1:11">
      <c r="A805" s="26">
        <v>755</v>
      </c>
      <c r="B805" s="82" t="e">
        <f t="shared" si="94"/>
        <v>#N/A</v>
      </c>
      <c r="C805" s="58" t="e">
        <f t="shared" si="98"/>
        <v>#N/A</v>
      </c>
      <c r="D805" s="83" t="e">
        <f t="shared" si="95"/>
        <v>#N/A</v>
      </c>
      <c r="E805" t="e">
        <f t="shared" si="91"/>
        <v>#N/A</v>
      </c>
      <c r="G805">
        <v>755</v>
      </c>
      <c r="H805" s="13" t="e">
        <f t="shared" si="96"/>
        <v>#N/A</v>
      </c>
      <c r="I805" t="e">
        <f t="shared" si="97"/>
        <v>#N/A</v>
      </c>
      <c r="J805" t="e">
        <f t="shared" si="92"/>
        <v>#N/A</v>
      </c>
      <c r="K805" s="27" t="e">
        <f t="shared" si="93"/>
        <v>#N/A</v>
      </c>
    </row>
    <row r="806" spans="1:11">
      <c r="A806" s="26">
        <v>756</v>
      </c>
      <c r="B806" s="82" t="e">
        <f t="shared" si="94"/>
        <v>#N/A</v>
      </c>
      <c r="C806" s="58" t="e">
        <f t="shared" si="98"/>
        <v>#N/A</v>
      </c>
      <c r="D806" s="83" t="e">
        <f t="shared" si="95"/>
        <v>#N/A</v>
      </c>
      <c r="E806" t="e">
        <f t="shared" si="91"/>
        <v>#N/A</v>
      </c>
      <c r="G806">
        <v>756</v>
      </c>
      <c r="H806" s="13" t="e">
        <f t="shared" si="96"/>
        <v>#N/A</v>
      </c>
      <c r="I806" t="e">
        <f t="shared" si="97"/>
        <v>#N/A</v>
      </c>
      <c r="J806" t="e">
        <f t="shared" si="92"/>
        <v>#N/A</v>
      </c>
      <c r="K806" s="27" t="e">
        <f t="shared" si="93"/>
        <v>#N/A</v>
      </c>
    </row>
    <row r="807" spans="1:11">
      <c r="A807" s="26">
        <v>757</v>
      </c>
      <c r="B807" s="82" t="e">
        <f t="shared" si="94"/>
        <v>#N/A</v>
      </c>
      <c r="C807" s="58" t="e">
        <f t="shared" si="98"/>
        <v>#N/A</v>
      </c>
      <c r="D807" s="83" t="e">
        <f t="shared" si="95"/>
        <v>#N/A</v>
      </c>
      <c r="E807" t="e">
        <f t="shared" si="91"/>
        <v>#N/A</v>
      </c>
      <c r="G807">
        <v>757</v>
      </c>
      <c r="H807" s="13" t="e">
        <f t="shared" si="96"/>
        <v>#N/A</v>
      </c>
      <c r="I807" t="e">
        <f t="shared" si="97"/>
        <v>#N/A</v>
      </c>
      <c r="J807" t="e">
        <f t="shared" si="92"/>
        <v>#N/A</v>
      </c>
      <c r="K807" s="27" t="e">
        <f t="shared" si="93"/>
        <v>#N/A</v>
      </c>
    </row>
    <row r="808" spans="1:11">
      <c r="A808" s="26">
        <v>758</v>
      </c>
      <c r="B808" s="82" t="e">
        <f t="shared" si="94"/>
        <v>#N/A</v>
      </c>
      <c r="C808" s="58" t="e">
        <f t="shared" si="98"/>
        <v>#N/A</v>
      </c>
      <c r="D808" s="83" t="e">
        <f t="shared" si="95"/>
        <v>#N/A</v>
      </c>
      <c r="E808" t="e">
        <f t="shared" si="91"/>
        <v>#N/A</v>
      </c>
      <c r="G808">
        <v>758</v>
      </c>
      <c r="H808" s="13" t="e">
        <f t="shared" si="96"/>
        <v>#N/A</v>
      </c>
      <c r="I808" t="e">
        <f t="shared" si="97"/>
        <v>#N/A</v>
      </c>
      <c r="J808" t="e">
        <f t="shared" si="92"/>
        <v>#N/A</v>
      </c>
      <c r="K808" s="27" t="e">
        <f t="shared" si="93"/>
        <v>#N/A</v>
      </c>
    </row>
    <row r="809" spans="1:11">
      <c r="A809" s="26">
        <v>759</v>
      </c>
      <c r="B809" s="82" t="e">
        <f t="shared" si="94"/>
        <v>#N/A</v>
      </c>
      <c r="C809" s="58" t="e">
        <f t="shared" si="98"/>
        <v>#N/A</v>
      </c>
      <c r="D809" s="83" t="e">
        <f t="shared" si="95"/>
        <v>#N/A</v>
      </c>
      <c r="E809" t="e">
        <f t="shared" si="91"/>
        <v>#N/A</v>
      </c>
      <c r="G809">
        <v>759</v>
      </c>
      <c r="H809" s="13" t="e">
        <f t="shared" si="96"/>
        <v>#N/A</v>
      </c>
      <c r="I809" t="e">
        <f t="shared" si="97"/>
        <v>#N/A</v>
      </c>
      <c r="J809" t="e">
        <f t="shared" si="92"/>
        <v>#N/A</v>
      </c>
      <c r="K809" s="27" t="e">
        <f t="shared" si="93"/>
        <v>#N/A</v>
      </c>
    </row>
    <row r="810" spans="1:11">
      <c r="A810" s="26">
        <v>760</v>
      </c>
      <c r="B810" s="82" t="e">
        <f t="shared" si="94"/>
        <v>#N/A</v>
      </c>
      <c r="C810" s="58" t="e">
        <f t="shared" si="98"/>
        <v>#N/A</v>
      </c>
      <c r="D810" s="83" t="e">
        <f t="shared" si="95"/>
        <v>#N/A</v>
      </c>
      <c r="E810" t="e">
        <f t="shared" si="91"/>
        <v>#N/A</v>
      </c>
      <c r="G810">
        <v>760</v>
      </c>
      <c r="H810" s="13" t="e">
        <f t="shared" si="96"/>
        <v>#N/A</v>
      </c>
      <c r="I810" t="e">
        <f t="shared" si="97"/>
        <v>#N/A</v>
      </c>
      <c r="J810" t="e">
        <f t="shared" si="92"/>
        <v>#N/A</v>
      </c>
      <c r="K810" s="27" t="e">
        <f t="shared" si="93"/>
        <v>#N/A</v>
      </c>
    </row>
    <row r="811" spans="1:11">
      <c r="A811" s="26">
        <v>761</v>
      </c>
      <c r="B811" s="82" t="e">
        <f t="shared" si="94"/>
        <v>#N/A</v>
      </c>
      <c r="C811" s="58" t="e">
        <f t="shared" si="98"/>
        <v>#N/A</v>
      </c>
      <c r="D811" s="83" t="e">
        <f t="shared" si="95"/>
        <v>#N/A</v>
      </c>
      <c r="E811" t="e">
        <f t="shared" si="91"/>
        <v>#N/A</v>
      </c>
      <c r="G811">
        <v>761</v>
      </c>
      <c r="H811" s="13" t="e">
        <f t="shared" si="96"/>
        <v>#N/A</v>
      </c>
      <c r="I811" t="e">
        <f t="shared" si="97"/>
        <v>#N/A</v>
      </c>
      <c r="J811" t="e">
        <f t="shared" si="92"/>
        <v>#N/A</v>
      </c>
      <c r="K811" s="27" t="e">
        <f t="shared" si="93"/>
        <v>#N/A</v>
      </c>
    </row>
    <row r="812" spans="1:11">
      <c r="A812" s="26">
        <v>762</v>
      </c>
      <c r="B812" s="82" t="e">
        <f t="shared" si="94"/>
        <v>#N/A</v>
      </c>
      <c r="C812" s="58" t="e">
        <f t="shared" si="98"/>
        <v>#N/A</v>
      </c>
      <c r="D812" s="83" t="e">
        <f t="shared" si="95"/>
        <v>#N/A</v>
      </c>
      <c r="E812" t="e">
        <f t="shared" si="91"/>
        <v>#N/A</v>
      </c>
      <c r="G812">
        <v>762</v>
      </c>
      <c r="H812" s="13" t="e">
        <f t="shared" si="96"/>
        <v>#N/A</v>
      </c>
      <c r="I812" t="e">
        <f t="shared" si="97"/>
        <v>#N/A</v>
      </c>
      <c r="J812" t="e">
        <f t="shared" si="92"/>
        <v>#N/A</v>
      </c>
      <c r="K812" s="27" t="e">
        <f t="shared" si="93"/>
        <v>#N/A</v>
      </c>
    </row>
    <row r="813" spans="1:11">
      <c r="A813" s="26">
        <v>763</v>
      </c>
      <c r="B813" s="82" t="e">
        <f t="shared" si="94"/>
        <v>#N/A</v>
      </c>
      <c r="C813" s="58" t="e">
        <f t="shared" si="98"/>
        <v>#N/A</v>
      </c>
      <c r="D813" s="83" t="e">
        <f t="shared" si="95"/>
        <v>#N/A</v>
      </c>
      <c r="E813" t="e">
        <f t="shared" si="91"/>
        <v>#N/A</v>
      </c>
      <c r="G813">
        <v>763</v>
      </c>
      <c r="H813" s="13" t="e">
        <f t="shared" si="96"/>
        <v>#N/A</v>
      </c>
      <c r="I813" t="e">
        <f t="shared" si="97"/>
        <v>#N/A</v>
      </c>
      <c r="J813" t="e">
        <f t="shared" si="92"/>
        <v>#N/A</v>
      </c>
      <c r="K813" s="27" t="e">
        <f t="shared" si="93"/>
        <v>#N/A</v>
      </c>
    </row>
    <row r="814" spans="1:11">
      <c r="A814" s="26">
        <v>764</v>
      </c>
      <c r="B814" s="82" t="e">
        <f t="shared" si="94"/>
        <v>#N/A</v>
      </c>
      <c r="C814" s="58" t="e">
        <f t="shared" si="98"/>
        <v>#N/A</v>
      </c>
      <c r="D814" s="83" t="e">
        <f t="shared" si="95"/>
        <v>#N/A</v>
      </c>
      <c r="E814" t="e">
        <f t="shared" si="91"/>
        <v>#N/A</v>
      </c>
      <c r="G814">
        <v>764</v>
      </c>
      <c r="H814" s="13" t="e">
        <f t="shared" si="96"/>
        <v>#N/A</v>
      </c>
      <c r="I814" t="e">
        <f t="shared" si="97"/>
        <v>#N/A</v>
      </c>
      <c r="J814" t="e">
        <f t="shared" si="92"/>
        <v>#N/A</v>
      </c>
      <c r="K814" s="27" t="e">
        <f t="shared" si="93"/>
        <v>#N/A</v>
      </c>
    </row>
    <row r="815" spans="1:11">
      <c r="A815" s="26">
        <v>765</v>
      </c>
      <c r="B815" s="82" t="e">
        <f t="shared" si="94"/>
        <v>#N/A</v>
      </c>
      <c r="C815" s="58" t="e">
        <f t="shared" si="98"/>
        <v>#N/A</v>
      </c>
      <c r="D815" s="83" t="e">
        <f t="shared" si="95"/>
        <v>#N/A</v>
      </c>
      <c r="E815" t="e">
        <f t="shared" si="91"/>
        <v>#N/A</v>
      </c>
      <c r="G815">
        <v>765</v>
      </c>
      <c r="H815" s="13" t="e">
        <f t="shared" si="96"/>
        <v>#N/A</v>
      </c>
      <c r="I815" t="e">
        <f t="shared" si="97"/>
        <v>#N/A</v>
      </c>
      <c r="J815" t="e">
        <f t="shared" si="92"/>
        <v>#N/A</v>
      </c>
      <c r="K815" s="27" t="e">
        <f t="shared" si="93"/>
        <v>#N/A</v>
      </c>
    </row>
    <row r="816" spans="1:11">
      <c r="A816" s="26">
        <v>766</v>
      </c>
      <c r="B816" s="82" t="e">
        <f t="shared" si="94"/>
        <v>#N/A</v>
      </c>
      <c r="C816" s="58" t="e">
        <f t="shared" si="98"/>
        <v>#N/A</v>
      </c>
      <c r="D816" s="83" t="e">
        <f t="shared" si="95"/>
        <v>#N/A</v>
      </c>
      <c r="E816" t="e">
        <f t="shared" si="91"/>
        <v>#N/A</v>
      </c>
      <c r="G816">
        <v>766</v>
      </c>
      <c r="H816" s="13" t="e">
        <f t="shared" si="96"/>
        <v>#N/A</v>
      </c>
      <c r="I816" t="e">
        <f t="shared" si="97"/>
        <v>#N/A</v>
      </c>
      <c r="J816" t="e">
        <f t="shared" si="92"/>
        <v>#N/A</v>
      </c>
      <c r="K816" s="27" t="e">
        <f t="shared" si="93"/>
        <v>#N/A</v>
      </c>
    </row>
    <row r="817" spans="1:11">
      <c r="A817" s="26">
        <v>767</v>
      </c>
      <c r="B817" s="82" t="e">
        <f t="shared" si="94"/>
        <v>#N/A</v>
      </c>
      <c r="C817" s="58" t="e">
        <f t="shared" si="98"/>
        <v>#N/A</v>
      </c>
      <c r="D817" s="83" t="e">
        <f t="shared" si="95"/>
        <v>#N/A</v>
      </c>
      <c r="E817" t="e">
        <f t="shared" si="91"/>
        <v>#N/A</v>
      </c>
      <c r="G817">
        <v>767</v>
      </c>
      <c r="H817" s="13" t="e">
        <f t="shared" si="96"/>
        <v>#N/A</v>
      </c>
      <c r="I817" t="e">
        <f t="shared" si="97"/>
        <v>#N/A</v>
      </c>
      <c r="J817" t="e">
        <f t="shared" si="92"/>
        <v>#N/A</v>
      </c>
      <c r="K817" s="27" t="e">
        <f t="shared" si="93"/>
        <v>#N/A</v>
      </c>
    </row>
    <row r="818" spans="1:11">
      <c r="A818" s="26">
        <v>768</v>
      </c>
      <c r="B818" s="82" t="e">
        <f t="shared" si="94"/>
        <v>#N/A</v>
      </c>
      <c r="C818" s="58" t="e">
        <f t="shared" si="98"/>
        <v>#N/A</v>
      </c>
      <c r="D818" s="83" t="e">
        <f t="shared" si="95"/>
        <v>#N/A</v>
      </c>
      <c r="E818" t="e">
        <f t="shared" si="91"/>
        <v>#N/A</v>
      </c>
      <c r="G818">
        <v>768</v>
      </c>
      <c r="H818" s="13" t="e">
        <f t="shared" si="96"/>
        <v>#N/A</v>
      </c>
      <c r="I818" t="e">
        <f t="shared" si="97"/>
        <v>#N/A</v>
      </c>
      <c r="J818" t="e">
        <f t="shared" si="92"/>
        <v>#N/A</v>
      </c>
      <c r="K818" s="27" t="e">
        <f t="shared" si="93"/>
        <v>#N/A</v>
      </c>
    </row>
    <row r="819" spans="1:11">
      <c r="A819" s="26">
        <v>769</v>
      </c>
      <c r="B819" s="82" t="e">
        <f t="shared" si="94"/>
        <v>#N/A</v>
      </c>
      <c r="C819" s="58" t="e">
        <f t="shared" si="98"/>
        <v>#N/A</v>
      </c>
      <c r="D819" s="83" t="e">
        <f t="shared" si="95"/>
        <v>#N/A</v>
      </c>
      <c r="E819" t="e">
        <f t="shared" ref="E819:E882" si="99">((D819^2)+(D819*D820)+(D820^2))*B820/3</f>
        <v>#N/A</v>
      </c>
      <c r="G819">
        <v>769</v>
      </c>
      <c r="H819" s="13" t="e">
        <f t="shared" si="96"/>
        <v>#N/A</v>
      </c>
      <c r="I819" t="e">
        <f t="shared" si="97"/>
        <v>#N/A</v>
      </c>
      <c r="J819" t="e">
        <f t="shared" ref="J819:J882" si="100">IF($G$28&lt;$C$14,0,((($C$11^2)-((I819-$C$13)^2))^0.5)+$C$16)</f>
        <v>#N/A</v>
      </c>
      <c r="K819" s="27" t="e">
        <f t="shared" ref="K819:K882" si="101">((J819^2)+(J819*J820)+(J820^2))*H820/3</f>
        <v>#N/A</v>
      </c>
    </row>
    <row r="820" spans="1:11">
      <c r="A820" s="26">
        <v>770</v>
      </c>
      <c r="B820" s="82" t="e">
        <f t="shared" ref="B820:B883" si="102">C820-C819</f>
        <v>#N/A</v>
      </c>
      <c r="C820" s="58" t="e">
        <f t="shared" si="98"/>
        <v>#N/A</v>
      </c>
      <c r="D820" s="83" t="e">
        <f t="shared" ref="D820:D883" si="103">IF($G$28&lt;$C$14,0,((($C$11^2)-((C820-$C$13)^2))^0.5)+$C$16)</f>
        <v>#N/A</v>
      </c>
      <c r="E820" t="e">
        <f t="shared" si="99"/>
        <v>#N/A</v>
      </c>
      <c r="G820">
        <v>770</v>
      </c>
      <c r="H820" s="13" t="e">
        <f t="shared" ref="H820:H883" si="104">I820-I819</f>
        <v>#N/A</v>
      </c>
      <c r="I820" t="e">
        <f t="shared" ref="I820:I883" si="105">($G$27-$C$14)/2000+I819</f>
        <v>#N/A</v>
      </c>
      <c r="J820" t="e">
        <f t="shared" si="100"/>
        <v>#N/A</v>
      </c>
      <c r="K820" s="27" t="e">
        <f t="shared" si="101"/>
        <v>#N/A</v>
      </c>
    </row>
    <row r="821" spans="1:11">
      <c r="A821" s="26">
        <v>771</v>
      </c>
      <c r="B821" s="82" t="e">
        <f t="shared" si="102"/>
        <v>#N/A</v>
      </c>
      <c r="C821" s="58" t="e">
        <f t="shared" si="98"/>
        <v>#N/A</v>
      </c>
      <c r="D821" s="83" t="e">
        <f t="shared" si="103"/>
        <v>#N/A</v>
      </c>
      <c r="E821" t="e">
        <f t="shared" si="99"/>
        <v>#N/A</v>
      </c>
      <c r="G821">
        <v>771</v>
      </c>
      <c r="H821" s="13" t="e">
        <f t="shared" si="104"/>
        <v>#N/A</v>
      </c>
      <c r="I821" t="e">
        <f t="shared" si="105"/>
        <v>#N/A</v>
      </c>
      <c r="J821" t="e">
        <f t="shared" si="100"/>
        <v>#N/A</v>
      </c>
      <c r="K821" s="27" t="e">
        <f t="shared" si="101"/>
        <v>#N/A</v>
      </c>
    </row>
    <row r="822" spans="1:11">
      <c r="A822" s="26">
        <v>772</v>
      </c>
      <c r="B822" s="82" t="e">
        <f t="shared" si="102"/>
        <v>#N/A</v>
      </c>
      <c r="C822" s="58" t="e">
        <f t="shared" si="98"/>
        <v>#N/A</v>
      </c>
      <c r="D822" s="83" t="e">
        <f t="shared" si="103"/>
        <v>#N/A</v>
      </c>
      <c r="E822" t="e">
        <f t="shared" si="99"/>
        <v>#N/A</v>
      </c>
      <c r="G822">
        <v>772</v>
      </c>
      <c r="H822" s="13" t="e">
        <f t="shared" si="104"/>
        <v>#N/A</v>
      </c>
      <c r="I822" t="e">
        <f t="shared" si="105"/>
        <v>#N/A</v>
      </c>
      <c r="J822" t="e">
        <f t="shared" si="100"/>
        <v>#N/A</v>
      </c>
      <c r="K822" s="27" t="e">
        <f t="shared" si="101"/>
        <v>#N/A</v>
      </c>
    </row>
    <row r="823" spans="1:11">
      <c r="A823" s="26">
        <v>773</v>
      </c>
      <c r="B823" s="82" t="e">
        <f t="shared" si="102"/>
        <v>#N/A</v>
      </c>
      <c r="C823" s="58" t="e">
        <f t="shared" si="98"/>
        <v>#N/A</v>
      </c>
      <c r="D823" s="83" t="e">
        <f t="shared" si="103"/>
        <v>#N/A</v>
      </c>
      <c r="E823" t="e">
        <f t="shared" si="99"/>
        <v>#N/A</v>
      </c>
      <c r="G823">
        <v>773</v>
      </c>
      <c r="H823" s="13" t="e">
        <f t="shared" si="104"/>
        <v>#N/A</v>
      </c>
      <c r="I823" t="e">
        <f t="shared" si="105"/>
        <v>#N/A</v>
      </c>
      <c r="J823" t="e">
        <f t="shared" si="100"/>
        <v>#N/A</v>
      </c>
      <c r="K823" s="27" t="e">
        <f t="shared" si="101"/>
        <v>#N/A</v>
      </c>
    </row>
    <row r="824" spans="1:11">
      <c r="A824" s="26">
        <v>774</v>
      </c>
      <c r="B824" s="82" t="e">
        <f t="shared" si="102"/>
        <v>#N/A</v>
      </c>
      <c r="C824" s="58" t="e">
        <f t="shared" si="98"/>
        <v>#N/A</v>
      </c>
      <c r="D824" s="83" t="e">
        <f t="shared" si="103"/>
        <v>#N/A</v>
      </c>
      <c r="E824" t="e">
        <f t="shared" si="99"/>
        <v>#N/A</v>
      </c>
      <c r="G824">
        <v>774</v>
      </c>
      <c r="H824" s="13" t="e">
        <f t="shared" si="104"/>
        <v>#N/A</v>
      </c>
      <c r="I824" t="e">
        <f t="shared" si="105"/>
        <v>#N/A</v>
      </c>
      <c r="J824" t="e">
        <f t="shared" si="100"/>
        <v>#N/A</v>
      </c>
      <c r="K824" s="27" t="e">
        <f t="shared" si="101"/>
        <v>#N/A</v>
      </c>
    </row>
    <row r="825" spans="1:11">
      <c r="A825" s="26">
        <v>775</v>
      </c>
      <c r="B825" s="82" t="e">
        <f t="shared" si="102"/>
        <v>#N/A</v>
      </c>
      <c r="C825" s="58" t="e">
        <f t="shared" si="98"/>
        <v>#N/A</v>
      </c>
      <c r="D825" s="83" t="e">
        <f t="shared" si="103"/>
        <v>#N/A</v>
      </c>
      <c r="E825" t="e">
        <f t="shared" si="99"/>
        <v>#N/A</v>
      </c>
      <c r="G825">
        <v>775</v>
      </c>
      <c r="H825" s="13" t="e">
        <f t="shared" si="104"/>
        <v>#N/A</v>
      </c>
      <c r="I825" t="e">
        <f t="shared" si="105"/>
        <v>#N/A</v>
      </c>
      <c r="J825" t="e">
        <f t="shared" si="100"/>
        <v>#N/A</v>
      </c>
      <c r="K825" s="27" t="e">
        <f t="shared" si="101"/>
        <v>#N/A</v>
      </c>
    </row>
    <row r="826" spans="1:11">
      <c r="A826" s="26">
        <v>776</v>
      </c>
      <c r="B826" s="82" t="e">
        <f t="shared" si="102"/>
        <v>#N/A</v>
      </c>
      <c r="C826" s="58" t="e">
        <f t="shared" si="98"/>
        <v>#N/A</v>
      </c>
      <c r="D826" s="83" t="e">
        <f t="shared" si="103"/>
        <v>#N/A</v>
      </c>
      <c r="E826" t="e">
        <f t="shared" si="99"/>
        <v>#N/A</v>
      </c>
      <c r="G826">
        <v>776</v>
      </c>
      <c r="H826" s="13" t="e">
        <f t="shared" si="104"/>
        <v>#N/A</v>
      </c>
      <c r="I826" t="e">
        <f t="shared" si="105"/>
        <v>#N/A</v>
      </c>
      <c r="J826" t="e">
        <f t="shared" si="100"/>
        <v>#N/A</v>
      </c>
      <c r="K826" s="27" t="e">
        <f t="shared" si="101"/>
        <v>#N/A</v>
      </c>
    </row>
    <row r="827" spans="1:11">
      <c r="A827" s="26">
        <v>777</v>
      </c>
      <c r="B827" s="82" t="e">
        <f t="shared" si="102"/>
        <v>#N/A</v>
      </c>
      <c r="C827" s="58" t="e">
        <f t="shared" si="98"/>
        <v>#N/A</v>
      </c>
      <c r="D827" s="83" t="e">
        <f t="shared" si="103"/>
        <v>#N/A</v>
      </c>
      <c r="E827" t="e">
        <f t="shared" si="99"/>
        <v>#N/A</v>
      </c>
      <c r="G827">
        <v>777</v>
      </c>
      <c r="H827" s="13" t="e">
        <f t="shared" si="104"/>
        <v>#N/A</v>
      </c>
      <c r="I827" t="e">
        <f t="shared" si="105"/>
        <v>#N/A</v>
      </c>
      <c r="J827" t="e">
        <f t="shared" si="100"/>
        <v>#N/A</v>
      </c>
      <c r="K827" s="27" t="e">
        <f t="shared" si="101"/>
        <v>#N/A</v>
      </c>
    </row>
    <row r="828" spans="1:11">
      <c r="A828" s="26">
        <v>778</v>
      </c>
      <c r="B828" s="82" t="e">
        <f t="shared" si="102"/>
        <v>#N/A</v>
      </c>
      <c r="C828" s="58" t="e">
        <f t="shared" si="98"/>
        <v>#N/A</v>
      </c>
      <c r="D828" s="83" t="e">
        <f t="shared" si="103"/>
        <v>#N/A</v>
      </c>
      <c r="E828" t="e">
        <f t="shared" si="99"/>
        <v>#N/A</v>
      </c>
      <c r="G828">
        <v>778</v>
      </c>
      <c r="H828" s="13" t="e">
        <f t="shared" si="104"/>
        <v>#N/A</v>
      </c>
      <c r="I828" t="e">
        <f t="shared" si="105"/>
        <v>#N/A</v>
      </c>
      <c r="J828" t="e">
        <f t="shared" si="100"/>
        <v>#N/A</v>
      </c>
      <c r="K828" s="27" t="e">
        <f t="shared" si="101"/>
        <v>#N/A</v>
      </c>
    </row>
    <row r="829" spans="1:11">
      <c r="A829" s="26">
        <v>779</v>
      </c>
      <c r="B829" s="82" t="e">
        <f t="shared" si="102"/>
        <v>#N/A</v>
      </c>
      <c r="C829" s="58" t="e">
        <f t="shared" si="98"/>
        <v>#N/A</v>
      </c>
      <c r="D829" s="83" t="e">
        <f t="shared" si="103"/>
        <v>#N/A</v>
      </c>
      <c r="E829" t="e">
        <f t="shared" si="99"/>
        <v>#N/A</v>
      </c>
      <c r="G829">
        <v>779</v>
      </c>
      <c r="H829" s="13" t="e">
        <f t="shared" si="104"/>
        <v>#N/A</v>
      </c>
      <c r="I829" t="e">
        <f t="shared" si="105"/>
        <v>#N/A</v>
      </c>
      <c r="J829" t="e">
        <f t="shared" si="100"/>
        <v>#N/A</v>
      </c>
      <c r="K829" s="27" t="e">
        <f t="shared" si="101"/>
        <v>#N/A</v>
      </c>
    </row>
    <row r="830" spans="1:11">
      <c r="A830" s="26">
        <v>780</v>
      </c>
      <c r="B830" s="82" t="e">
        <f t="shared" si="102"/>
        <v>#N/A</v>
      </c>
      <c r="C830" s="58" t="e">
        <f t="shared" si="98"/>
        <v>#N/A</v>
      </c>
      <c r="D830" s="83" t="e">
        <f t="shared" si="103"/>
        <v>#N/A</v>
      </c>
      <c r="E830" t="e">
        <f t="shared" si="99"/>
        <v>#N/A</v>
      </c>
      <c r="G830">
        <v>780</v>
      </c>
      <c r="H830" s="13" t="e">
        <f t="shared" si="104"/>
        <v>#N/A</v>
      </c>
      <c r="I830" t="e">
        <f t="shared" si="105"/>
        <v>#N/A</v>
      </c>
      <c r="J830" t="e">
        <f t="shared" si="100"/>
        <v>#N/A</v>
      </c>
      <c r="K830" s="27" t="e">
        <f t="shared" si="101"/>
        <v>#N/A</v>
      </c>
    </row>
    <row r="831" spans="1:11">
      <c r="A831" s="26">
        <v>781</v>
      </c>
      <c r="B831" s="82" t="e">
        <f t="shared" si="102"/>
        <v>#N/A</v>
      </c>
      <c r="C831" s="58" t="e">
        <f t="shared" si="98"/>
        <v>#N/A</v>
      </c>
      <c r="D831" s="83" t="e">
        <f t="shared" si="103"/>
        <v>#N/A</v>
      </c>
      <c r="E831" t="e">
        <f t="shared" si="99"/>
        <v>#N/A</v>
      </c>
      <c r="G831">
        <v>781</v>
      </c>
      <c r="H831" s="13" t="e">
        <f t="shared" si="104"/>
        <v>#N/A</v>
      </c>
      <c r="I831" t="e">
        <f t="shared" si="105"/>
        <v>#N/A</v>
      </c>
      <c r="J831" t="e">
        <f t="shared" si="100"/>
        <v>#N/A</v>
      </c>
      <c r="K831" s="27" t="e">
        <f t="shared" si="101"/>
        <v>#N/A</v>
      </c>
    </row>
    <row r="832" spans="1:11">
      <c r="A832" s="26">
        <v>782</v>
      </c>
      <c r="B832" s="82" t="e">
        <f t="shared" si="102"/>
        <v>#N/A</v>
      </c>
      <c r="C832" s="58" t="e">
        <f t="shared" si="98"/>
        <v>#N/A</v>
      </c>
      <c r="D832" s="83" t="e">
        <f t="shared" si="103"/>
        <v>#N/A</v>
      </c>
      <c r="E832" t="e">
        <f t="shared" si="99"/>
        <v>#N/A</v>
      </c>
      <c r="G832">
        <v>782</v>
      </c>
      <c r="H832" s="13" t="e">
        <f t="shared" si="104"/>
        <v>#N/A</v>
      </c>
      <c r="I832" t="e">
        <f t="shared" si="105"/>
        <v>#N/A</v>
      </c>
      <c r="J832" t="e">
        <f t="shared" si="100"/>
        <v>#N/A</v>
      </c>
      <c r="K832" s="27" t="e">
        <f t="shared" si="101"/>
        <v>#N/A</v>
      </c>
    </row>
    <row r="833" spans="1:11">
      <c r="A833" s="26">
        <v>783</v>
      </c>
      <c r="B833" s="82" t="e">
        <f t="shared" si="102"/>
        <v>#N/A</v>
      </c>
      <c r="C833" s="58" t="e">
        <f t="shared" si="98"/>
        <v>#N/A</v>
      </c>
      <c r="D833" s="83" t="e">
        <f t="shared" si="103"/>
        <v>#N/A</v>
      </c>
      <c r="E833" t="e">
        <f t="shared" si="99"/>
        <v>#N/A</v>
      </c>
      <c r="G833">
        <v>783</v>
      </c>
      <c r="H833" s="13" t="e">
        <f t="shared" si="104"/>
        <v>#N/A</v>
      </c>
      <c r="I833" t="e">
        <f t="shared" si="105"/>
        <v>#N/A</v>
      </c>
      <c r="J833" t="e">
        <f t="shared" si="100"/>
        <v>#N/A</v>
      </c>
      <c r="K833" s="27" t="e">
        <f t="shared" si="101"/>
        <v>#N/A</v>
      </c>
    </row>
    <row r="834" spans="1:11">
      <c r="A834" s="26">
        <v>784</v>
      </c>
      <c r="B834" s="82" t="e">
        <f t="shared" si="102"/>
        <v>#N/A</v>
      </c>
      <c r="C834" s="58" t="e">
        <f t="shared" si="98"/>
        <v>#N/A</v>
      </c>
      <c r="D834" s="83" t="e">
        <f t="shared" si="103"/>
        <v>#N/A</v>
      </c>
      <c r="E834" t="e">
        <f t="shared" si="99"/>
        <v>#N/A</v>
      </c>
      <c r="G834">
        <v>784</v>
      </c>
      <c r="H834" s="13" t="e">
        <f t="shared" si="104"/>
        <v>#N/A</v>
      </c>
      <c r="I834" t="e">
        <f t="shared" si="105"/>
        <v>#N/A</v>
      </c>
      <c r="J834" t="e">
        <f t="shared" si="100"/>
        <v>#N/A</v>
      </c>
      <c r="K834" s="27" t="e">
        <f t="shared" si="101"/>
        <v>#N/A</v>
      </c>
    </row>
    <row r="835" spans="1:11">
      <c r="A835" s="26">
        <v>785</v>
      </c>
      <c r="B835" s="82" t="e">
        <f t="shared" si="102"/>
        <v>#N/A</v>
      </c>
      <c r="C835" s="58" t="e">
        <f t="shared" si="98"/>
        <v>#N/A</v>
      </c>
      <c r="D835" s="83" t="e">
        <f t="shared" si="103"/>
        <v>#N/A</v>
      </c>
      <c r="E835" t="e">
        <f t="shared" si="99"/>
        <v>#N/A</v>
      </c>
      <c r="G835">
        <v>785</v>
      </c>
      <c r="H835" s="13" t="e">
        <f t="shared" si="104"/>
        <v>#N/A</v>
      </c>
      <c r="I835" t="e">
        <f t="shared" si="105"/>
        <v>#N/A</v>
      </c>
      <c r="J835" t="e">
        <f t="shared" si="100"/>
        <v>#N/A</v>
      </c>
      <c r="K835" s="27" t="e">
        <f t="shared" si="101"/>
        <v>#N/A</v>
      </c>
    </row>
    <row r="836" spans="1:11">
      <c r="A836" s="26">
        <v>786</v>
      </c>
      <c r="B836" s="82" t="e">
        <f t="shared" si="102"/>
        <v>#N/A</v>
      </c>
      <c r="C836" s="58" t="e">
        <f t="shared" si="98"/>
        <v>#N/A</v>
      </c>
      <c r="D836" s="83" t="e">
        <f t="shared" si="103"/>
        <v>#N/A</v>
      </c>
      <c r="E836" t="e">
        <f t="shared" si="99"/>
        <v>#N/A</v>
      </c>
      <c r="G836">
        <v>786</v>
      </c>
      <c r="H836" s="13" t="e">
        <f t="shared" si="104"/>
        <v>#N/A</v>
      </c>
      <c r="I836" t="e">
        <f t="shared" si="105"/>
        <v>#N/A</v>
      </c>
      <c r="J836" t="e">
        <f t="shared" si="100"/>
        <v>#N/A</v>
      </c>
      <c r="K836" s="27" t="e">
        <f t="shared" si="101"/>
        <v>#N/A</v>
      </c>
    </row>
    <row r="837" spans="1:11">
      <c r="A837" s="26">
        <v>787</v>
      </c>
      <c r="B837" s="82" t="e">
        <f t="shared" si="102"/>
        <v>#N/A</v>
      </c>
      <c r="C837" s="58" t="e">
        <f t="shared" si="98"/>
        <v>#N/A</v>
      </c>
      <c r="D837" s="83" t="e">
        <f t="shared" si="103"/>
        <v>#N/A</v>
      </c>
      <c r="E837" t="e">
        <f t="shared" si="99"/>
        <v>#N/A</v>
      </c>
      <c r="G837">
        <v>787</v>
      </c>
      <c r="H837" s="13" t="e">
        <f t="shared" si="104"/>
        <v>#N/A</v>
      </c>
      <c r="I837" t="e">
        <f t="shared" si="105"/>
        <v>#N/A</v>
      </c>
      <c r="J837" t="e">
        <f t="shared" si="100"/>
        <v>#N/A</v>
      </c>
      <c r="K837" s="27" t="e">
        <f t="shared" si="101"/>
        <v>#N/A</v>
      </c>
    </row>
    <row r="838" spans="1:11">
      <c r="A838" s="26">
        <v>788</v>
      </c>
      <c r="B838" s="82" t="e">
        <f t="shared" si="102"/>
        <v>#N/A</v>
      </c>
      <c r="C838" s="58" t="e">
        <f t="shared" si="98"/>
        <v>#N/A</v>
      </c>
      <c r="D838" s="83" t="e">
        <f t="shared" si="103"/>
        <v>#N/A</v>
      </c>
      <c r="E838" t="e">
        <f t="shared" si="99"/>
        <v>#N/A</v>
      </c>
      <c r="G838">
        <v>788</v>
      </c>
      <c r="H838" s="13" t="e">
        <f t="shared" si="104"/>
        <v>#N/A</v>
      </c>
      <c r="I838" t="e">
        <f t="shared" si="105"/>
        <v>#N/A</v>
      </c>
      <c r="J838" t="e">
        <f t="shared" si="100"/>
        <v>#N/A</v>
      </c>
      <c r="K838" s="27" t="e">
        <f t="shared" si="101"/>
        <v>#N/A</v>
      </c>
    </row>
    <row r="839" spans="1:11">
      <c r="A839" s="26">
        <v>789</v>
      </c>
      <c r="B839" s="82" t="e">
        <f t="shared" si="102"/>
        <v>#N/A</v>
      </c>
      <c r="C839" s="58" t="e">
        <f t="shared" si="98"/>
        <v>#N/A</v>
      </c>
      <c r="D839" s="83" t="e">
        <f t="shared" si="103"/>
        <v>#N/A</v>
      </c>
      <c r="E839" t="e">
        <f t="shared" si="99"/>
        <v>#N/A</v>
      </c>
      <c r="G839">
        <v>789</v>
      </c>
      <c r="H839" s="13" t="e">
        <f t="shared" si="104"/>
        <v>#N/A</v>
      </c>
      <c r="I839" t="e">
        <f t="shared" si="105"/>
        <v>#N/A</v>
      </c>
      <c r="J839" t="e">
        <f t="shared" si="100"/>
        <v>#N/A</v>
      </c>
      <c r="K839" s="27" t="e">
        <f t="shared" si="101"/>
        <v>#N/A</v>
      </c>
    </row>
    <row r="840" spans="1:11">
      <c r="A840" s="26">
        <v>790</v>
      </c>
      <c r="B840" s="82" t="e">
        <f t="shared" si="102"/>
        <v>#N/A</v>
      </c>
      <c r="C840" s="58" t="e">
        <f t="shared" si="98"/>
        <v>#N/A</v>
      </c>
      <c r="D840" s="83" t="e">
        <f t="shared" si="103"/>
        <v>#N/A</v>
      </c>
      <c r="E840" t="e">
        <f t="shared" si="99"/>
        <v>#N/A</v>
      </c>
      <c r="G840">
        <v>790</v>
      </c>
      <c r="H840" s="13" t="e">
        <f t="shared" si="104"/>
        <v>#N/A</v>
      </c>
      <c r="I840" t="e">
        <f t="shared" si="105"/>
        <v>#N/A</v>
      </c>
      <c r="J840" t="e">
        <f t="shared" si="100"/>
        <v>#N/A</v>
      </c>
      <c r="K840" s="27" t="e">
        <f t="shared" si="101"/>
        <v>#N/A</v>
      </c>
    </row>
    <row r="841" spans="1:11">
      <c r="A841" s="26">
        <v>791</v>
      </c>
      <c r="B841" s="82" t="e">
        <f t="shared" si="102"/>
        <v>#N/A</v>
      </c>
      <c r="C841" s="58" t="e">
        <f t="shared" si="98"/>
        <v>#N/A</v>
      </c>
      <c r="D841" s="83" t="e">
        <f t="shared" si="103"/>
        <v>#N/A</v>
      </c>
      <c r="E841" t="e">
        <f t="shared" si="99"/>
        <v>#N/A</v>
      </c>
      <c r="G841">
        <v>791</v>
      </c>
      <c r="H841" s="13" t="e">
        <f t="shared" si="104"/>
        <v>#N/A</v>
      </c>
      <c r="I841" t="e">
        <f t="shared" si="105"/>
        <v>#N/A</v>
      </c>
      <c r="J841" t="e">
        <f t="shared" si="100"/>
        <v>#N/A</v>
      </c>
      <c r="K841" s="27" t="e">
        <f t="shared" si="101"/>
        <v>#N/A</v>
      </c>
    </row>
    <row r="842" spans="1:11">
      <c r="A842" s="26">
        <v>792</v>
      </c>
      <c r="B842" s="82" t="e">
        <f t="shared" si="102"/>
        <v>#N/A</v>
      </c>
      <c r="C842" s="58" t="e">
        <f t="shared" si="98"/>
        <v>#N/A</v>
      </c>
      <c r="D842" s="83" t="e">
        <f t="shared" si="103"/>
        <v>#N/A</v>
      </c>
      <c r="E842" t="e">
        <f t="shared" si="99"/>
        <v>#N/A</v>
      </c>
      <c r="G842">
        <v>792</v>
      </c>
      <c r="H842" s="13" t="e">
        <f t="shared" si="104"/>
        <v>#N/A</v>
      </c>
      <c r="I842" t="e">
        <f t="shared" si="105"/>
        <v>#N/A</v>
      </c>
      <c r="J842" t="e">
        <f t="shared" si="100"/>
        <v>#N/A</v>
      </c>
      <c r="K842" s="27" t="e">
        <f t="shared" si="101"/>
        <v>#N/A</v>
      </c>
    </row>
    <row r="843" spans="1:11">
      <c r="A843" s="26">
        <v>793</v>
      </c>
      <c r="B843" s="82" t="e">
        <f t="shared" si="102"/>
        <v>#N/A</v>
      </c>
      <c r="C843" s="58" t="e">
        <f t="shared" si="98"/>
        <v>#N/A</v>
      </c>
      <c r="D843" s="83" t="e">
        <f t="shared" si="103"/>
        <v>#N/A</v>
      </c>
      <c r="E843" t="e">
        <f t="shared" si="99"/>
        <v>#N/A</v>
      </c>
      <c r="G843">
        <v>793</v>
      </c>
      <c r="H843" s="13" t="e">
        <f t="shared" si="104"/>
        <v>#N/A</v>
      </c>
      <c r="I843" t="e">
        <f t="shared" si="105"/>
        <v>#N/A</v>
      </c>
      <c r="J843" t="e">
        <f t="shared" si="100"/>
        <v>#N/A</v>
      </c>
      <c r="K843" s="27" t="e">
        <f t="shared" si="101"/>
        <v>#N/A</v>
      </c>
    </row>
    <row r="844" spans="1:11">
      <c r="A844" s="26">
        <v>794</v>
      </c>
      <c r="B844" s="82" t="e">
        <f t="shared" si="102"/>
        <v>#N/A</v>
      </c>
      <c r="C844" s="58" t="e">
        <f t="shared" si="98"/>
        <v>#N/A</v>
      </c>
      <c r="D844" s="83" t="e">
        <f t="shared" si="103"/>
        <v>#N/A</v>
      </c>
      <c r="E844" t="e">
        <f t="shared" si="99"/>
        <v>#N/A</v>
      </c>
      <c r="G844">
        <v>794</v>
      </c>
      <c r="H844" s="13" t="e">
        <f t="shared" si="104"/>
        <v>#N/A</v>
      </c>
      <c r="I844" t="e">
        <f t="shared" si="105"/>
        <v>#N/A</v>
      </c>
      <c r="J844" t="e">
        <f t="shared" si="100"/>
        <v>#N/A</v>
      </c>
      <c r="K844" s="27" t="e">
        <f t="shared" si="101"/>
        <v>#N/A</v>
      </c>
    </row>
    <row r="845" spans="1:11">
      <c r="A845" s="26">
        <v>795</v>
      </c>
      <c r="B845" s="82" t="e">
        <f t="shared" si="102"/>
        <v>#N/A</v>
      </c>
      <c r="C845" s="58" t="e">
        <f t="shared" si="98"/>
        <v>#N/A</v>
      </c>
      <c r="D845" s="83" t="e">
        <f t="shared" si="103"/>
        <v>#N/A</v>
      </c>
      <c r="E845" t="e">
        <f t="shared" si="99"/>
        <v>#N/A</v>
      </c>
      <c r="G845">
        <v>795</v>
      </c>
      <c r="H845" s="13" t="e">
        <f t="shared" si="104"/>
        <v>#N/A</v>
      </c>
      <c r="I845" t="e">
        <f t="shared" si="105"/>
        <v>#N/A</v>
      </c>
      <c r="J845" t="e">
        <f t="shared" si="100"/>
        <v>#N/A</v>
      </c>
      <c r="K845" s="27" t="e">
        <f t="shared" si="101"/>
        <v>#N/A</v>
      </c>
    </row>
    <row r="846" spans="1:11">
      <c r="A846" s="26">
        <v>796</v>
      </c>
      <c r="B846" s="82" t="e">
        <f t="shared" si="102"/>
        <v>#N/A</v>
      </c>
      <c r="C846" s="58" t="e">
        <f t="shared" si="98"/>
        <v>#N/A</v>
      </c>
      <c r="D846" s="83" t="e">
        <f t="shared" si="103"/>
        <v>#N/A</v>
      </c>
      <c r="E846" t="e">
        <f t="shared" si="99"/>
        <v>#N/A</v>
      </c>
      <c r="G846">
        <v>796</v>
      </c>
      <c r="H846" s="13" t="e">
        <f t="shared" si="104"/>
        <v>#N/A</v>
      </c>
      <c r="I846" t="e">
        <f t="shared" si="105"/>
        <v>#N/A</v>
      </c>
      <c r="J846" t="e">
        <f t="shared" si="100"/>
        <v>#N/A</v>
      </c>
      <c r="K846" s="27" t="e">
        <f t="shared" si="101"/>
        <v>#N/A</v>
      </c>
    </row>
    <row r="847" spans="1:11">
      <c r="A847" s="26">
        <v>797</v>
      </c>
      <c r="B847" s="82" t="e">
        <f t="shared" si="102"/>
        <v>#N/A</v>
      </c>
      <c r="C847" s="58" t="e">
        <f t="shared" si="98"/>
        <v>#N/A</v>
      </c>
      <c r="D847" s="83" t="e">
        <f t="shared" si="103"/>
        <v>#N/A</v>
      </c>
      <c r="E847" t="e">
        <f t="shared" si="99"/>
        <v>#N/A</v>
      </c>
      <c r="G847">
        <v>797</v>
      </c>
      <c r="H847" s="13" t="e">
        <f t="shared" si="104"/>
        <v>#N/A</v>
      </c>
      <c r="I847" t="e">
        <f t="shared" si="105"/>
        <v>#N/A</v>
      </c>
      <c r="J847" t="e">
        <f t="shared" si="100"/>
        <v>#N/A</v>
      </c>
      <c r="K847" s="27" t="e">
        <f t="shared" si="101"/>
        <v>#N/A</v>
      </c>
    </row>
    <row r="848" spans="1:11">
      <c r="A848" s="26">
        <v>798</v>
      </c>
      <c r="B848" s="82" t="e">
        <f t="shared" si="102"/>
        <v>#N/A</v>
      </c>
      <c r="C848" s="58" t="e">
        <f t="shared" ref="C848:C911" si="106">($C$37-$C$36)/2000+C847</f>
        <v>#N/A</v>
      </c>
      <c r="D848" s="83" t="e">
        <f t="shared" si="103"/>
        <v>#N/A</v>
      </c>
      <c r="E848" t="e">
        <f t="shared" si="99"/>
        <v>#N/A</v>
      </c>
      <c r="G848">
        <v>798</v>
      </c>
      <c r="H848" s="13" t="e">
        <f t="shared" si="104"/>
        <v>#N/A</v>
      </c>
      <c r="I848" t="e">
        <f t="shared" si="105"/>
        <v>#N/A</v>
      </c>
      <c r="J848" t="e">
        <f t="shared" si="100"/>
        <v>#N/A</v>
      </c>
      <c r="K848" s="27" t="e">
        <f t="shared" si="101"/>
        <v>#N/A</v>
      </c>
    </row>
    <row r="849" spans="1:11">
      <c r="A849" s="26">
        <v>799</v>
      </c>
      <c r="B849" s="82" t="e">
        <f t="shared" si="102"/>
        <v>#N/A</v>
      </c>
      <c r="C849" s="58" t="e">
        <f t="shared" si="106"/>
        <v>#N/A</v>
      </c>
      <c r="D849" s="83" t="e">
        <f t="shared" si="103"/>
        <v>#N/A</v>
      </c>
      <c r="E849" t="e">
        <f t="shared" si="99"/>
        <v>#N/A</v>
      </c>
      <c r="G849">
        <v>799</v>
      </c>
      <c r="H849" s="13" t="e">
        <f t="shared" si="104"/>
        <v>#N/A</v>
      </c>
      <c r="I849" t="e">
        <f t="shared" si="105"/>
        <v>#N/A</v>
      </c>
      <c r="J849" t="e">
        <f t="shared" si="100"/>
        <v>#N/A</v>
      </c>
      <c r="K849" s="27" t="e">
        <f t="shared" si="101"/>
        <v>#N/A</v>
      </c>
    </row>
    <row r="850" spans="1:11">
      <c r="A850" s="26">
        <v>800</v>
      </c>
      <c r="B850" s="82" t="e">
        <f t="shared" si="102"/>
        <v>#N/A</v>
      </c>
      <c r="C850" s="58" t="e">
        <f t="shared" si="106"/>
        <v>#N/A</v>
      </c>
      <c r="D850" s="83" t="e">
        <f t="shared" si="103"/>
        <v>#N/A</v>
      </c>
      <c r="E850" t="e">
        <f t="shared" si="99"/>
        <v>#N/A</v>
      </c>
      <c r="G850">
        <v>800</v>
      </c>
      <c r="H850" s="13" t="e">
        <f t="shared" si="104"/>
        <v>#N/A</v>
      </c>
      <c r="I850" t="e">
        <f t="shared" si="105"/>
        <v>#N/A</v>
      </c>
      <c r="J850" t="e">
        <f t="shared" si="100"/>
        <v>#N/A</v>
      </c>
      <c r="K850" s="27" t="e">
        <f t="shared" si="101"/>
        <v>#N/A</v>
      </c>
    </row>
    <row r="851" spans="1:11">
      <c r="A851" s="26">
        <v>801</v>
      </c>
      <c r="B851" s="82" t="e">
        <f t="shared" si="102"/>
        <v>#N/A</v>
      </c>
      <c r="C851" s="58" t="e">
        <f t="shared" si="106"/>
        <v>#N/A</v>
      </c>
      <c r="D851" s="83" t="e">
        <f t="shared" si="103"/>
        <v>#N/A</v>
      </c>
      <c r="E851" t="e">
        <f t="shared" si="99"/>
        <v>#N/A</v>
      </c>
      <c r="G851">
        <v>801</v>
      </c>
      <c r="H851" s="13" t="e">
        <f t="shared" si="104"/>
        <v>#N/A</v>
      </c>
      <c r="I851" t="e">
        <f t="shared" si="105"/>
        <v>#N/A</v>
      </c>
      <c r="J851" t="e">
        <f t="shared" si="100"/>
        <v>#N/A</v>
      </c>
      <c r="K851" s="27" t="e">
        <f t="shared" si="101"/>
        <v>#N/A</v>
      </c>
    </row>
    <row r="852" spans="1:11">
      <c r="A852" s="26">
        <v>802</v>
      </c>
      <c r="B852" s="82" t="e">
        <f t="shared" si="102"/>
        <v>#N/A</v>
      </c>
      <c r="C852" s="58" t="e">
        <f t="shared" si="106"/>
        <v>#N/A</v>
      </c>
      <c r="D852" s="83" t="e">
        <f t="shared" si="103"/>
        <v>#N/A</v>
      </c>
      <c r="E852" t="e">
        <f t="shared" si="99"/>
        <v>#N/A</v>
      </c>
      <c r="G852">
        <v>802</v>
      </c>
      <c r="H852" s="13" t="e">
        <f t="shared" si="104"/>
        <v>#N/A</v>
      </c>
      <c r="I852" t="e">
        <f t="shared" si="105"/>
        <v>#N/A</v>
      </c>
      <c r="J852" t="e">
        <f t="shared" si="100"/>
        <v>#N/A</v>
      </c>
      <c r="K852" s="27" t="e">
        <f t="shared" si="101"/>
        <v>#N/A</v>
      </c>
    </row>
    <row r="853" spans="1:11">
      <c r="A853" s="26">
        <v>803</v>
      </c>
      <c r="B853" s="82" t="e">
        <f t="shared" si="102"/>
        <v>#N/A</v>
      </c>
      <c r="C853" s="58" t="e">
        <f t="shared" si="106"/>
        <v>#N/A</v>
      </c>
      <c r="D853" s="83" t="e">
        <f t="shared" si="103"/>
        <v>#N/A</v>
      </c>
      <c r="E853" t="e">
        <f t="shared" si="99"/>
        <v>#N/A</v>
      </c>
      <c r="G853">
        <v>803</v>
      </c>
      <c r="H853" s="13" t="e">
        <f t="shared" si="104"/>
        <v>#N/A</v>
      </c>
      <c r="I853" t="e">
        <f t="shared" si="105"/>
        <v>#N/A</v>
      </c>
      <c r="J853" t="e">
        <f t="shared" si="100"/>
        <v>#N/A</v>
      </c>
      <c r="K853" s="27" t="e">
        <f t="shared" si="101"/>
        <v>#N/A</v>
      </c>
    </row>
    <row r="854" spans="1:11">
      <c r="A854" s="26">
        <v>804</v>
      </c>
      <c r="B854" s="82" t="e">
        <f t="shared" si="102"/>
        <v>#N/A</v>
      </c>
      <c r="C854" s="58" t="e">
        <f t="shared" si="106"/>
        <v>#N/A</v>
      </c>
      <c r="D854" s="83" t="e">
        <f t="shared" si="103"/>
        <v>#N/A</v>
      </c>
      <c r="E854" t="e">
        <f t="shared" si="99"/>
        <v>#N/A</v>
      </c>
      <c r="G854">
        <v>804</v>
      </c>
      <c r="H854" s="13" t="e">
        <f t="shared" si="104"/>
        <v>#N/A</v>
      </c>
      <c r="I854" t="e">
        <f t="shared" si="105"/>
        <v>#N/A</v>
      </c>
      <c r="J854" t="e">
        <f t="shared" si="100"/>
        <v>#N/A</v>
      </c>
      <c r="K854" s="27" t="e">
        <f t="shared" si="101"/>
        <v>#N/A</v>
      </c>
    </row>
    <row r="855" spans="1:11">
      <c r="A855" s="26">
        <v>805</v>
      </c>
      <c r="B855" s="82" t="e">
        <f t="shared" si="102"/>
        <v>#N/A</v>
      </c>
      <c r="C855" s="58" t="e">
        <f t="shared" si="106"/>
        <v>#N/A</v>
      </c>
      <c r="D855" s="83" t="e">
        <f t="shared" si="103"/>
        <v>#N/A</v>
      </c>
      <c r="E855" t="e">
        <f t="shared" si="99"/>
        <v>#N/A</v>
      </c>
      <c r="G855">
        <v>805</v>
      </c>
      <c r="H855" s="13" t="e">
        <f t="shared" si="104"/>
        <v>#N/A</v>
      </c>
      <c r="I855" t="e">
        <f t="shared" si="105"/>
        <v>#N/A</v>
      </c>
      <c r="J855" t="e">
        <f t="shared" si="100"/>
        <v>#N/A</v>
      </c>
      <c r="K855" s="27" t="e">
        <f t="shared" si="101"/>
        <v>#N/A</v>
      </c>
    </row>
    <row r="856" spans="1:11">
      <c r="A856" s="26">
        <v>806</v>
      </c>
      <c r="B856" s="82" t="e">
        <f t="shared" si="102"/>
        <v>#N/A</v>
      </c>
      <c r="C856" s="58" t="e">
        <f t="shared" si="106"/>
        <v>#N/A</v>
      </c>
      <c r="D856" s="83" t="e">
        <f t="shared" si="103"/>
        <v>#N/A</v>
      </c>
      <c r="E856" t="e">
        <f t="shared" si="99"/>
        <v>#N/A</v>
      </c>
      <c r="G856">
        <v>806</v>
      </c>
      <c r="H856" s="13" t="e">
        <f t="shared" si="104"/>
        <v>#N/A</v>
      </c>
      <c r="I856" t="e">
        <f t="shared" si="105"/>
        <v>#N/A</v>
      </c>
      <c r="J856" t="e">
        <f t="shared" si="100"/>
        <v>#N/A</v>
      </c>
      <c r="K856" s="27" t="e">
        <f t="shared" si="101"/>
        <v>#N/A</v>
      </c>
    </row>
    <row r="857" spans="1:11">
      <c r="A857" s="26">
        <v>807</v>
      </c>
      <c r="B857" s="82" t="e">
        <f t="shared" si="102"/>
        <v>#N/A</v>
      </c>
      <c r="C857" s="58" t="e">
        <f t="shared" si="106"/>
        <v>#N/A</v>
      </c>
      <c r="D857" s="83" t="e">
        <f t="shared" si="103"/>
        <v>#N/A</v>
      </c>
      <c r="E857" t="e">
        <f t="shared" si="99"/>
        <v>#N/A</v>
      </c>
      <c r="G857">
        <v>807</v>
      </c>
      <c r="H857" s="13" t="e">
        <f t="shared" si="104"/>
        <v>#N/A</v>
      </c>
      <c r="I857" t="e">
        <f t="shared" si="105"/>
        <v>#N/A</v>
      </c>
      <c r="J857" t="e">
        <f t="shared" si="100"/>
        <v>#N/A</v>
      </c>
      <c r="K857" s="27" t="e">
        <f t="shared" si="101"/>
        <v>#N/A</v>
      </c>
    </row>
    <row r="858" spans="1:11">
      <c r="A858" s="26">
        <v>808</v>
      </c>
      <c r="B858" s="82" t="e">
        <f t="shared" si="102"/>
        <v>#N/A</v>
      </c>
      <c r="C858" s="58" t="e">
        <f t="shared" si="106"/>
        <v>#N/A</v>
      </c>
      <c r="D858" s="83" t="e">
        <f t="shared" si="103"/>
        <v>#N/A</v>
      </c>
      <c r="E858" t="e">
        <f t="shared" si="99"/>
        <v>#N/A</v>
      </c>
      <c r="G858">
        <v>808</v>
      </c>
      <c r="H858" s="13" t="e">
        <f t="shared" si="104"/>
        <v>#N/A</v>
      </c>
      <c r="I858" t="e">
        <f t="shared" si="105"/>
        <v>#N/A</v>
      </c>
      <c r="J858" t="e">
        <f t="shared" si="100"/>
        <v>#N/A</v>
      </c>
      <c r="K858" s="27" t="e">
        <f t="shared" si="101"/>
        <v>#N/A</v>
      </c>
    </row>
    <row r="859" spans="1:11">
      <c r="A859" s="26">
        <v>809</v>
      </c>
      <c r="B859" s="82" t="e">
        <f t="shared" si="102"/>
        <v>#N/A</v>
      </c>
      <c r="C859" s="58" t="e">
        <f t="shared" si="106"/>
        <v>#N/A</v>
      </c>
      <c r="D859" s="83" t="e">
        <f t="shared" si="103"/>
        <v>#N/A</v>
      </c>
      <c r="E859" t="e">
        <f t="shared" si="99"/>
        <v>#N/A</v>
      </c>
      <c r="G859">
        <v>809</v>
      </c>
      <c r="H859" s="13" t="e">
        <f t="shared" si="104"/>
        <v>#N/A</v>
      </c>
      <c r="I859" t="e">
        <f t="shared" si="105"/>
        <v>#N/A</v>
      </c>
      <c r="J859" t="e">
        <f t="shared" si="100"/>
        <v>#N/A</v>
      </c>
      <c r="K859" s="27" t="e">
        <f t="shared" si="101"/>
        <v>#N/A</v>
      </c>
    </row>
    <row r="860" spans="1:11">
      <c r="A860" s="26">
        <v>810</v>
      </c>
      <c r="B860" s="82" t="e">
        <f t="shared" si="102"/>
        <v>#N/A</v>
      </c>
      <c r="C860" s="58" t="e">
        <f t="shared" si="106"/>
        <v>#N/A</v>
      </c>
      <c r="D860" s="83" t="e">
        <f t="shared" si="103"/>
        <v>#N/A</v>
      </c>
      <c r="E860" t="e">
        <f t="shared" si="99"/>
        <v>#N/A</v>
      </c>
      <c r="G860">
        <v>810</v>
      </c>
      <c r="H860" s="13" t="e">
        <f t="shared" si="104"/>
        <v>#N/A</v>
      </c>
      <c r="I860" t="e">
        <f t="shared" si="105"/>
        <v>#N/A</v>
      </c>
      <c r="J860" t="e">
        <f t="shared" si="100"/>
        <v>#N/A</v>
      </c>
      <c r="K860" s="27" t="e">
        <f t="shared" si="101"/>
        <v>#N/A</v>
      </c>
    </row>
    <row r="861" spans="1:11">
      <c r="A861" s="26">
        <v>811</v>
      </c>
      <c r="B861" s="82" t="e">
        <f t="shared" si="102"/>
        <v>#N/A</v>
      </c>
      <c r="C861" s="58" t="e">
        <f t="shared" si="106"/>
        <v>#N/A</v>
      </c>
      <c r="D861" s="83" t="e">
        <f t="shared" si="103"/>
        <v>#N/A</v>
      </c>
      <c r="E861" t="e">
        <f t="shared" si="99"/>
        <v>#N/A</v>
      </c>
      <c r="G861">
        <v>811</v>
      </c>
      <c r="H861" s="13" t="e">
        <f t="shared" si="104"/>
        <v>#N/A</v>
      </c>
      <c r="I861" t="e">
        <f t="shared" si="105"/>
        <v>#N/A</v>
      </c>
      <c r="J861" t="e">
        <f t="shared" si="100"/>
        <v>#N/A</v>
      </c>
      <c r="K861" s="27" t="e">
        <f t="shared" si="101"/>
        <v>#N/A</v>
      </c>
    </row>
    <row r="862" spans="1:11">
      <c r="A862" s="26">
        <v>812</v>
      </c>
      <c r="B862" s="82" t="e">
        <f t="shared" si="102"/>
        <v>#N/A</v>
      </c>
      <c r="C862" s="58" t="e">
        <f t="shared" si="106"/>
        <v>#N/A</v>
      </c>
      <c r="D862" s="83" t="e">
        <f t="shared" si="103"/>
        <v>#N/A</v>
      </c>
      <c r="E862" t="e">
        <f t="shared" si="99"/>
        <v>#N/A</v>
      </c>
      <c r="G862">
        <v>812</v>
      </c>
      <c r="H862" s="13" t="e">
        <f t="shared" si="104"/>
        <v>#N/A</v>
      </c>
      <c r="I862" t="e">
        <f t="shared" si="105"/>
        <v>#N/A</v>
      </c>
      <c r="J862" t="e">
        <f t="shared" si="100"/>
        <v>#N/A</v>
      </c>
      <c r="K862" s="27" t="e">
        <f t="shared" si="101"/>
        <v>#N/A</v>
      </c>
    </row>
    <row r="863" spans="1:11">
      <c r="A863" s="26">
        <v>813</v>
      </c>
      <c r="B863" s="82" t="e">
        <f t="shared" si="102"/>
        <v>#N/A</v>
      </c>
      <c r="C863" s="58" t="e">
        <f t="shared" si="106"/>
        <v>#N/A</v>
      </c>
      <c r="D863" s="83" t="e">
        <f t="shared" si="103"/>
        <v>#N/A</v>
      </c>
      <c r="E863" t="e">
        <f t="shared" si="99"/>
        <v>#N/A</v>
      </c>
      <c r="G863">
        <v>813</v>
      </c>
      <c r="H863" s="13" t="e">
        <f t="shared" si="104"/>
        <v>#N/A</v>
      </c>
      <c r="I863" t="e">
        <f t="shared" si="105"/>
        <v>#N/A</v>
      </c>
      <c r="J863" t="e">
        <f t="shared" si="100"/>
        <v>#N/A</v>
      </c>
      <c r="K863" s="27" t="e">
        <f t="shared" si="101"/>
        <v>#N/A</v>
      </c>
    </row>
    <row r="864" spans="1:11">
      <c r="A864" s="26">
        <v>814</v>
      </c>
      <c r="B864" s="82" t="e">
        <f t="shared" si="102"/>
        <v>#N/A</v>
      </c>
      <c r="C864" s="58" t="e">
        <f t="shared" si="106"/>
        <v>#N/A</v>
      </c>
      <c r="D864" s="83" t="e">
        <f t="shared" si="103"/>
        <v>#N/A</v>
      </c>
      <c r="E864" t="e">
        <f t="shared" si="99"/>
        <v>#N/A</v>
      </c>
      <c r="G864">
        <v>814</v>
      </c>
      <c r="H864" s="13" t="e">
        <f t="shared" si="104"/>
        <v>#N/A</v>
      </c>
      <c r="I864" t="e">
        <f t="shared" si="105"/>
        <v>#N/A</v>
      </c>
      <c r="J864" t="e">
        <f t="shared" si="100"/>
        <v>#N/A</v>
      </c>
      <c r="K864" s="27" t="e">
        <f t="shared" si="101"/>
        <v>#N/A</v>
      </c>
    </row>
    <row r="865" spans="1:11">
      <c r="A865" s="26">
        <v>815</v>
      </c>
      <c r="B865" s="82" t="e">
        <f t="shared" si="102"/>
        <v>#N/A</v>
      </c>
      <c r="C865" s="58" t="e">
        <f t="shared" si="106"/>
        <v>#N/A</v>
      </c>
      <c r="D865" s="83" t="e">
        <f t="shared" si="103"/>
        <v>#N/A</v>
      </c>
      <c r="E865" t="e">
        <f t="shared" si="99"/>
        <v>#N/A</v>
      </c>
      <c r="G865">
        <v>815</v>
      </c>
      <c r="H865" s="13" t="e">
        <f t="shared" si="104"/>
        <v>#N/A</v>
      </c>
      <c r="I865" t="e">
        <f t="shared" si="105"/>
        <v>#N/A</v>
      </c>
      <c r="J865" t="e">
        <f t="shared" si="100"/>
        <v>#N/A</v>
      </c>
      <c r="K865" s="27" t="e">
        <f t="shared" si="101"/>
        <v>#N/A</v>
      </c>
    </row>
    <row r="866" spans="1:11">
      <c r="A866" s="26">
        <v>816</v>
      </c>
      <c r="B866" s="82" t="e">
        <f t="shared" si="102"/>
        <v>#N/A</v>
      </c>
      <c r="C866" s="58" t="e">
        <f t="shared" si="106"/>
        <v>#N/A</v>
      </c>
      <c r="D866" s="83" t="e">
        <f t="shared" si="103"/>
        <v>#N/A</v>
      </c>
      <c r="E866" t="e">
        <f t="shared" si="99"/>
        <v>#N/A</v>
      </c>
      <c r="G866">
        <v>816</v>
      </c>
      <c r="H866" s="13" t="e">
        <f t="shared" si="104"/>
        <v>#N/A</v>
      </c>
      <c r="I866" t="e">
        <f t="shared" si="105"/>
        <v>#N/A</v>
      </c>
      <c r="J866" t="e">
        <f t="shared" si="100"/>
        <v>#N/A</v>
      </c>
      <c r="K866" s="27" t="e">
        <f t="shared" si="101"/>
        <v>#N/A</v>
      </c>
    </row>
    <row r="867" spans="1:11">
      <c r="A867" s="26">
        <v>817</v>
      </c>
      <c r="B867" s="82" t="e">
        <f t="shared" si="102"/>
        <v>#N/A</v>
      </c>
      <c r="C867" s="58" t="e">
        <f t="shared" si="106"/>
        <v>#N/A</v>
      </c>
      <c r="D867" s="83" t="e">
        <f t="shared" si="103"/>
        <v>#N/A</v>
      </c>
      <c r="E867" t="e">
        <f t="shared" si="99"/>
        <v>#N/A</v>
      </c>
      <c r="G867">
        <v>817</v>
      </c>
      <c r="H867" s="13" t="e">
        <f t="shared" si="104"/>
        <v>#N/A</v>
      </c>
      <c r="I867" t="e">
        <f t="shared" si="105"/>
        <v>#N/A</v>
      </c>
      <c r="J867" t="e">
        <f t="shared" si="100"/>
        <v>#N/A</v>
      </c>
      <c r="K867" s="27" t="e">
        <f t="shared" si="101"/>
        <v>#N/A</v>
      </c>
    </row>
    <row r="868" spans="1:11">
      <c r="A868" s="26">
        <v>818</v>
      </c>
      <c r="B868" s="82" t="e">
        <f t="shared" si="102"/>
        <v>#N/A</v>
      </c>
      <c r="C868" s="58" t="e">
        <f t="shared" si="106"/>
        <v>#N/A</v>
      </c>
      <c r="D868" s="83" t="e">
        <f t="shared" si="103"/>
        <v>#N/A</v>
      </c>
      <c r="E868" t="e">
        <f t="shared" si="99"/>
        <v>#N/A</v>
      </c>
      <c r="G868">
        <v>818</v>
      </c>
      <c r="H868" s="13" t="e">
        <f t="shared" si="104"/>
        <v>#N/A</v>
      </c>
      <c r="I868" t="e">
        <f t="shared" si="105"/>
        <v>#N/A</v>
      </c>
      <c r="J868" t="e">
        <f t="shared" si="100"/>
        <v>#N/A</v>
      </c>
      <c r="K868" s="27" t="e">
        <f t="shared" si="101"/>
        <v>#N/A</v>
      </c>
    </row>
    <row r="869" spans="1:11">
      <c r="A869" s="26">
        <v>819</v>
      </c>
      <c r="B869" s="82" t="e">
        <f t="shared" si="102"/>
        <v>#N/A</v>
      </c>
      <c r="C869" s="58" t="e">
        <f t="shared" si="106"/>
        <v>#N/A</v>
      </c>
      <c r="D869" s="83" t="e">
        <f t="shared" si="103"/>
        <v>#N/A</v>
      </c>
      <c r="E869" t="e">
        <f t="shared" si="99"/>
        <v>#N/A</v>
      </c>
      <c r="G869">
        <v>819</v>
      </c>
      <c r="H869" s="13" t="e">
        <f t="shared" si="104"/>
        <v>#N/A</v>
      </c>
      <c r="I869" t="e">
        <f t="shared" si="105"/>
        <v>#N/A</v>
      </c>
      <c r="J869" t="e">
        <f t="shared" si="100"/>
        <v>#N/A</v>
      </c>
      <c r="K869" s="27" t="e">
        <f t="shared" si="101"/>
        <v>#N/A</v>
      </c>
    </row>
    <row r="870" spans="1:11">
      <c r="A870" s="26">
        <v>820</v>
      </c>
      <c r="B870" s="82" t="e">
        <f t="shared" si="102"/>
        <v>#N/A</v>
      </c>
      <c r="C870" s="58" t="e">
        <f t="shared" si="106"/>
        <v>#N/A</v>
      </c>
      <c r="D870" s="83" t="e">
        <f t="shared" si="103"/>
        <v>#N/A</v>
      </c>
      <c r="E870" t="e">
        <f t="shared" si="99"/>
        <v>#N/A</v>
      </c>
      <c r="G870">
        <v>820</v>
      </c>
      <c r="H870" s="13" t="e">
        <f t="shared" si="104"/>
        <v>#N/A</v>
      </c>
      <c r="I870" t="e">
        <f t="shared" si="105"/>
        <v>#N/A</v>
      </c>
      <c r="J870" t="e">
        <f t="shared" si="100"/>
        <v>#N/A</v>
      </c>
      <c r="K870" s="27" t="e">
        <f t="shared" si="101"/>
        <v>#N/A</v>
      </c>
    </row>
    <row r="871" spans="1:11">
      <c r="A871" s="26">
        <v>821</v>
      </c>
      <c r="B871" s="82" t="e">
        <f t="shared" si="102"/>
        <v>#N/A</v>
      </c>
      <c r="C871" s="58" t="e">
        <f t="shared" si="106"/>
        <v>#N/A</v>
      </c>
      <c r="D871" s="83" t="e">
        <f t="shared" si="103"/>
        <v>#N/A</v>
      </c>
      <c r="E871" t="e">
        <f t="shared" si="99"/>
        <v>#N/A</v>
      </c>
      <c r="G871">
        <v>821</v>
      </c>
      <c r="H871" s="13" t="e">
        <f t="shared" si="104"/>
        <v>#N/A</v>
      </c>
      <c r="I871" t="e">
        <f t="shared" si="105"/>
        <v>#N/A</v>
      </c>
      <c r="J871" t="e">
        <f t="shared" si="100"/>
        <v>#N/A</v>
      </c>
      <c r="K871" s="27" t="e">
        <f t="shared" si="101"/>
        <v>#N/A</v>
      </c>
    </row>
    <row r="872" spans="1:11">
      <c r="A872" s="26">
        <v>822</v>
      </c>
      <c r="B872" s="82" t="e">
        <f t="shared" si="102"/>
        <v>#N/A</v>
      </c>
      <c r="C872" s="58" t="e">
        <f t="shared" si="106"/>
        <v>#N/A</v>
      </c>
      <c r="D872" s="83" t="e">
        <f t="shared" si="103"/>
        <v>#N/A</v>
      </c>
      <c r="E872" t="e">
        <f t="shared" si="99"/>
        <v>#N/A</v>
      </c>
      <c r="G872">
        <v>822</v>
      </c>
      <c r="H872" s="13" t="e">
        <f t="shared" si="104"/>
        <v>#N/A</v>
      </c>
      <c r="I872" t="e">
        <f t="shared" si="105"/>
        <v>#N/A</v>
      </c>
      <c r="J872" t="e">
        <f t="shared" si="100"/>
        <v>#N/A</v>
      </c>
      <c r="K872" s="27" t="e">
        <f t="shared" si="101"/>
        <v>#N/A</v>
      </c>
    </row>
    <row r="873" spans="1:11">
      <c r="A873" s="26">
        <v>823</v>
      </c>
      <c r="B873" s="82" t="e">
        <f t="shared" si="102"/>
        <v>#N/A</v>
      </c>
      <c r="C873" s="58" t="e">
        <f t="shared" si="106"/>
        <v>#N/A</v>
      </c>
      <c r="D873" s="83" t="e">
        <f t="shared" si="103"/>
        <v>#N/A</v>
      </c>
      <c r="E873" t="e">
        <f t="shared" si="99"/>
        <v>#N/A</v>
      </c>
      <c r="G873">
        <v>823</v>
      </c>
      <c r="H873" s="13" t="e">
        <f t="shared" si="104"/>
        <v>#N/A</v>
      </c>
      <c r="I873" t="e">
        <f t="shared" si="105"/>
        <v>#N/A</v>
      </c>
      <c r="J873" t="e">
        <f t="shared" si="100"/>
        <v>#N/A</v>
      </c>
      <c r="K873" s="27" t="e">
        <f t="shared" si="101"/>
        <v>#N/A</v>
      </c>
    </row>
    <row r="874" spans="1:11">
      <c r="A874" s="26">
        <v>824</v>
      </c>
      <c r="B874" s="82" t="e">
        <f t="shared" si="102"/>
        <v>#N/A</v>
      </c>
      <c r="C874" s="58" t="e">
        <f t="shared" si="106"/>
        <v>#N/A</v>
      </c>
      <c r="D874" s="83" t="e">
        <f t="shared" si="103"/>
        <v>#N/A</v>
      </c>
      <c r="E874" t="e">
        <f t="shared" si="99"/>
        <v>#N/A</v>
      </c>
      <c r="G874">
        <v>824</v>
      </c>
      <c r="H874" s="13" t="e">
        <f t="shared" si="104"/>
        <v>#N/A</v>
      </c>
      <c r="I874" t="e">
        <f t="shared" si="105"/>
        <v>#N/A</v>
      </c>
      <c r="J874" t="e">
        <f t="shared" si="100"/>
        <v>#N/A</v>
      </c>
      <c r="K874" s="27" t="e">
        <f t="shared" si="101"/>
        <v>#N/A</v>
      </c>
    </row>
    <row r="875" spans="1:11">
      <c r="A875" s="26">
        <v>825</v>
      </c>
      <c r="B875" s="82" t="e">
        <f t="shared" si="102"/>
        <v>#N/A</v>
      </c>
      <c r="C875" s="58" t="e">
        <f t="shared" si="106"/>
        <v>#N/A</v>
      </c>
      <c r="D875" s="83" t="e">
        <f t="shared" si="103"/>
        <v>#N/A</v>
      </c>
      <c r="E875" t="e">
        <f t="shared" si="99"/>
        <v>#N/A</v>
      </c>
      <c r="G875">
        <v>825</v>
      </c>
      <c r="H875" s="13" t="e">
        <f t="shared" si="104"/>
        <v>#N/A</v>
      </c>
      <c r="I875" t="e">
        <f t="shared" si="105"/>
        <v>#N/A</v>
      </c>
      <c r="J875" t="e">
        <f t="shared" si="100"/>
        <v>#N/A</v>
      </c>
      <c r="K875" s="27" t="e">
        <f t="shared" si="101"/>
        <v>#N/A</v>
      </c>
    </row>
    <row r="876" spans="1:11">
      <c r="A876" s="26">
        <v>826</v>
      </c>
      <c r="B876" s="82" t="e">
        <f t="shared" si="102"/>
        <v>#N/A</v>
      </c>
      <c r="C876" s="58" t="e">
        <f t="shared" si="106"/>
        <v>#N/A</v>
      </c>
      <c r="D876" s="83" t="e">
        <f t="shared" si="103"/>
        <v>#N/A</v>
      </c>
      <c r="E876" t="e">
        <f t="shared" si="99"/>
        <v>#N/A</v>
      </c>
      <c r="G876">
        <v>826</v>
      </c>
      <c r="H876" s="13" t="e">
        <f t="shared" si="104"/>
        <v>#N/A</v>
      </c>
      <c r="I876" t="e">
        <f t="shared" si="105"/>
        <v>#N/A</v>
      </c>
      <c r="J876" t="e">
        <f t="shared" si="100"/>
        <v>#N/A</v>
      </c>
      <c r="K876" s="27" t="e">
        <f t="shared" si="101"/>
        <v>#N/A</v>
      </c>
    </row>
    <row r="877" spans="1:11">
      <c r="A877" s="26">
        <v>827</v>
      </c>
      <c r="B877" s="82" t="e">
        <f t="shared" si="102"/>
        <v>#N/A</v>
      </c>
      <c r="C877" s="58" t="e">
        <f t="shared" si="106"/>
        <v>#N/A</v>
      </c>
      <c r="D877" s="83" t="e">
        <f t="shared" si="103"/>
        <v>#N/A</v>
      </c>
      <c r="E877" t="e">
        <f t="shared" si="99"/>
        <v>#N/A</v>
      </c>
      <c r="G877">
        <v>827</v>
      </c>
      <c r="H877" s="13" t="e">
        <f t="shared" si="104"/>
        <v>#N/A</v>
      </c>
      <c r="I877" t="e">
        <f t="shared" si="105"/>
        <v>#N/A</v>
      </c>
      <c r="J877" t="e">
        <f t="shared" si="100"/>
        <v>#N/A</v>
      </c>
      <c r="K877" s="27" t="e">
        <f t="shared" si="101"/>
        <v>#N/A</v>
      </c>
    </row>
    <row r="878" spans="1:11">
      <c r="A878" s="26">
        <v>828</v>
      </c>
      <c r="B878" s="82" t="e">
        <f t="shared" si="102"/>
        <v>#N/A</v>
      </c>
      <c r="C878" s="58" t="e">
        <f t="shared" si="106"/>
        <v>#N/A</v>
      </c>
      <c r="D878" s="83" t="e">
        <f t="shared" si="103"/>
        <v>#N/A</v>
      </c>
      <c r="E878" t="e">
        <f t="shared" si="99"/>
        <v>#N/A</v>
      </c>
      <c r="G878">
        <v>828</v>
      </c>
      <c r="H878" s="13" t="e">
        <f t="shared" si="104"/>
        <v>#N/A</v>
      </c>
      <c r="I878" t="e">
        <f t="shared" si="105"/>
        <v>#N/A</v>
      </c>
      <c r="J878" t="e">
        <f t="shared" si="100"/>
        <v>#N/A</v>
      </c>
      <c r="K878" s="27" t="e">
        <f t="shared" si="101"/>
        <v>#N/A</v>
      </c>
    </row>
    <row r="879" spans="1:11">
      <c r="A879" s="26">
        <v>829</v>
      </c>
      <c r="B879" s="82" t="e">
        <f t="shared" si="102"/>
        <v>#N/A</v>
      </c>
      <c r="C879" s="58" t="e">
        <f t="shared" si="106"/>
        <v>#N/A</v>
      </c>
      <c r="D879" s="83" t="e">
        <f t="shared" si="103"/>
        <v>#N/A</v>
      </c>
      <c r="E879" t="e">
        <f t="shared" si="99"/>
        <v>#N/A</v>
      </c>
      <c r="G879">
        <v>829</v>
      </c>
      <c r="H879" s="13" t="e">
        <f t="shared" si="104"/>
        <v>#N/A</v>
      </c>
      <c r="I879" t="e">
        <f t="shared" si="105"/>
        <v>#N/A</v>
      </c>
      <c r="J879" t="e">
        <f t="shared" si="100"/>
        <v>#N/A</v>
      </c>
      <c r="K879" s="27" t="e">
        <f t="shared" si="101"/>
        <v>#N/A</v>
      </c>
    </row>
    <row r="880" spans="1:11">
      <c r="A880" s="26">
        <v>830</v>
      </c>
      <c r="B880" s="82" t="e">
        <f t="shared" si="102"/>
        <v>#N/A</v>
      </c>
      <c r="C880" s="58" t="e">
        <f t="shared" si="106"/>
        <v>#N/A</v>
      </c>
      <c r="D880" s="83" t="e">
        <f t="shared" si="103"/>
        <v>#N/A</v>
      </c>
      <c r="E880" t="e">
        <f t="shared" si="99"/>
        <v>#N/A</v>
      </c>
      <c r="G880">
        <v>830</v>
      </c>
      <c r="H880" s="13" t="e">
        <f t="shared" si="104"/>
        <v>#N/A</v>
      </c>
      <c r="I880" t="e">
        <f t="shared" si="105"/>
        <v>#N/A</v>
      </c>
      <c r="J880" t="e">
        <f t="shared" si="100"/>
        <v>#N/A</v>
      </c>
      <c r="K880" s="27" t="e">
        <f t="shared" si="101"/>
        <v>#N/A</v>
      </c>
    </row>
    <row r="881" spans="1:11">
      <c r="A881" s="26">
        <v>831</v>
      </c>
      <c r="B881" s="82" t="e">
        <f t="shared" si="102"/>
        <v>#N/A</v>
      </c>
      <c r="C881" s="58" t="e">
        <f t="shared" si="106"/>
        <v>#N/A</v>
      </c>
      <c r="D881" s="83" t="e">
        <f t="shared" si="103"/>
        <v>#N/A</v>
      </c>
      <c r="E881" t="e">
        <f t="shared" si="99"/>
        <v>#N/A</v>
      </c>
      <c r="G881">
        <v>831</v>
      </c>
      <c r="H881" s="13" t="e">
        <f t="shared" si="104"/>
        <v>#N/A</v>
      </c>
      <c r="I881" t="e">
        <f t="shared" si="105"/>
        <v>#N/A</v>
      </c>
      <c r="J881" t="e">
        <f t="shared" si="100"/>
        <v>#N/A</v>
      </c>
      <c r="K881" s="27" t="e">
        <f t="shared" si="101"/>
        <v>#N/A</v>
      </c>
    </row>
    <row r="882" spans="1:11">
      <c r="A882" s="26">
        <v>832</v>
      </c>
      <c r="B882" s="82" t="e">
        <f t="shared" si="102"/>
        <v>#N/A</v>
      </c>
      <c r="C882" s="58" t="e">
        <f t="shared" si="106"/>
        <v>#N/A</v>
      </c>
      <c r="D882" s="83" t="e">
        <f t="shared" si="103"/>
        <v>#N/A</v>
      </c>
      <c r="E882" t="e">
        <f t="shared" si="99"/>
        <v>#N/A</v>
      </c>
      <c r="G882">
        <v>832</v>
      </c>
      <c r="H882" s="13" t="e">
        <f t="shared" si="104"/>
        <v>#N/A</v>
      </c>
      <c r="I882" t="e">
        <f t="shared" si="105"/>
        <v>#N/A</v>
      </c>
      <c r="J882" t="e">
        <f t="shared" si="100"/>
        <v>#N/A</v>
      </c>
      <c r="K882" s="27" t="e">
        <f t="shared" si="101"/>
        <v>#N/A</v>
      </c>
    </row>
    <row r="883" spans="1:11">
      <c r="A883" s="26">
        <v>833</v>
      </c>
      <c r="B883" s="82" t="e">
        <f t="shared" si="102"/>
        <v>#N/A</v>
      </c>
      <c r="C883" s="58" t="e">
        <f t="shared" si="106"/>
        <v>#N/A</v>
      </c>
      <c r="D883" s="83" t="e">
        <f t="shared" si="103"/>
        <v>#N/A</v>
      </c>
      <c r="E883" t="e">
        <f t="shared" ref="E883:E946" si="107">((D883^2)+(D883*D884)+(D884^2))*B884/3</f>
        <v>#N/A</v>
      </c>
      <c r="G883">
        <v>833</v>
      </c>
      <c r="H883" s="13" t="e">
        <f t="shared" si="104"/>
        <v>#N/A</v>
      </c>
      <c r="I883" t="e">
        <f t="shared" si="105"/>
        <v>#N/A</v>
      </c>
      <c r="J883" t="e">
        <f t="shared" ref="J883:J946" si="108">IF($G$28&lt;$C$14,0,((($C$11^2)-((I883-$C$13)^2))^0.5)+$C$16)</f>
        <v>#N/A</v>
      </c>
      <c r="K883" s="27" t="e">
        <f t="shared" ref="K883:K946" si="109">((J883^2)+(J883*J884)+(J884^2))*H884/3</f>
        <v>#N/A</v>
      </c>
    </row>
    <row r="884" spans="1:11">
      <c r="A884" s="26">
        <v>834</v>
      </c>
      <c r="B884" s="82" t="e">
        <f t="shared" ref="B884:B947" si="110">C884-C883</f>
        <v>#N/A</v>
      </c>
      <c r="C884" s="58" t="e">
        <f t="shared" si="106"/>
        <v>#N/A</v>
      </c>
      <c r="D884" s="83" t="e">
        <f t="shared" ref="D884:D947" si="111">IF($G$28&lt;$C$14,0,((($C$11^2)-((C884-$C$13)^2))^0.5)+$C$16)</f>
        <v>#N/A</v>
      </c>
      <c r="E884" t="e">
        <f t="shared" si="107"/>
        <v>#N/A</v>
      </c>
      <c r="G884">
        <v>834</v>
      </c>
      <c r="H884" s="13" t="e">
        <f t="shared" ref="H884:H947" si="112">I884-I883</f>
        <v>#N/A</v>
      </c>
      <c r="I884" t="e">
        <f t="shared" ref="I884:I947" si="113">($G$27-$C$14)/2000+I883</f>
        <v>#N/A</v>
      </c>
      <c r="J884" t="e">
        <f t="shared" si="108"/>
        <v>#N/A</v>
      </c>
      <c r="K884" s="27" t="e">
        <f t="shared" si="109"/>
        <v>#N/A</v>
      </c>
    </row>
    <row r="885" spans="1:11">
      <c r="A885" s="26">
        <v>835</v>
      </c>
      <c r="B885" s="82" t="e">
        <f t="shared" si="110"/>
        <v>#N/A</v>
      </c>
      <c r="C885" s="58" t="e">
        <f t="shared" si="106"/>
        <v>#N/A</v>
      </c>
      <c r="D885" s="83" t="e">
        <f t="shared" si="111"/>
        <v>#N/A</v>
      </c>
      <c r="E885" t="e">
        <f t="shared" si="107"/>
        <v>#N/A</v>
      </c>
      <c r="G885">
        <v>835</v>
      </c>
      <c r="H885" s="13" t="e">
        <f t="shared" si="112"/>
        <v>#N/A</v>
      </c>
      <c r="I885" t="e">
        <f t="shared" si="113"/>
        <v>#N/A</v>
      </c>
      <c r="J885" t="e">
        <f t="shared" si="108"/>
        <v>#N/A</v>
      </c>
      <c r="K885" s="27" t="e">
        <f t="shared" si="109"/>
        <v>#N/A</v>
      </c>
    </row>
    <row r="886" spans="1:11">
      <c r="A886" s="26">
        <v>836</v>
      </c>
      <c r="B886" s="82" t="e">
        <f t="shared" si="110"/>
        <v>#N/A</v>
      </c>
      <c r="C886" s="58" t="e">
        <f t="shared" si="106"/>
        <v>#N/A</v>
      </c>
      <c r="D886" s="83" t="e">
        <f t="shared" si="111"/>
        <v>#N/A</v>
      </c>
      <c r="E886" t="e">
        <f t="shared" si="107"/>
        <v>#N/A</v>
      </c>
      <c r="G886">
        <v>836</v>
      </c>
      <c r="H886" s="13" t="e">
        <f t="shared" si="112"/>
        <v>#N/A</v>
      </c>
      <c r="I886" t="e">
        <f t="shared" si="113"/>
        <v>#N/A</v>
      </c>
      <c r="J886" t="e">
        <f t="shared" si="108"/>
        <v>#N/A</v>
      </c>
      <c r="K886" s="27" t="e">
        <f t="shared" si="109"/>
        <v>#N/A</v>
      </c>
    </row>
    <row r="887" spans="1:11">
      <c r="A887" s="26">
        <v>837</v>
      </c>
      <c r="B887" s="82" t="e">
        <f t="shared" si="110"/>
        <v>#N/A</v>
      </c>
      <c r="C887" s="58" t="e">
        <f t="shared" si="106"/>
        <v>#N/A</v>
      </c>
      <c r="D887" s="83" t="e">
        <f t="shared" si="111"/>
        <v>#N/A</v>
      </c>
      <c r="E887" t="e">
        <f t="shared" si="107"/>
        <v>#N/A</v>
      </c>
      <c r="G887">
        <v>837</v>
      </c>
      <c r="H887" s="13" t="e">
        <f t="shared" si="112"/>
        <v>#N/A</v>
      </c>
      <c r="I887" t="e">
        <f t="shared" si="113"/>
        <v>#N/A</v>
      </c>
      <c r="J887" t="e">
        <f t="shared" si="108"/>
        <v>#N/A</v>
      </c>
      <c r="K887" s="27" t="e">
        <f t="shared" si="109"/>
        <v>#N/A</v>
      </c>
    </row>
    <row r="888" spans="1:11">
      <c r="A888" s="26">
        <v>838</v>
      </c>
      <c r="B888" s="82" t="e">
        <f t="shared" si="110"/>
        <v>#N/A</v>
      </c>
      <c r="C888" s="58" t="e">
        <f t="shared" si="106"/>
        <v>#N/A</v>
      </c>
      <c r="D888" s="83" t="e">
        <f t="shared" si="111"/>
        <v>#N/A</v>
      </c>
      <c r="E888" t="e">
        <f t="shared" si="107"/>
        <v>#N/A</v>
      </c>
      <c r="G888">
        <v>838</v>
      </c>
      <c r="H888" s="13" t="e">
        <f t="shared" si="112"/>
        <v>#N/A</v>
      </c>
      <c r="I888" t="e">
        <f t="shared" si="113"/>
        <v>#N/A</v>
      </c>
      <c r="J888" t="e">
        <f t="shared" si="108"/>
        <v>#N/A</v>
      </c>
      <c r="K888" s="27" t="e">
        <f t="shared" si="109"/>
        <v>#N/A</v>
      </c>
    </row>
    <row r="889" spans="1:11">
      <c r="A889" s="26">
        <v>839</v>
      </c>
      <c r="B889" s="82" t="e">
        <f t="shared" si="110"/>
        <v>#N/A</v>
      </c>
      <c r="C889" s="58" t="e">
        <f t="shared" si="106"/>
        <v>#N/A</v>
      </c>
      <c r="D889" s="83" t="e">
        <f t="shared" si="111"/>
        <v>#N/A</v>
      </c>
      <c r="E889" t="e">
        <f t="shared" si="107"/>
        <v>#N/A</v>
      </c>
      <c r="G889">
        <v>839</v>
      </c>
      <c r="H889" s="13" t="e">
        <f t="shared" si="112"/>
        <v>#N/A</v>
      </c>
      <c r="I889" t="e">
        <f t="shared" si="113"/>
        <v>#N/A</v>
      </c>
      <c r="J889" t="e">
        <f t="shared" si="108"/>
        <v>#N/A</v>
      </c>
      <c r="K889" s="27" t="e">
        <f t="shared" si="109"/>
        <v>#N/A</v>
      </c>
    </row>
    <row r="890" spans="1:11">
      <c r="A890" s="26">
        <v>840</v>
      </c>
      <c r="B890" s="82" t="e">
        <f t="shared" si="110"/>
        <v>#N/A</v>
      </c>
      <c r="C890" s="58" t="e">
        <f t="shared" si="106"/>
        <v>#N/A</v>
      </c>
      <c r="D890" s="83" t="e">
        <f t="shared" si="111"/>
        <v>#N/A</v>
      </c>
      <c r="E890" t="e">
        <f t="shared" si="107"/>
        <v>#N/A</v>
      </c>
      <c r="G890">
        <v>840</v>
      </c>
      <c r="H890" s="13" t="e">
        <f t="shared" si="112"/>
        <v>#N/A</v>
      </c>
      <c r="I890" t="e">
        <f t="shared" si="113"/>
        <v>#N/A</v>
      </c>
      <c r="J890" t="e">
        <f t="shared" si="108"/>
        <v>#N/A</v>
      </c>
      <c r="K890" s="27" t="e">
        <f t="shared" si="109"/>
        <v>#N/A</v>
      </c>
    </row>
    <row r="891" spans="1:11">
      <c r="A891" s="26">
        <v>841</v>
      </c>
      <c r="B891" s="82" t="e">
        <f t="shared" si="110"/>
        <v>#N/A</v>
      </c>
      <c r="C891" s="58" t="e">
        <f t="shared" si="106"/>
        <v>#N/A</v>
      </c>
      <c r="D891" s="83" t="e">
        <f t="shared" si="111"/>
        <v>#N/A</v>
      </c>
      <c r="E891" t="e">
        <f t="shared" si="107"/>
        <v>#N/A</v>
      </c>
      <c r="G891">
        <v>841</v>
      </c>
      <c r="H891" s="13" t="e">
        <f t="shared" si="112"/>
        <v>#N/A</v>
      </c>
      <c r="I891" t="e">
        <f t="shared" si="113"/>
        <v>#N/A</v>
      </c>
      <c r="J891" t="e">
        <f t="shared" si="108"/>
        <v>#N/A</v>
      </c>
      <c r="K891" s="27" t="e">
        <f t="shared" si="109"/>
        <v>#N/A</v>
      </c>
    </row>
    <row r="892" spans="1:11">
      <c r="A892" s="26">
        <v>842</v>
      </c>
      <c r="B892" s="82" t="e">
        <f t="shared" si="110"/>
        <v>#N/A</v>
      </c>
      <c r="C892" s="58" t="e">
        <f t="shared" si="106"/>
        <v>#N/A</v>
      </c>
      <c r="D892" s="83" t="e">
        <f t="shared" si="111"/>
        <v>#N/A</v>
      </c>
      <c r="E892" t="e">
        <f t="shared" si="107"/>
        <v>#N/A</v>
      </c>
      <c r="G892">
        <v>842</v>
      </c>
      <c r="H892" s="13" t="e">
        <f t="shared" si="112"/>
        <v>#N/A</v>
      </c>
      <c r="I892" t="e">
        <f t="shared" si="113"/>
        <v>#N/A</v>
      </c>
      <c r="J892" t="e">
        <f t="shared" si="108"/>
        <v>#N/A</v>
      </c>
      <c r="K892" s="27" t="e">
        <f t="shared" si="109"/>
        <v>#N/A</v>
      </c>
    </row>
    <row r="893" spans="1:11">
      <c r="A893" s="26">
        <v>843</v>
      </c>
      <c r="B893" s="82" t="e">
        <f t="shared" si="110"/>
        <v>#N/A</v>
      </c>
      <c r="C893" s="58" t="e">
        <f t="shared" si="106"/>
        <v>#N/A</v>
      </c>
      <c r="D893" s="83" t="e">
        <f t="shared" si="111"/>
        <v>#N/A</v>
      </c>
      <c r="E893" t="e">
        <f t="shared" si="107"/>
        <v>#N/A</v>
      </c>
      <c r="G893">
        <v>843</v>
      </c>
      <c r="H893" s="13" t="e">
        <f t="shared" si="112"/>
        <v>#N/A</v>
      </c>
      <c r="I893" t="e">
        <f t="shared" si="113"/>
        <v>#N/A</v>
      </c>
      <c r="J893" t="e">
        <f t="shared" si="108"/>
        <v>#N/A</v>
      </c>
      <c r="K893" s="27" t="e">
        <f t="shared" si="109"/>
        <v>#N/A</v>
      </c>
    </row>
    <row r="894" spans="1:11">
      <c r="A894" s="26">
        <v>844</v>
      </c>
      <c r="B894" s="82" t="e">
        <f t="shared" si="110"/>
        <v>#N/A</v>
      </c>
      <c r="C894" s="58" t="e">
        <f t="shared" si="106"/>
        <v>#N/A</v>
      </c>
      <c r="D894" s="83" t="e">
        <f t="shared" si="111"/>
        <v>#N/A</v>
      </c>
      <c r="E894" t="e">
        <f t="shared" si="107"/>
        <v>#N/A</v>
      </c>
      <c r="G894">
        <v>844</v>
      </c>
      <c r="H894" s="13" t="e">
        <f t="shared" si="112"/>
        <v>#N/A</v>
      </c>
      <c r="I894" t="e">
        <f t="shared" si="113"/>
        <v>#N/A</v>
      </c>
      <c r="J894" t="e">
        <f t="shared" si="108"/>
        <v>#N/A</v>
      </c>
      <c r="K894" s="27" t="e">
        <f t="shared" si="109"/>
        <v>#N/A</v>
      </c>
    </row>
    <row r="895" spans="1:11">
      <c r="A895" s="26">
        <v>845</v>
      </c>
      <c r="B895" s="82" t="e">
        <f t="shared" si="110"/>
        <v>#N/A</v>
      </c>
      <c r="C895" s="58" t="e">
        <f t="shared" si="106"/>
        <v>#N/A</v>
      </c>
      <c r="D895" s="83" t="e">
        <f t="shared" si="111"/>
        <v>#N/A</v>
      </c>
      <c r="E895" t="e">
        <f t="shared" si="107"/>
        <v>#N/A</v>
      </c>
      <c r="G895">
        <v>845</v>
      </c>
      <c r="H895" s="13" t="e">
        <f t="shared" si="112"/>
        <v>#N/A</v>
      </c>
      <c r="I895" t="e">
        <f t="shared" si="113"/>
        <v>#N/A</v>
      </c>
      <c r="J895" t="e">
        <f t="shared" si="108"/>
        <v>#N/A</v>
      </c>
      <c r="K895" s="27" t="e">
        <f t="shared" si="109"/>
        <v>#N/A</v>
      </c>
    </row>
    <row r="896" spans="1:11">
      <c r="A896" s="26">
        <v>846</v>
      </c>
      <c r="B896" s="82" t="e">
        <f t="shared" si="110"/>
        <v>#N/A</v>
      </c>
      <c r="C896" s="58" t="e">
        <f t="shared" si="106"/>
        <v>#N/A</v>
      </c>
      <c r="D896" s="83" t="e">
        <f t="shared" si="111"/>
        <v>#N/A</v>
      </c>
      <c r="E896" t="e">
        <f t="shared" si="107"/>
        <v>#N/A</v>
      </c>
      <c r="G896">
        <v>846</v>
      </c>
      <c r="H896" s="13" t="e">
        <f t="shared" si="112"/>
        <v>#N/A</v>
      </c>
      <c r="I896" t="e">
        <f t="shared" si="113"/>
        <v>#N/A</v>
      </c>
      <c r="J896" t="e">
        <f t="shared" si="108"/>
        <v>#N/A</v>
      </c>
      <c r="K896" s="27" t="e">
        <f t="shared" si="109"/>
        <v>#N/A</v>
      </c>
    </row>
    <row r="897" spans="1:11">
      <c r="A897" s="26">
        <v>847</v>
      </c>
      <c r="B897" s="82" t="e">
        <f t="shared" si="110"/>
        <v>#N/A</v>
      </c>
      <c r="C897" s="58" t="e">
        <f t="shared" si="106"/>
        <v>#N/A</v>
      </c>
      <c r="D897" s="83" t="e">
        <f t="shared" si="111"/>
        <v>#N/A</v>
      </c>
      <c r="E897" t="e">
        <f t="shared" si="107"/>
        <v>#N/A</v>
      </c>
      <c r="G897">
        <v>847</v>
      </c>
      <c r="H897" s="13" t="e">
        <f t="shared" si="112"/>
        <v>#N/A</v>
      </c>
      <c r="I897" t="e">
        <f t="shared" si="113"/>
        <v>#N/A</v>
      </c>
      <c r="J897" t="e">
        <f t="shared" si="108"/>
        <v>#N/A</v>
      </c>
      <c r="K897" s="27" t="e">
        <f t="shared" si="109"/>
        <v>#N/A</v>
      </c>
    </row>
    <row r="898" spans="1:11">
      <c r="A898" s="26">
        <v>848</v>
      </c>
      <c r="B898" s="82" t="e">
        <f t="shared" si="110"/>
        <v>#N/A</v>
      </c>
      <c r="C898" s="58" t="e">
        <f t="shared" si="106"/>
        <v>#N/A</v>
      </c>
      <c r="D898" s="83" t="e">
        <f t="shared" si="111"/>
        <v>#N/A</v>
      </c>
      <c r="E898" t="e">
        <f t="shared" si="107"/>
        <v>#N/A</v>
      </c>
      <c r="G898">
        <v>848</v>
      </c>
      <c r="H898" s="13" t="e">
        <f t="shared" si="112"/>
        <v>#N/A</v>
      </c>
      <c r="I898" t="e">
        <f t="shared" si="113"/>
        <v>#N/A</v>
      </c>
      <c r="J898" t="e">
        <f t="shared" si="108"/>
        <v>#N/A</v>
      </c>
      <c r="K898" s="27" t="e">
        <f t="shared" si="109"/>
        <v>#N/A</v>
      </c>
    </row>
    <row r="899" spans="1:11">
      <c r="A899" s="26">
        <v>849</v>
      </c>
      <c r="B899" s="82" t="e">
        <f t="shared" si="110"/>
        <v>#N/A</v>
      </c>
      <c r="C899" s="58" t="e">
        <f t="shared" si="106"/>
        <v>#N/A</v>
      </c>
      <c r="D899" s="83" t="e">
        <f t="shared" si="111"/>
        <v>#N/A</v>
      </c>
      <c r="E899" t="e">
        <f t="shared" si="107"/>
        <v>#N/A</v>
      </c>
      <c r="G899">
        <v>849</v>
      </c>
      <c r="H899" s="13" t="e">
        <f t="shared" si="112"/>
        <v>#N/A</v>
      </c>
      <c r="I899" t="e">
        <f t="shared" si="113"/>
        <v>#N/A</v>
      </c>
      <c r="J899" t="e">
        <f t="shared" si="108"/>
        <v>#N/A</v>
      </c>
      <c r="K899" s="27" t="e">
        <f t="shared" si="109"/>
        <v>#N/A</v>
      </c>
    </row>
    <row r="900" spans="1:11">
      <c r="A900" s="26">
        <v>850</v>
      </c>
      <c r="B900" s="82" t="e">
        <f t="shared" si="110"/>
        <v>#N/A</v>
      </c>
      <c r="C900" s="58" t="e">
        <f t="shared" si="106"/>
        <v>#N/A</v>
      </c>
      <c r="D900" s="83" t="e">
        <f t="shared" si="111"/>
        <v>#N/A</v>
      </c>
      <c r="E900" t="e">
        <f t="shared" si="107"/>
        <v>#N/A</v>
      </c>
      <c r="G900">
        <v>850</v>
      </c>
      <c r="H900" s="13" t="e">
        <f t="shared" si="112"/>
        <v>#N/A</v>
      </c>
      <c r="I900" t="e">
        <f t="shared" si="113"/>
        <v>#N/A</v>
      </c>
      <c r="J900" t="e">
        <f t="shared" si="108"/>
        <v>#N/A</v>
      </c>
      <c r="K900" s="27" t="e">
        <f t="shared" si="109"/>
        <v>#N/A</v>
      </c>
    </row>
    <row r="901" spans="1:11">
      <c r="A901" s="26">
        <v>851</v>
      </c>
      <c r="B901" s="82" t="e">
        <f t="shared" si="110"/>
        <v>#N/A</v>
      </c>
      <c r="C901" s="58" t="e">
        <f t="shared" si="106"/>
        <v>#N/A</v>
      </c>
      <c r="D901" s="83" t="e">
        <f t="shared" si="111"/>
        <v>#N/A</v>
      </c>
      <c r="E901" t="e">
        <f t="shared" si="107"/>
        <v>#N/A</v>
      </c>
      <c r="G901">
        <v>851</v>
      </c>
      <c r="H901" s="13" t="e">
        <f t="shared" si="112"/>
        <v>#N/A</v>
      </c>
      <c r="I901" t="e">
        <f t="shared" si="113"/>
        <v>#N/A</v>
      </c>
      <c r="J901" t="e">
        <f t="shared" si="108"/>
        <v>#N/A</v>
      </c>
      <c r="K901" s="27" t="e">
        <f t="shared" si="109"/>
        <v>#N/A</v>
      </c>
    </row>
    <row r="902" spans="1:11">
      <c r="A902" s="26">
        <v>852</v>
      </c>
      <c r="B902" s="82" t="e">
        <f t="shared" si="110"/>
        <v>#N/A</v>
      </c>
      <c r="C902" s="58" t="e">
        <f t="shared" si="106"/>
        <v>#N/A</v>
      </c>
      <c r="D902" s="83" t="e">
        <f t="shared" si="111"/>
        <v>#N/A</v>
      </c>
      <c r="E902" t="e">
        <f t="shared" si="107"/>
        <v>#N/A</v>
      </c>
      <c r="G902">
        <v>852</v>
      </c>
      <c r="H902" s="13" t="e">
        <f t="shared" si="112"/>
        <v>#N/A</v>
      </c>
      <c r="I902" t="e">
        <f t="shared" si="113"/>
        <v>#N/A</v>
      </c>
      <c r="J902" t="e">
        <f t="shared" si="108"/>
        <v>#N/A</v>
      </c>
      <c r="K902" s="27" t="e">
        <f t="shared" si="109"/>
        <v>#N/A</v>
      </c>
    </row>
    <row r="903" spans="1:11">
      <c r="A903" s="26">
        <v>853</v>
      </c>
      <c r="B903" s="82" t="e">
        <f t="shared" si="110"/>
        <v>#N/A</v>
      </c>
      <c r="C903" s="58" t="e">
        <f t="shared" si="106"/>
        <v>#N/A</v>
      </c>
      <c r="D903" s="83" t="e">
        <f t="shared" si="111"/>
        <v>#N/A</v>
      </c>
      <c r="E903" t="e">
        <f t="shared" si="107"/>
        <v>#N/A</v>
      </c>
      <c r="G903">
        <v>853</v>
      </c>
      <c r="H903" s="13" t="e">
        <f t="shared" si="112"/>
        <v>#N/A</v>
      </c>
      <c r="I903" t="e">
        <f t="shared" si="113"/>
        <v>#N/A</v>
      </c>
      <c r="J903" t="e">
        <f t="shared" si="108"/>
        <v>#N/A</v>
      </c>
      <c r="K903" s="27" t="e">
        <f t="shared" si="109"/>
        <v>#N/A</v>
      </c>
    </row>
    <row r="904" spans="1:11">
      <c r="A904" s="26">
        <v>854</v>
      </c>
      <c r="B904" s="82" t="e">
        <f t="shared" si="110"/>
        <v>#N/A</v>
      </c>
      <c r="C904" s="58" t="e">
        <f t="shared" si="106"/>
        <v>#N/A</v>
      </c>
      <c r="D904" s="83" t="e">
        <f t="shared" si="111"/>
        <v>#N/A</v>
      </c>
      <c r="E904" t="e">
        <f t="shared" si="107"/>
        <v>#N/A</v>
      </c>
      <c r="G904">
        <v>854</v>
      </c>
      <c r="H904" s="13" t="e">
        <f t="shared" si="112"/>
        <v>#N/A</v>
      </c>
      <c r="I904" t="e">
        <f t="shared" si="113"/>
        <v>#N/A</v>
      </c>
      <c r="J904" t="e">
        <f t="shared" si="108"/>
        <v>#N/A</v>
      </c>
      <c r="K904" s="27" t="e">
        <f t="shared" si="109"/>
        <v>#N/A</v>
      </c>
    </row>
    <row r="905" spans="1:11">
      <c r="A905" s="26">
        <v>855</v>
      </c>
      <c r="B905" s="82" t="e">
        <f t="shared" si="110"/>
        <v>#N/A</v>
      </c>
      <c r="C905" s="58" t="e">
        <f t="shared" si="106"/>
        <v>#N/A</v>
      </c>
      <c r="D905" s="83" t="e">
        <f t="shared" si="111"/>
        <v>#N/A</v>
      </c>
      <c r="E905" t="e">
        <f t="shared" si="107"/>
        <v>#N/A</v>
      </c>
      <c r="G905">
        <v>855</v>
      </c>
      <c r="H905" s="13" t="e">
        <f t="shared" si="112"/>
        <v>#N/A</v>
      </c>
      <c r="I905" t="e">
        <f t="shared" si="113"/>
        <v>#N/A</v>
      </c>
      <c r="J905" t="e">
        <f t="shared" si="108"/>
        <v>#N/A</v>
      </c>
      <c r="K905" s="27" t="e">
        <f t="shared" si="109"/>
        <v>#N/A</v>
      </c>
    </row>
    <row r="906" spans="1:11">
      <c r="A906" s="26">
        <v>856</v>
      </c>
      <c r="B906" s="82" t="e">
        <f t="shared" si="110"/>
        <v>#N/A</v>
      </c>
      <c r="C906" s="58" t="e">
        <f t="shared" si="106"/>
        <v>#N/A</v>
      </c>
      <c r="D906" s="83" t="e">
        <f t="shared" si="111"/>
        <v>#N/A</v>
      </c>
      <c r="E906" t="e">
        <f t="shared" si="107"/>
        <v>#N/A</v>
      </c>
      <c r="G906">
        <v>856</v>
      </c>
      <c r="H906" s="13" t="e">
        <f t="shared" si="112"/>
        <v>#N/A</v>
      </c>
      <c r="I906" t="e">
        <f t="shared" si="113"/>
        <v>#N/A</v>
      </c>
      <c r="J906" t="e">
        <f t="shared" si="108"/>
        <v>#N/A</v>
      </c>
      <c r="K906" s="27" t="e">
        <f t="shared" si="109"/>
        <v>#N/A</v>
      </c>
    </row>
    <row r="907" spans="1:11">
      <c r="A907" s="26">
        <v>857</v>
      </c>
      <c r="B907" s="82" t="e">
        <f t="shared" si="110"/>
        <v>#N/A</v>
      </c>
      <c r="C907" s="58" t="e">
        <f t="shared" si="106"/>
        <v>#N/A</v>
      </c>
      <c r="D907" s="83" t="e">
        <f t="shared" si="111"/>
        <v>#N/A</v>
      </c>
      <c r="E907" t="e">
        <f t="shared" si="107"/>
        <v>#N/A</v>
      </c>
      <c r="G907">
        <v>857</v>
      </c>
      <c r="H907" s="13" t="e">
        <f t="shared" si="112"/>
        <v>#N/A</v>
      </c>
      <c r="I907" t="e">
        <f t="shared" si="113"/>
        <v>#N/A</v>
      </c>
      <c r="J907" t="e">
        <f t="shared" si="108"/>
        <v>#N/A</v>
      </c>
      <c r="K907" s="27" t="e">
        <f t="shared" si="109"/>
        <v>#N/A</v>
      </c>
    </row>
    <row r="908" spans="1:11">
      <c r="A908" s="26">
        <v>858</v>
      </c>
      <c r="B908" s="82" t="e">
        <f t="shared" si="110"/>
        <v>#N/A</v>
      </c>
      <c r="C908" s="58" t="e">
        <f t="shared" si="106"/>
        <v>#N/A</v>
      </c>
      <c r="D908" s="83" t="e">
        <f t="shared" si="111"/>
        <v>#N/A</v>
      </c>
      <c r="E908" t="e">
        <f t="shared" si="107"/>
        <v>#N/A</v>
      </c>
      <c r="G908">
        <v>858</v>
      </c>
      <c r="H908" s="13" t="e">
        <f t="shared" si="112"/>
        <v>#N/A</v>
      </c>
      <c r="I908" t="e">
        <f t="shared" si="113"/>
        <v>#N/A</v>
      </c>
      <c r="J908" t="e">
        <f t="shared" si="108"/>
        <v>#N/A</v>
      </c>
      <c r="K908" s="27" t="e">
        <f t="shared" si="109"/>
        <v>#N/A</v>
      </c>
    </row>
    <row r="909" spans="1:11">
      <c r="A909" s="26">
        <v>859</v>
      </c>
      <c r="B909" s="82" t="e">
        <f t="shared" si="110"/>
        <v>#N/A</v>
      </c>
      <c r="C909" s="58" t="e">
        <f t="shared" si="106"/>
        <v>#N/A</v>
      </c>
      <c r="D909" s="83" t="e">
        <f t="shared" si="111"/>
        <v>#N/A</v>
      </c>
      <c r="E909" t="e">
        <f t="shared" si="107"/>
        <v>#N/A</v>
      </c>
      <c r="G909">
        <v>859</v>
      </c>
      <c r="H909" s="13" t="e">
        <f t="shared" si="112"/>
        <v>#N/A</v>
      </c>
      <c r="I909" t="e">
        <f t="shared" si="113"/>
        <v>#N/A</v>
      </c>
      <c r="J909" t="e">
        <f t="shared" si="108"/>
        <v>#N/A</v>
      </c>
      <c r="K909" s="27" t="e">
        <f t="shared" si="109"/>
        <v>#N/A</v>
      </c>
    </row>
    <row r="910" spans="1:11">
      <c r="A910" s="26">
        <v>860</v>
      </c>
      <c r="B910" s="82" t="e">
        <f t="shared" si="110"/>
        <v>#N/A</v>
      </c>
      <c r="C910" s="58" t="e">
        <f t="shared" si="106"/>
        <v>#N/A</v>
      </c>
      <c r="D910" s="83" t="e">
        <f t="shared" si="111"/>
        <v>#N/A</v>
      </c>
      <c r="E910" t="e">
        <f t="shared" si="107"/>
        <v>#N/A</v>
      </c>
      <c r="G910">
        <v>860</v>
      </c>
      <c r="H910" s="13" t="e">
        <f t="shared" si="112"/>
        <v>#N/A</v>
      </c>
      <c r="I910" t="e">
        <f t="shared" si="113"/>
        <v>#N/A</v>
      </c>
      <c r="J910" t="e">
        <f t="shared" si="108"/>
        <v>#N/A</v>
      </c>
      <c r="K910" s="27" t="e">
        <f t="shared" si="109"/>
        <v>#N/A</v>
      </c>
    </row>
    <row r="911" spans="1:11">
      <c r="A911" s="26">
        <v>861</v>
      </c>
      <c r="B911" s="82" t="e">
        <f t="shared" si="110"/>
        <v>#N/A</v>
      </c>
      <c r="C911" s="58" t="e">
        <f t="shared" si="106"/>
        <v>#N/A</v>
      </c>
      <c r="D911" s="83" t="e">
        <f t="shared" si="111"/>
        <v>#N/A</v>
      </c>
      <c r="E911" t="e">
        <f t="shared" si="107"/>
        <v>#N/A</v>
      </c>
      <c r="G911">
        <v>861</v>
      </c>
      <c r="H911" s="13" t="e">
        <f t="shared" si="112"/>
        <v>#N/A</v>
      </c>
      <c r="I911" t="e">
        <f t="shared" si="113"/>
        <v>#N/A</v>
      </c>
      <c r="J911" t="e">
        <f t="shared" si="108"/>
        <v>#N/A</v>
      </c>
      <c r="K911" s="27" t="e">
        <f t="shared" si="109"/>
        <v>#N/A</v>
      </c>
    </row>
    <row r="912" spans="1:11">
      <c r="A912" s="26">
        <v>862</v>
      </c>
      <c r="B912" s="82" t="e">
        <f t="shared" si="110"/>
        <v>#N/A</v>
      </c>
      <c r="C912" s="58" t="e">
        <f t="shared" ref="C912:C975" si="114">($C$37-$C$36)/2000+C911</f>
        <v>#N/A</v>
      </c>
      <c r="D912" s="83" t="e">
        <f t="shared" si="111"/>
        <v>#N/A</v>
      </c>
      <c r="E912" t="e">
        <f t="shared" si="107"/>
        <v>#N/A</v>
      </c>
      <c r="G912">
        <v>862</v>
      </c>
      <c r="H912" s="13" t="e">
        <f t="shared" si="112"/>
        <v>#N/A</v>
      </c>
      <c r="I912" t="e">
        <f t="shared" si="113"/>
        <v>#N/A</v>
      </c>
      <c r="J912" t="e">
        <f t="shared" si="108"/>
        <v>#N/A</v>
      </c>
      <c r="K912" s="27" t="e">
        <f t="shared" si="109"/>
        <v>#N/A</v>
      </c>
    </row>
    <row r="913" spans="1:11">
      <c r="A913" s="26">
        <v>863</v>
      </c>
      <c r="B913" s="82" t="e">
        <f t="shared" si="110"/>
        <v>#N/A</v>
      </c>
      <c r="C913" s="58" t="e">
        <f t="shared" si="114"/>
        <v>#N/A</v>
      </c>
      <c r="D913" s="83" t="e">
        <f t="shared" si="111"/>
        <v>#N/A</v>
      </c>
      <c r="E913" t="e">
        <f t="shared" si="107"/>
        <v>#N/A</v>
      </c>
      <c r="G913">
        <v>863</v>
      </c>
      <c r="H913" s="13" t="e">
        <f t="shared" si="112"/>
        <v>#N/A</v>
      </c>
      <c r="I913" t="e">
        <f t="shared" si="113"/>
        <v>#N/A</v>
      </c>
      <c r="J913" t="e">
        <f t="shared" si="108"/>
        <v>#N/A</v>
      </c>
      <c r="K913" s="27" t="e">
        <f t="shared" si="109"/>
        <v>#N/A</v>
      </c>
    </row>
    <row r="914" spans="1:11">
      <c r="A914" s="26">
        <v>864</v>
      </c>
      <c r="B914" s="82" t="e">
        <f t="shared" si="110"/>
        <v>#N/A</v>
      </c>
      <c r="C914" s="58" t="e">
        <f t="shared" si="114"/>
        <v>#N/A</v>
      </c>
      <c r="D914" s="83" t="e">
        <f t="shared" si="111"/>
        <v>#N/A</v>
      </c>
      <c r="E914" t="e">
        <f t="shared" si="107"/>
        <v>#N/A</v>
      </c>
      <c r="G914">
        <v>864</v>
      </c>
      <c r="H914" s="13" t="e">
        <f t="shared" si="112"/>
        <v>#N/A</v>
      </c>
      <c r="I914" t="e">
        <f t="shared" si="113"/>
        <v>#N/A</v>
      </c>
      <c r="J914" t="e">
        <f t="shared" si="108"/>
        <v>#N/A</v>
      </c>
      <c r="K914" s="27" t="e">
        <f t="shared" si="109"/>
        <v>#N/A</v>
      </c>
    </row>
    <row r="915" spans="1:11">
      <c r="A915" s="26">
        <v>865</v>
      </c>
      <c r="B915" s="82" t="e">
        <f t="shared" si="110"/>
        <v>#N/A</v>
      </c>
      <c r="C915" s="58" t="e">
        <f t="shared" si="114"/>
        <v>#N/A</v>
      </c>
      <c r="D915" s="83" t="e">
        <f t="shared" si="111"/>
        <v>#N/A</v>
      </c>
      <c r="E915" t="e">
        <f t="shared" si="107"/>
        <v>#N/A</v>
      </c>
      <c r="G915">
        <v>865</v>
      </c>
      <c r="H915" s="13" t="e">
        <f t="shared" si="112"/>
        <v>#N/A</v>
      </c>
      <c r="I915" t="e">
        <f t="shared" si="113"/>
        <v>#N/A</v>
      </c>
      <c r="J915" t="e">
        <f t="shared" si="108"/>
        <v>#N/A</v>
      </c>
      <c r="K915" s="27" t="e">
        <f t="shared" si="109"/>
        <v>#N/A</v>
      </c>
    </row>
    <row r="916" spans="1:11">
      <c r="A916" s="26">
        <v>866</v>
      </c>
      <c r="B916" s="82" t="e">
        <f t="shared" si="110"/>
        <v>#N/A</v>
      </c>
      <c r="C916" s="58" t="e">
        <f t="shared" si="114"/>
        <v>#N/A</v>
      </c>
      <c r="D916" s="83" t="e">
        <f t="shared" si="111"/>
        <v>#N/A</v>
      </c>
      <c r="E916" t="e">
        <f t="shared" si="107"/>
        <v>#N/A</v>
      </c>
      <c r="G916">
        <v>866</v>
      </c>
      <c r="H916" s="13" t="e">
        <f t="shared" si="112"/>
        <v>#N/A</v>
      </c>
      <c r="I916" t="e">
        <f t="shared" si="113"/>
        <v>#N/A</v>
      </c>
      <c r="J916" t="e">
        <f t="shared" si="108"/>
        <v>#N/A</v>
      </c>
      <c r="K916" s="27" t="e">
        <f t="shared" si="109"/>
        <v>#N/A</v>
      </c>
    </row>
    <row r="917" spans="1:11">
      <c r="A917" s="26">
        <v>867</v>
      </c>
      <c r="B917" s="82" t="e">
        <f t="shared" si="110"/>
        <v>#N/A</v>
      </c>
      <c r="C917" s="58" t="e">
        <f t="shared" si="114"/>
        <v>#N/A</v>
      </c>
      <c r="D917" s="83" t="e">
        <f t="shared" si="111"/>
        <v>#N/A</v>
      </c>
      <c r="E917" t="e">
        <f t="shared" si="107"/>
        <v>#N/A</v>
      </c>
      <c r="G917">
        <v>867</v>
      </c>
      <c r="H917" s="13" t="e">
        <f t="shared" si="112"/>
        <v>#N/A</v>
      </c>
      <c r="I917" t="e">
        <f t="shared" si="113"/>
        <v>#N/A</v>
      </c>
      <c r="J917" t="e">
        <f t="shared" si="108"/>
        <v>#N/A</v>
      </c>
      <c r="K917" s="27" t="e">
        <f t="shared" si="109"/>
        <v>#N/A</v>
      </c>
    </row>
    <row r="918" spans="1:11">
      <c r="A918" s="26">
        <v>868</v>
      </c>
      <c r="B918" s="82" t="e">
        <f t="shared" si="110"/>
        <v>#N/A</v>
      </c>
      <c r="C918" s="58" t="e">
        <f t="shared" si="114"/>
        <v>#N/A</v>
      </c>
      <c r="D918" s="83" t="e">
        <f t="shared" si="111"/>
        <v>#N/A</v>
      </c>
      <c r="E918" t="e">
        <f t="shared" si="107"/>
        <v>#N/A</v>
      </c>
      <c r="G918">
        <v>868</v>
      </c>
      <c r="H918" s="13" t="e">
        <f t="shared" si="112"/>
        <v>#N/A</v>
      </c>
      <c r="I918" t="e">
        <f t="shared" si="113"/>
        <v>#N/A</v>
      </c>
      <c r="J918" t="e">
        <f t="shared" si="108"/>
        <v>#N/A</v>
      </c>
      <c r="K918" s="27" t="e">
        <f t="shared" si="109"/>
        <v>#N/A</v>
      </c>
    </row>
    <row r="919" spans="1:11">
      <c r="A919" s="26">
        <v>869</v>
      </c>
      <c r="B919" s="82" t="e">
        <f t="shared" si="110"/>
        <v>#N/A</v>
      </c>
      <c r="C919" s="58" t="e">
        <f t="shared" si="114"/>
        <v>#N/A</v>
      </c>
      <c r="D919" s="83" t="e">
        <f t="shared" si="111"/>
        <v>#N/A</v>
      </c>
      <c r="E919" t="e">
        <f t="shared" si="107"/>
        <v>#N/A</v>
      </c>
      <c r="G919">
        <v>869</v>
      </c>
      <c r="H919" s="13" t="e">
        <f t="shared" si="112"/>
        <v>#N/A</v>
      </c>
      <c r="I919" t="e">
        <f t="shared" si="113"/>
        <v>#N/A</v>
      </c>
      <c r="J919" t="e">
        <f t="shared" si="108"/>
        <v>#N/A</v>
      </c>
      <c r="K919" s="27" t="e">
        <f t="shared" si="109"/>
        <v>#N/A</v>
      </c>
    </row>
    <row r="920" spans="1:11">
      <c r="A920" s="26">
        <v>870</v>
      </c>
      <c r="B920" s="82" t="e">
        <f t="shared" si="110"/>
        <v>#N/A</v>
      </c>
      <c r="C920" s="58" t="e">
        <f t="shared" si="114"/>
        <v>#N/A</v>
      </c>
      <c r="D920" s="83" t="e">
        <f t="shared" si="111"/>
        <v>#N/A</v>
      </c>
      <c r="E920" t="e">
        <f t="shared" si="107"/>
        <v>#N/A</v>
      </c>
      <c r="G920">
        <v>870</v>
      </c>
      <c r="H920" s="13" t="e">
        <f t="shared" si="112"/>
        <v>#N/A</v>
      </c>
      <c r="I920" t="e">
        <f t="shared" si="113"/>
        <v>#N/A</v>
      </c>
      <c r="J920" t="e">
        <f t="shared" si="108"/>
        <v>#N/A</v>
      </c>
      <c r="K920" s="27" t="e">
        <f t="shared" si="109"/>
        <v>#N/A</v>
      </c>
    </row>
    <row r="921" spans="1:11">
      <c r="A921" s="26">
        <v>871</v>
      </c>
      <c r="B921" s="82" t="e">
        <f t="shared" si="110"/>
        <v>#N/A</v>
      </c>
      <c r="C921" s="58" t="e">
        <f t="shared" si="114"/>
        <v>#N/A</v>
      </c>
      <c r="D921" s="83" t="e">
        <f t="shared" si="111"/>
        <v>#N/A</v>
      </c>
      <c r="E921" t="e">
        <f t="shared" si="107"/>
        <v>#N/A</v>
      </c>
      <c r="G921">
        <v>871</v>
      </c>
      <c r="H921" s="13" t="e">
        <f t="shared" si="112"/>
        <v>#N/A</v>
      </c>
      <c r="I921" t="e">
        <f t="shared" si="113"/>
        <v>#N/A</v>
      </c>
      <c r="J921" t="e">
        <f t="shared" si="108"/>
        <v>#N/A</v>
      </c>
      <c r="K921" s="27" t="e">
        <f t="shared" si="109"/>
        <v>#N/A</v>
      </c>
    </row>
    <row r="922" spans="1:11">
      <c r="A922" s="26">
        <v>872</v>
      </c>
      <c r="B922" s="82" t="e">
        <f t="shared" si="110"/>
        <v>#N/A</v>
      </c>
      <c r="C922" s="58" t="e">
        <f t="shared" si="114"/>
        <v>#N/A</v>
      </c>
      <c r="D922" s="83" t="e">
        <f t="shared" si="111"/>
        <v>#N/A</v>
      </c>
      <c r="E922" t="e">
        <f t="shared" si="107"/>
        <v>#N/A</v>
      </c>
      <c r="G922">
        <v>872</v>
      </c>
      <c r="H922" s="13" t="e">
        <f t="shared" si="112"/>
        <v>#N/A</v>
      </c>
      <c r="I922" t="e">
        <f t="shared" si="113"/>
        <v>#N/A</v>
      </c>
      <c r="J922" t="e">
        <f t="shared" si="108"/>
        <v>#N/A</v>
      </c>
      <c r="K922" s="27" t="e">
        <f t="shared" si="109"/>
        <v>#N/A</v>
      </c>
    </row>
    <row r="923" spans="1:11">
      <c r="A923" s="26">
        <v>873</v>
      </c>
      <c r="B923" s="82" t="e">
        <f t="shared" si="110"/>
        <v>#N/A</v>
      </c>
      <c r="C923" s="58" t="e">
        <f t="shared" si="114"/>
        <v>#N/A</v>
      </c>
      <c r="D923" s="83" t="e">
        <f t="shared" si="111"/>
        <v>#N/A</v>
      </c>
      <c r="E923" t="e">
        <f t="shared" si="107"/>
        <v>#N/A</v>
      </c>
      <c r="G923">
        <v>873</v>
      </c>
      <c r="H923" s="13" t="e">
        <f t="shared" si="112"/>
        <v>#N/A</v>
      </c>
      <c r="I923" t="e">
        <f t="shared" si="113"/>
        <v>#N/A</v>
      </c>
      <c r="J923" t="e">
        <f t="shared" si="108"/>
        <v>#N/A</v>
      </c>
      <c r="K923" s="27" t="e">
        <f t="shared" si="109"/>
        <v>#N/A</v>
      </c>
    </row>
    <row r="924" spans="1:11">
      <c r="A924" s="26">
        <v>874</v>
      </c>
      <c r="B924" s="82" t="e">
        <f t="shared" si="110"/>
        <v>#N/A</v>
      </c>
      <c r="C924" s="58" t="e">
        <f t="shared" si="114"/>
        <v>#N/A</v>
      </c>
      <c r="D924" s="83" t="e">
        <f t="shared" si="111"/>
        <v>#N/A</v>
      </c>
      <c r="E924" t="e">
        <f t="shared" si="107"/>
        <v>#N/A</v>
      </c>
      <c r="G924">
        <v>874</v>
      </c>
      <c r="H924" s="13" t="e">
        <f t="shared" si="112"/>
        <v>#N/A</v>
      </c>
      <c r="I924" t="e">
        <f t="shared" si="113"/>
        <v>#N/A</v>
      </c>
      <c r="J924" t="e">
        <f t="shared" si="108"/>
        <v>#N/A</v>
      </c>
      <c r="K924" s="27" t="e">
        <f t="shared" si="109"/>
        <v>#N/A</v>
      </c>
    </row>
    <row r="925" spans="1:11">
      <c r="A925" s="26">
        <v>875</v>
      </c>
      <c r="B925" s="82" t="e">
        <f t="shared" si="110"/>
        <v>#N/A</v>
      </c>
      <c r="C925" s="58" t="e">
        <f t="shared" si="114"/>
        <v>#N/A</v>
      </c>
      <c r="D925" s="83" t="e">
        <f t="shared" si="111"/>
        <v>#N/A</v>
      </c>
      <c r="E925" t="e">
        <f t="shared" si="107"/>
        <v>#N/A</v>
      </c>
      <c r="G925">
        <v>875</v>
      </c>
      <c r="H925" s="13" t="e">
        <f t="shared" si="112"/>
        <v>#N/A</v>
      </c>
      <c r="I925" t="e">
        <f t="shared" si="113"/>
        <v>#N/A</v>
      </c>
      <c r="J925" t="e">
        <f t="shared" si="108"/>
        <v>#N/A</v>
      </c>
      <c r="K925" s="27" t="e">
        <f t="shared" si="109"/>
        <v>#N/A</v>
      </c>
    </row>
    <row r="926" spans="1:11">
      <c r="A926" s="26">
        <v>876</v>
      </c>
      <c r="B926" s="82" t="e">
        <f t="shared" si="110"/>
        <v>#N/A</v>
      </c>
      <c r="C926" s="58" t="e">
        <f t="shared" si="114"/>
        <v>#N/A</v>
      </c>
      <c r="D926" s="83" t="e">
        <f t="shared" si="111"/>
        <v>#N/A</v>
      </c>
      <c r="E926" t="e">
        <f t="shared" si="107"/>
        <v>#N/A</v>
      </c>
      <c r="G926">
        <v>876</v>
      </c>
      <c r="H926" s="13" t="e">
        <f t="shared" si="112"/>
        <v>#N/A</v>
      </c>
      <c r="I926" t="e">
        <f t="shared" si="113"/>
        <v>#N/A</v>
      </c>
      <c r="J926" t="e">
        <f t="shared" si="108"/>
        <v>#N/A</v>
      </c>
      <c r="K926" s="27" t="e">
        <f t="shared" si="109"/>
        <v>#N/A</v>
      </c>
    </row>
    <row r="927" spans="1:11">
      <c r="A927" s="26">
        <v>877</v>
      </c>
      <c r="B927" s="82" t="e">
        <f t="shared" si="110"/>
        <v>#N/A</v>
      </c>
      <c r="C927" s="58" t="e">
        <f t="shared" si="114"/>
        <v>#N/A</v>
      </c>
      <c r="D927" s="83" t="e">
        <f t="shared" si="111"/>
        <v>#N/A</v>
      </c>
      <c r="E927" t="e">
        <f t="shared" si="107"/>
        <v>#N/A</v>
      </c>
      <c r="G927">
        <v>877</v>
      </c>
      <c r="H927" s="13" t="e">
        <f t="shared" si="112"/>
        <v>#N/A</v>
      </c>
      <c r="I927" t="e">
        <f t="shared" si="113"/>
        <v>#N/A</v>
      </c>
      <c r="J927" t="e">
        <f t="shared" si="108"/>
        <v>#N/A</v>
      </c>
      <c r="K927" s="27" t="e">
        <f t="shared" si="109"/>
        <v>#N/A</v>
      </c>
    </row>
    <row r="928" spans="1:11">
      <c r="A928" s="26">
        <v>878</v>
      </c>
      <c r="B928" s="82" t="e">
        <f t="shared" si="110"/>
        <v>#N/A</v>
      </c>
      <c r="C928" s="58" t="e">
        <f t="shared" si="114"/>
        <v>#N/A</v>
      </c>
      <c r="D928" s="83" t="e">
        <f t="shared" si="111"/>
        <v>#N/A</v>
      </c>
      <c r="E928" t="e">
        <f t="shared" si="107"/>
        <v>#N/A</v>
      </c>
      <c r="G928">
        <v>878</v>
      </c>
      <c r="H928" s="13" t="e">
        <f t="shared" si="112"/>
        <v>#N/A</v>
      </c>
      <c r="I928" t="e">
        <f t="shared" si="113"/>
        <v>#N/A</v>
      </c>
      <c r="J928" t="e">
        <f t="shared" si="108"/>
        <v>#N/A</v>
      </c>
      <c r="K928" s="27" t="e">
        <f t="shared" si="109"/>
        <v>#N/A</v>
      </c>
    </row>
    <row r="929" spans="1:11">
      <c r="A929" s="26">
        <v>879</v>
      </c>
      <c r="B929" s="82" t="e">
        <f t="shared" si="110"/>
        <v>#N/A</v>
      </c>
      <c r="C929" s="58" t="e">
        <f t="shared" si="114"/>
        <v>#N/A</v>
      </c>
      <c r="D929" s="83" t="e">
        <f t="shared" si="111"/>
        <v>#N/A</v>
      </c>
      <c r="E929" t="e">
        <f t="shared" si="107"/>
        <v>#N/A</v>
      </c>
      <c r="G929">
        <v>879</v>
      </c>
      <c r="H929" s="13" t="e">
        <f t="shared" si="112"/>
        <v>#N/A</v>
      </c>
      <c r="I929" t="e">
        <f t="shared" si="113"/>
        <v>#N/A</v>
      </c>
      <c r="J929" t="e">
        <f t="shared" si="108"/>
        <v>#N/A</v>
      </c>
      <c r="K929" s="27" t="e">
        <f t="shared" si="109"/>
        <v>#N/A</v>
      </c>
    </row>
    <row r="930" spans="1:11">
      <c r="A930" s="26">
        <v>880</v>
      </c>
      <c r="B930" s="82" t="e">
        <f t="shared" si="110"/>
        <v>#N/A</v>
      </c>
      <c r="C930" s="58" t="e">
        <f t="shared" si="114"/>
        <v>#N/A</v>
      </c>
      <c r="D930" s="83" t="e">
        <f t="shared" si="111"/>
        <v>#N/A</v>
      </c>
      <c r="E930" t="e">
        <f t="shared" si="107"/>
        <v>#N/A</v>
      </c>
      <c r="G930">
        <v>880</v>
      </c>
      <c r="H930" s="13" t="e">
        <f t="shared" si="112"/>
        <v>#N/A</v>
      </c>
      <c r="I930" t="e">
        <f t="shared" si="113"/>
        <v>#N/A</v>
      </c>
      <c r="J930" t="e">
        <f t="shared" si="108"/>
        <v>#N/A</v>
      </c>
      <c r="K930" s="27" t="e">
        <f t="shared" si="109"/>
        <v>#N/A</v>
      </c>
    </row>
    <row r="931" spans="1:11">
      <c r="A931" s="26">
        <v>881</v>
      </c>
      <c r="B931" s="82" t="e">
        <f t="shared" si="110"/>
        <v>#N/A</v>
      </c>
      <c r="C931" s="58" t="e">
        <f t="shared" si="114"/>
        <v>#N/A</v>
      </c>
      <c r="D931" s="83" t="e">
        <f t="shared" si="111"/>
        <v>#N/A</v>
      </c>
      <c r="E931" t="e">
        <f t="shared" si="107"/>
        <v>#N/A</v>
      </c>
      <c r="G931">
        <v>881</v>
      </c>
      <c r="H931" s="13" t="e">
        <f t="shared" si="112"/>
        <v>#N/A</v>
      </c>
      <c r="I931" t="e">
        <f t="shared" si="113"/>
        <v>#N/A</v>
      </c>
      <c r="J931" t="e">
        <f t="shared" si="108"/>
        <v>#N/A</v>
      </c>
      <c r="K931" s="27" t="e">
        <f t="shared" si="109"/>
        <v>#N/A</v>
      </c>
    </row>
    <row r="932" spans="1:11">
      <c r="A932" s="26">
        <v>882</v>
      </c>
      <c r="B932" s="82" t="e">
        <f t="shared" si="110"/>
        <v>#N/A</v>
      </c>
      <c r="C932" s="58" t="e">
        <f t="shared" si="114"/>
        <v>#N/A</v>
      </c>
      <c r="D932" s="83" t="e">
        <f t="shared" si="111"/>
        <v>#N/A</v>
      </c>
      <c r="E932" t="e">
        <f t="shared" si="107"/>
        <v>#N/A</v>
      </c>
      <c r="G932">
        <v>882</v>
      </c>
      <c r="H932" s="13" t="e">
        <f t="shared" si="112"/>
        <v>#N/A</v>
      </c>
      <c r="I932" t="e">
        <f t="shared" si="113"/>
        <v>#N/A</v>
      </c>
      <c r="J932" t="e">
        <f t="shared" si="108"/>
        <v>#N/A</v>
      </c>
      <c r="K932" s="27" t="e">
        <f t="shared" si="109"/>
        <v>#N/A</v>
      </c>
    </row>
    <row r="933" spans="1:11">
      <c r="A933" s="26">
        <v>883</v>
      </c>
      <c r="B933" s="82" t="e">
        <f t="shared" si="110"/>
        <v>#N/A</v>
      </c>
      <c r="C933" s="58" t="e">
        <f t="shared" si="114"/>
        <v>#N/A</v>
      </c>
      <c r="D933" s="83" t="e">
        <f t="shared" si="111"/>
        <v>#N/A</v>
      </c>
      <c r="E933" t="e">
        <f t="shared" si="107"/>
        <v>#N/A</v>
      </c>
      <c r="G933">
        <v>883</v>
      </c>
      <c r="H933" s="13" t="e">
        <f t="shared" si="112"/>
        <v>#N/A</v>
      </c>
      <c r="I933" t="e">
        <f t="shared" si="113"/>
        <v>#N/A</v>
      </c>
      <c r="J933" t="e">
        <f t="shared" si="108"/>
        <v>#N/A</v>
      </c>
      <c r="K933" s="27" t="e">
        <f t="shared" si="109"/>
        <v>#N/A</v>
      </c>
    </row>
    <row r="934" spans="1:11">
      <c r="A934" s="26">
        <v>884</v>
      </c>
      <c r="B934" s="82" t="e">
        <f t="shared" si="110"/>
        <v>#N/A</v>
      </c>
      <c r="C934" s="58" t="e">
        <f t="shared" si="114"/>
        <v>#N/A</v>
      </c>
      <c r="D934" s="83" t="e">
        <f t="shared" si="111"/>
        <v>#N/A</v>
      </c>
      <c r="E934" t="e">
        <f t="shared" si="107"/>
        <v>#N/A</v>
      </c>
      <c r="G934">
        <v>884</v>
      </c>
      <c r="H934" s="13" t="e">
        <f t="shared" si="112"/>
        <v>#N/A</v>
      </c>
      <c r="I934" t="e">
        <f t="shared" si="113"/>
        <v>#N/A</v>
      </c>
      <c r="J934" t="e">
        <f t="shared" si="108"/>
        <v>#N/A</v>
      </c>
      <c r="K934" s="27" t="e">
        <f t="shared" si="109"/>
        <v>#N/A</v>
      </c>
    </row>
    <row r="935" spans="1:11">
      <c r="A935" s="26">
        <v>885</v>
      </c>
      <c r="B935" s="82" t="e">
        <f t="shared" si="110"/>
        <v>#N/A</v>
      </c>
      <c r="C935" s="58" t="e">
        <f t="shared" si="114"/>
        <v>#N/A</v>
      </c>
      <c r="D935" s="83" t="e">
        <f t="shared" si="111"/>
        <v>#N/A</v>
      </c>
      <c r="E935" t="e">
        <f t="shared" si="107"/>
        <v>#N/A</v>
      </c>
      <c r="G935">
        <v>885</v>
      </c>
      <c r="H935" s="13" t="e">
        <f t="shared" si="112"/>
        <v>#N/A</v>
      </c>
      <c r="I935" t="e">
        <f t="shared" si="113"/>
        <v>#N/A</v>
      </c>
      <c r="J935" t="e">
        <f t="shared" si="108"/>
        <v>#N/A</v>
      </c>
      <c r="K935" s="27" t="e">
        <f t="shared" si="109"/>
        <v>#N/A</v>
      </c>
    </row>
    <row r="936" spans="1:11">
      <c r="A936" s="26">
        <v>886</v>
      </c>
      <c r="B936" s="82" t="e">
        <f t="shared" si="110"/>
        <v>#N/A</v>
      </c>
      <c r="C936" s="58" t="e">
        <f t="shared" si="114"/>
        <v>#N/A</v>
      </c>
      <c r="D936" s="83" t="e">
        <f t="shared" si="111"/>
        <v>#N/A</v>
      </c>
      <c r="E936" t="e">
        <f t="shared" si="107"/>
        <v>#N/A</v>
      </c>
      <c r="G936">
        <v>886</v>
      </c>
      <c r="H936" s="13" t="e">
        <f t="shared" si="112"/>
        <v>#N/A</v>
      </c>
      <c r="I936" t="e">
        <f t="shared" si="113"/>
        <v>#N/A</v>
      </c>
      <c r="J936" t="e">
        <f t="shared" si="108"/>
        <v>#N/A</v>
      </c>
      <c r="K936" s="27" t="e">
        <f t="shared" si="109"/>
        <v>#N/A</v>
      </c>
    </row>
    <row r="937" spans="1:11">
      <c r="A937" s="26">
        <v>887</v>
      </c>
      <c r="B937" s="82" t="e">
        <f t="shared" si="110"/>
        <v>#N/A</v>
      </c>
      <c r="C937" s="58" t="e">
        <f t="shared" si="114"/>
        <v>#N/A</v>
      </c>
      <c r="D937" s="83" t="e">
        <f t="shared" si="111"/>
        <v>#N/A</v>
      </c>
      <c r="E937" t="e">
        <f t="shared" si="107"/>
        <v>#N/A</v>
      </c>
      <c r="G937">
        <v>887</v>
      </c>
      <c r="H937" s="13" t="e">
        <f t="shared" si="112"/>
        <v>#N/A</v>
      </c>
      <c r="I937" t="e">
        <f t="shared" si="113"/>
        <v>#N/A</v>
      </c>
      <c r="J937" t="e">
        <f t="shared" si="108"/>
        <v>#N/A</v>
      </c>
      <c r="K937" s="27" t="e">
        <f t="shared" si="109"/>
        <v>#N/A</v>
      </c>
    </row>
    <row r="938" spans="1:11">
      <c r="A938" s="26">
        <v>888</v>
      </c>
      <c r="B938" s="82" t="e">
        <f t="shared" si="110"/>
        <v>#N/A</v>
      </c>
      <c r="C938" s="58" t="e">
        <f t="shared" si="114"/>
        <v>#N/A</v>
      </c>
      <c r="D938" s="83" t="e">
        <f t="shared" si="111"/>
        <v>#N/A</v>
      </c>
      <c r="E938" t="e">
        <f t="shared" si="107"/>
        <v>#N/A</v>
      </c>
      <c r="G938">
        <v>888</v>
      </c>
      <c r="H938" s="13" t="e">
        <f t="shared" si="112"/>
        <v>#N/A</v>
      </c>
      <c r="I938" t="e">
        <f t="shared" si="113"/>
        <v>#N/A</v>
      </c>
      <c r="J938" t="e">
        <f t="shared" si="108"/>
        <v>#N/A</v>
      </c>
      <c r="K938" s="27" t="e">
        <f t="shared" si="109"/>
        <v>#N/A</v>
      </c>
    </row>
    <row r="939" spans="1:11">
      <c r="A939" s="26">
        <v>889</v>
      </c>
      <c r="B939" s="82" t="e">
        <f t="shared" si="110"/>
        <v>#N/A</v>
      </c>
      <c r="C939" s="58" t="e">
        <f t="shared" si="114"/>
        <v>#N/A</v>
      </c>
      <c r="D939" s="83" t="e">
        <f t="shared" si="111"/>
        <v>#N/A</v>
      </c>
      <c r="E939" t="e">
        <f t="shared" si="107"/>
        <v>#N/A</v>
      </c>
      <c r="G939">
        <v>889</v>
      </c>
      <c r="H939" s="13" t="e">
        <f t="shared" si="112"/>
        <v>#N/A</v>
      </c>
      <c r="I939" t="e">
        <f t="shared" si="113"/>
        <v>#N/A</v>
      </c>
      <c r="J939" t="e">
        <f t="shared" si="108"/>
        <v>#N/A</v>
      </c>
      <c r="K939" s="27" t="e">
        <f t="shared" si="109"/>
        <v>#N/A</v>
      </c>
    </row>
    <row r="940" spans="1:11">
      <c r="A940" s="26">
        <v>890</v>
      </c>
      <c r="B940" s="82" t="e">
        <f t="shared" si="110"/>
        <v>#N/A</v>
      </c>
      <c r="C940" s="58" t="e">
        <f t="shared" si="114"/>
        <v>#N/A</v>
      </c>
      <c r="D940" s="83" t="e">
        <f t="shared" si="111"/>
        <v>#N/A</v>
      </c>
      <c r="E940" t="e">
        <f t="shared" si="107"/>
        <v>#N/A</v>
      </c>
      <c r="G940">
        <v>890</v>
      </c>
      <c r="H940" s="13" t="e">
        <f t="shared" si="112"/>
        <v>#N/A</v>
      </c>
      <c r="I940" t="e">
        <f t="shared" si="113"/>
        <v>#N/A</v>
      </c>
      <c r="J940" t="e">
        <f t="shared" si="108"/>
        <v>#N/A</v>
      </c>
      <c r="K940" s="27" t="e">
        <f t="shared" si="109"/>
        <v>#N/A</v>
      </c>
    </row>
    <row r="941" spans="1:11">
      <c r="A941" s="26">
        <v>891</v>
      </c>
      <c r="B941" s="82" t="e">
        <f t="shared" si="110"/>
        <v>#N/A</v>
      </c>
      <c r="C941" s="58" t="e">
        <f t="shared" si="114"/>
        <v>#N/A</v>
      </c>
      <c r="D941" s="83" t="e">
        <f t="shared" si="111"/>
        <v>#N/A</v>
      </c>
      <c r="E941" t="e">
        <f t="shared" si="107"/>
        <v>#N/A</v>
      </c>
      <c r="G941">
        <v>891</v>
      </c>
      <c r="H941" s="13" t="e">
        <f t="shared" si="112"/>
        <v>#N/A</v>
      </c>
      <c r="I941" t="e">
        <f t="shared" si="113"/>
        <v>#N/A</v>
      </c>
      <c r="J941" t="e">
        <f t="shared" si="108"/>
        <v>#N/A</v>
      </c>
      <c r="K941" s="27" t="e">
        <f t="shared" si="109"/>
        <v>#N/A</v>
      </c>
    </row>
    <row r="942" spans="1:11">
      <c r="A942" s="26">
        <v>892</v>
      </c>
      <c r="B942" s="82" t="e">
        <f t="shared" si="110"/>
        <v>#N/A</v>
      </c>
      <c r="C942" s="58" t="e">
        <f t="shared" si="114"/>
        <v>#N/A</v>
      </c>
      <c r="D942" s="83" t="e">
        <f t="shared" si="111"/>
        <v>#N/A</v>
      </c>
      <c r="E942" t="e">
        <f t="shared" si="107"/>
        <v>#N/A</v>
      </c>
      <c r="G942">
        <v>892</v>
      </c>
      <c r="H942" s="13" t="e">
        <f t="shared" si="112"/>
        <v>#N/A</v>
      </c>
      <c r="I942" t="e">
        <f t="shared" si="113"/>
        <v>#N/A</v>
      </c>
      <c r="J942" t="e">
        <f t="shared" si="108"/>
        <v>#N/A</v>
      </c>
      <c r="K942" s="27" t="e">
        <f t="shared" si="109"/>
        <v>#N/A</v>
      </c>
    </row>
    <row r="943" spans="1:11">
      <c r="A943" s="26">
        <v>893</v>
      </c>
      <c r="B943" s="82" t="e">
        <f t="shared" si="110"/>
        <v>#N/A</v>
      </c>
      <c r="C943" s="58" t="e">
        <f t="shared" si="114"/>
        <v>#N/A</v>
      </c>
      <c r="D943" s="83" t="e">
        <f t="shared" si="111"/>
        <v>#N/A</v>
      </c>
      <c r="E943" t="e">
        <f t="shared" si="107"/>
        <v>#N/A</v>
      </c>
      <c r="G943">
        <v>893</v>
      </c>
      <c r="H943" s="13" t="e">
        <f t="shared" si="112"/>
        <v>#N/A</v>
      </c>
      <c r="I943" t="e">
        <f t="shared" si="113"/>
        <v>#N/A</v>
      </c>
      <c r="J943" t="e">
        <f t="shared" si="108"/>
        <v>#N/A</v>
      </c>
      <c r="K943" s="27" t="e">
        <f t="shared" si="109"/>
        <v>#N/A</v>
      </c>
    </row>
    <row r="944" spans="1:11">
      <c r="A944" s="26">
        <v>894</v>
      </c>
      <c r="B944" s="82" t="e">
        <f t="shared" si="110"/>
        <v>#N/A</v>
      </c>
      <c r="C944" s="58" t="e">
        <f t="shared" si="114"/>
        <v>#N/A</v>
      </c>
      <c r="D944" s="83" t="e">
        <f t="shared" si="111"/>
        <v>#N/A</v>
      </c>
      <c r="E944" t="e">
        <f t="shared" si="107"/>
        <v>#N/A</v>
      </c>
      <c r="G944">
        <v>894</v>
      </c>
      <c r="H944" s="13" t="e">
        <f t="shared" si="112"/>
        <v>#N/A</v>
      </c>
      <c r="I944" t="e">
        <f t="shared" si="113"/>
        <v>#N/A</v>
      </c>
      <c r="J944" t="e">
        <f t="shared" si="108"/>
        <v>#N/A</v>
      </c>
      <c r="K944" s="27" t="e">
        <f t="shared" si="109"/>
        <v>#N/A</v>
      </c>
    </row>
    <row r="945" spans="1:11">
      <c r="A945" s="26">
        <v>895</v>
      </c>
      <c r="B945" s="82" t="e">
        <f t="shared" si="110"/>
        <v>#N/A</v>
      </c>
      <c r="C945" s="58" t="e">
        <f t="shared" si="114"/>
        <v>#N/A</v>
      </c>
      <c r="D945" s="83" t="e">
        <f t="shared" si="111"/>
        <v>#N/A</v>
      </c>
      <c r="E945" t="e">
        <f t="shared" si="107"/>
        <v>#N/A</v>
      </c>
      <c r="G945">
        <v>895</v>
      </c>
      <c r="H945" s="13" t="e">
        <f t="shared" si="112"/>
        <v>#N/A</v>
      </c>
      <c r="I945" t="e">
        <f t="shared" si="113"/>
        <v>#N/A</v>
      </c>
      <c r="J945" t="e">
        <f t="shared" si="108"/>
        <v>#N/A</v>
      </c>
      <c r="K945" s="27" t="e">
        <f t="shared" si="109"/>
        <v>#N/A</v>
      </c>
    </row>
    <row r="946" spans="1:11">
      <c r="A946" s="26">
        <v>896</v>
      </c>
      <c r="B946" s="82" t="e">
        <f t="shared" si="110"/>
        <v>#N/A</v>
      </c>
      <c r="C946" s="58" t="e">
        <f t="shared" si="114"/>
        <v>#N/A</v>
      </c>
      <c r="D946" s="83" t="e">
        <f t="shared" si="111"/>
        <v>#N/A</v>
      </c>
      <c r="E946" t="e">
        <f t="shared" si="107"/>
        <v>#N/A</v>
      </c>
      <c r="G946">
        <v>896</v>
      </c>
      <c r="H946" s="13" t="e">
        <f t="shared" si="112"/>
        <v>#N/A</v>
      </c>
      <c r="I946" t="e">
        <f t="shared" si="113"/>
        <v>#N/A</v>
      </c>
      <c r="J946" t="e">
        <f t="shared" si="108"/>
        <v>#N/A</v>
      </c>
      <c r="K946" s="27" t="e">
        <f t="shared" si="109"/>
        <v>#N/A</v>
      </c>
    </row>
    <row r="947" spans="1:11">
      <c r="A947" s="26">
        <v>897</v>
      </c>
      <c r="B947" s="82" t="e">
        <f t="shared" si="110"/>
        <v>#N/A</v>
      </c>
      <c r="C947" s="58" t="e">
        <f t="shared" si="114"/>
        <v>#N/A</v>
      </c>
      <c r="D947" s="83" t="e">
        <f t="shared" si="111"/>
        <v>#N/A</v>
      </c>
      <c r="E947" t="e">
        <f t="shared" ref="E947:E1010" si="115">((D947^2)+(D947*D948)+(D948^2))*B948/3</f>
        <v>#N/A</v>
      </c>
      <c r="G947">
        <v>897</v>
      </c>
      <c r="H947" s="13" t="e">
        <f t="shared" si="112"/>
        <v>#N/A</v>
      </c>
      <c r="I947" t="e">
        <f t="shared" si="113"/>
        <v>#N/A</v>
      </c>
      <c r="J947" t="e">
        <f t="shared" ref="J947:J1010" si="116">IF($G$28&lt;$C$14,0,((($C$11^2)-((I947-$C$13)^2))^0.5)+$C$16)</f>
        <v>#N/A</v>
      </c>
      <c r="K947" s="27" t="e">
        <f t="shared" ref="K947:K1010" si="117">((J947^2)+(J947*J948)+(J948^2))*H948/3</f>
        <v>#N/A</v>
      </c>
    </row>
    <row r="948" spans="1:11">
      <c r="A948" s="26">
        <v>898</v>
      </c>
      <c r="B948" s="82" t="e">
        <f t="shared" ref="B948:B1011" si="118">C948-C947</f>
        <v>#N/A</v>
      </c>
      <c r="C948" s="58" t="e">
        <f t="shared" si="114"/>
        <v>#N/A</v>
      </c>
      <c r="D948" s="83" t="e">
        <f t="shared" ref="D948:D1011" si="119">IF($G$28&lt;$C$14,0,((($C$11^2)-((C948-$C$13)^2))^0.5)+$C$16)</f>
        <v>#N/A</v>
      </c>
      <c r="E948" t="e">
        <f t="shared" si="115"/>
        <v>#N/A</v>
      </c>
      <c r="G948">
        <v>898</v>
      </c>
      <c r="H948" s="13" t="e">
        <f t="shared" ref="H948:H1011" si="120">I948-I947</f>
        <v>#N/A</v>
      </c>
      <c r="I948" t="e">
        <f t="shared" ref="I948:I1011" si="121">($G$27-$C$14)/2000+I947</f>
        <v>#N/A</v>
      </c>
      <c r="J948" t="e">
        <f t="shared" si="116"/>
        <v>#N/A</v>
      </c>
      <c r="K948" s="27" t="e">
        <f t="shared" si="117"/>
        <v>#N/A</v>
      </c>
    </row>
    <row r="949" spans="1:11">
      <c r="A949" s="26">
        <v>899</v>
      </c>
      <c r="B949" s="82" t="e">
        <f t="shared" si="118"/>
        <v>#N/A</v>
      </c>
      <c r="C949" s="58" t="e">
        <f t="shared" si="114"/>
        <v>#N/A</v>
      </c>
      <c r="D949" s="83" t="e">
        <f t="shared" si="119"/>
        <v>#N/A</v>
      </c>
      <c r="E949" t="e">
        <f t="shared" si="115"/>
        <v>#N/A</v>
      </c>
      <c r="G949">
        <v>899</v>
      </c>
      <c r="H949" s="13" t="e">
        <f t="shared" si="120"/>
        <v>#N/A</v>
      </c>
      <c r="I949" t="e">
        <f t="shared" si="121"/>
        <v>#N/A</v>
      </c>
      <c r="J949" t="e">
        <f t="shared" si="116"/>
        <v>#N/A</v>
      </c>
      <c r="K949" s="27" t="e">
        <f t="shared" si="117"/>
        <v>#N/A</v>
      </c>
    </row>
    <row r="950" spans="1:11">
      <c r="A950" s="26">
        <v>900</v>
      </c>
      <c r="B950" s="82" t="e">
        <f t="shared" si="118"/>
        <v>#N/A</v>
      </c>
      <c r="C950" s="58" t="e">
        <f t="shared" si="114"/>
        <v>#N/A</v>
      </c>
      <c r="D950" s="83" t="e">
        <f t="shared" si="119"/>
        <v>#N/A</v>
      </c>
      <c r="E950" t="e">
        <f t="shared" si="115"/>
        <v>#N/A</v>
      </c>
      <c r="G950">
        <v>900</v>
      </c>
      <c r="H950" s="13" t="e">
        <f t="shared" si="120"/>
        <v>#N/A</v>
      </c>
      <c r="I950" t="e">
        <f t="shared" si="121"/>
        <v>#N/A</v>
      </c>
      <c r="J950" t="e">
        <f t="shared" si="116"/>
        <v>#N/A</v>
      </c>
      <c r="K950" s="27" t="e">
        <f t="shared" si="117"/>
        <v>#N/A</v>
      </c>
    </row>
    <row r="951" spans="1:11">
      <c r="A951" s="26">
        <v>901</v>
      </c>
      <c r="B951" s="82" t="e">
        <f t="shared" si="118"/>
        <v>#N/A</v>
      </c>
      <c r="C951" s="58" t="e">
        <f t="shared" si="114"/>
        <v>#N/A</v>
      </c>
      <c r="D951" s="83" t="e">
        <f t="shared" si="119"/>
        <v>#N/A</v>
      </c>
      <c r="E951" t="e">
        <f t="shared" si="115"/>
        <v>#N/A</v>
      </c>
      <c r="G951">
        <v>901</v>
      </c>
      <c r="H951" s="13" t="e">
        <f t="shared" si="120"/>
        <v>#N/A</v>
      </c>
      <c r="I951" t="e">
        <f t="shared" si="121"/>
        <v>#N/A</v>
      </c>
      <c r="J951" t="e">
        <f t="shared" si="116"/>
        <v>#N/A</v>
      </c>
      <c r="K951" s="27" t="e">
        <f t="shared" si="117"/>
        <v>#N/A</v>
      </c>
    </row>
    <row r="952" spans="1:11">
      <c r="A952" s="26">
        <v>902</v>
      </c>
      <c r="B952" s="82" t="e">
        <f t="shared" si="118"/>
        <v>#N/A</v>
      </c>
      <c r="C952" s="58" t="e">
        <f t="shared" si="114"/>
        <v>#N/A</v>
      </c>
      <c r="D952" s="83" t="e">
        <f t="shared" si="119"/>
        <v>#N/A</v>
      </c>
      <c r="E952" t="e">
        <f t="shared" si="115"/>
        <v>#N/A</v>
      </c>
      <c r="G952">
        <v>902</v>
      </c>
      <c r="H952" s="13" t="e">
        <f t="shared" si="120"/>
        <v>#N/A</v>
      </c>
      <c r="I952" t="e">
        <f t="shared" si="121"/>
        <v>#N/A</v>
      </c>
      <c r="J952" t="e">
        <f t="shared" si="116"/>
        <v>#N/A</v>
      </c>
      <c r="K952" s="27" t="e">
        <f t="shared" si="117"/>
        <v>#N/A</v>
      </c>
    </row>
    <row r="953" spans="1:11">
      <c r="A953" s="26">
        <v>903</v>
      </c>
      <c r="B953" s="82" t="e">
        <f t="shared" si="118"/>
        <v>#N/A</v>
      </c>
      <c r="C953" s="58" t="e">
        <f t="shared" si="114"/>
        <v>#N/A</v>
      </c>
      <c r="D953" s="83" t="e">
        <f t="shared" si="119"/>
        <v>#N/A</v>
      </c>
      <c r="E953" t="e">
        <f t="shared" si="115"/>
        <v>#N/A</v>
      </c>
      <c r="G953">
        <v>903</v>
      </c>
      <c r="H953" s="13" t="e">
        <f t="shared" si="120"/>
        <v>#N/A</v>
      </c>
      <c r="I953" t="e">
        <f t="shared" si="121"/>
        <v>#N/A</v>
      </c>
      <c r="J953" t="e">
        <f t="shared" si="116"/>
        <v>#N/A</v>
      </c>
      <c r="K953" s="27" t="e">
        <f t="shared" si="117"/>
        <v>#N/A</v>
      </c>
    </row>
    <row r="954" spans="1:11">
      <c r="A954" s="26">
        <v>904</v>
      </c>
      <c r="B954" s="82" t="e">
        <f t="shared" si="118"/>
        <v>#N/A</v>
      </c>
      <c r="C954" s="58" t="e">
        <f t="shared" si="114"/>
        <v>#N/A</v>
      </c>
      <c r="D954" s="83" t="e">
        <f t="shared" si="119"/>
        <v>#N/A</v>
      </c>
      <c r="E954" t="e">
        <f t="shared" si="115"/>
        <v>#N/A</v>
      </c>
      <c r="G954">
        <v>904</v>
      </c>
      <c r="H954" s="13" t="e">
        <f t="shared" si="120"/>
        <v>#N/A</v>
      </c>
      <c r="I954" t="e">
        <f t="shared" si="121"/>
        <v>#N/A</v>
      </c>
      <c r="J954" t="e">
        <f t="shared" si="116"/>
        <v>#N/A</v>
      </c>
      <c r="K954" s="27" t="e">
        <f t="shared" si="117"/>
        <v>#N/A</v>
      </c>
    </row>
    <row r="955" spans="1:11">
      <c r="A955" s="26">
        <v>905</v>
      </c>
      <c r="B955" s="82" t="e">
        <f t="shared" si="118"/>
        <v>#N/A</v>
      </c>
      <c r="C955" s="58" t="e">
        <f t="shared" si="114"/>
        <v>#N/A</v>
      </c>
      <c r="D955" s="83" t="e">
        <f t="shared" si="119"/>
        <v>#N/A</v>
      </c>
      <c r="E955" t="e">
        <f t="shared" si="115"/>
        <v>#N/A</v>
      </c>
      <c r="G955">
        <v>905</v>
      </c>
      <c r="H955" s="13" t="e">
        <f t="shared" si="120"/>
        <v>#N/A</v>
      </c>
      <c r="I955" t="e">
        <f t="shared" si="121"/>
        <v>#N/A</v>
      </c>
      <c r="J955" t="e">
        <f t="shared" si="116"/>
        <v>#N/A</v>
      </c>
      <c r="K955" s="27" t="e">
        <f t="shared" si="117"/>
        <v>#N/A</v>
      </c>
    </row>
    <row r="956" spans="1:11">
      <c r="A956" s="26">
        <v>906</v>
      </c>
      <c r="B956" s="82" t="e">
        <f t="shared" si="118"/>
        <v>#N/A</v>
      </c>
      <c r="C956" s="58" t="e">
        <f t="shared" si="114"/>
        <v>#N/A</v>
      </c>
      <c r="D956" s="83" t="e">
        <f t="shared" si="119"/>
        <v>#N/A</v>
      </c>
      <c r="E956" t="e">
        <f t="shared" si="115"/>
        <v>#N/A</v>
      </c>
      <c r="G956">
        <v>906</v>
      </c>
      <c r="H956" s="13" t="e">
        <f t="shared" si="120"/>
        <v>#N/A</v>
      </c>
      <c r="I956" t="e">
        <f t="shared" si="121"/>
        <v>#N/A</v>
      </c>
      <c r="J956" t="e">
        <f t="shared" si="116"/>
        <v>#N/A</v>
      </c>
      <c r="K956" s="27" t="e">
        <f t="shared" si="117"/>
        <v>#N/A</v>
      </c>
    </row>
    <row r="957" spans="1:11">
      <c r="A957" s="26">
        <v>907</v>
      </c>
      <c r="B957" s="82" t="e">
        <f t="shared" si="118"/>
        <v>#N/A</v>
      </c>
      <c r="C957" s="58" t="e">
        <f t="shared" si="114"/>
        <v>#N/A</v>
      </c>
      <c r="D957" s="83" t="e">
        <f t="shared" si="119"/>
        <v>#N/A</v>
      </c>
      <c r="E957" t="e">
        <f t="shared" si="115"/>
        <v>#N/A</v>
      </c>
      <c r="G957">
        <v>907</v>
      </c>
      <c r="H957" s="13" t="e">
        <f t="shared" si="120"/>
        <v>#N/A</v>
      </c>
      <c r="I957" t="e">
        <f t="shared" si="121"/>
        <v>#N/A</v>
      </c>
      <c r="J957" t="e">
        <f t="shared" si="116"/>
        <v>#N/A</v>
      </c>
      <c r="K957" s="27" t="e">
        <f t="shared" si="117"/>
        <v>#N/A</v>
      </c>
    </row>
    <row r="958" spans="1:11">
      <c r="A958" s="26">
        <v>908</v>
      </c>
      <c r="B958" s="82" t="e">
        <f t="shared" si="118"/>
        <v>#N/A</v>
      </c>
      <c r="C958" s="58" t="e">
        <f t="shared" si="114"/>
        <v>#N/A</v>
      </c>
      <c r="D958" s="83" t="e">
        <f t="shared" si="119"/>
        <v>#N/A</v>
      </c>
      <c r="E958" t="e">
        <f t="shared" si="115"/>
        <v>#N/A</v>
      </c>
      <c r="G958">
        <v>908</v>
      </c>
      <c r="H958" s="13" t="e">
        <f t="shared" si="120"/>
        <v>#N/A</v>
      </c>
      <c r="I958" t="e">
        <f t="shared" si="121"/>
        <v>#N/A</v>
      </c>
      <c r="J958" t="e">
        <f t="shared" si="116"/>
        <v>#N/A</v>
      </c>
      <c r="K958" s="27" t="e">
        <f t="shared" si="117"/>
        <v>#N/A</v>
      </c>
    </row>
    <row r="959" spans="1:11">
      <c r="A959" s="26">
        <v>909</v>
      </c>
      <c r="B959" s="82" t="e">
        <f t="shared" si="118"/>
        <v>#N/A</v>
      </c>
      <c r="C959" s="58" t="e">
        <f t="shared" si="114"/>
        <v>#N/A</v>
      </c>
      <c r="D959" s="83" t="e">
        <f t="shared" si="119"/>
        <v>#N/A</v>
      </c>
      <c r="E959" t="e">
        <f t="shared" si="115"/>
        <v>#N/A</v>
      </c>
      <c r="G959">
        <v>909</v>
      </c>
      <c r="H959" s="13" t="e">
        <f t="shared" si="120"/>
        <v>#N/A</v>
      </c>
      <c r="I959" t="e">
        <f t="shared" si="121"/>
        <v>#N/A</v>
      </c>
      <c r="J959" t="e">
        <f t="shared" si="116"/>
        <v>#N/A</v>
      </c>
      <c r="K959" s="27" t="e">
        <f t="shared" si="117"/>
        <v>#N/A</v>
      </c>
    </row>
    <row r="960" spans="1:11">
      <c r="A960" s="26">
        <v>910</v>
      </c>
      <c r="B960" s="82" t="e">
        <f t="shared" si="118"/>
        <v>#N/A</v>
      </c>
      <c r="C960" s="58" t="e">
        <f t="shared" si="114"/>
        <v>#N/A</v>
      </c>
      <c r="D960" s="83" t="e">
        <f t="shared" si="119"/>
        <v>#N/A</v>
      </c>
      <c r="E960" t="e">
        <f t="shared" si="115"/>
        <v>#N/A</v>
      </c>
      <c r="G960">
        <v>910</v>
      </c>
      <c r="H960" s="13" t="e">
        <f t="shared" si="120"/>
        <v>#N/A</v>
      </c>
      <c r="I960" t="e">
        <f t="shared" si="121"/>
        <v>#N/A</v>
      </c>
      <c r="J960" t="e">
        <f t="shared" si="116"/>
        <v>#N/A</v>
      </c>
      <c r="K960" s="27" t="e">
        <f t="shared" si="117"/>
        <v>#N/A</v>
      </c>
    </row>
    <row r="961" spans="1:11">
      <c r="A961" s="26">
        <v>911</v>
      </c>
      <c r="B961" s="82" t="e">
        <f t="shared" si="118"/>
        <v>#N/A</v>
      </c>
      <c r="C961" s="58" t="e">
        <f t="shared" si="114"/>
        <v>#N/A</v>
      </c>
      <c r="D961" s="83" t="e">
        <f t="shared" si="119"/>
        <v>#N/A</v>
      </c>
      <c r="E961" t="e">
        <f t="shared" si="115"/>
        <v>#N/A</v>
      </c>
      <c r="G961">
        <v>911</v>
      </c>
      <c r="H961" s="13" t="e">
        <f t="shared" si="120"/>
        <v>#N/A</v>
      </c>
      <c r="I961" t="e">
        <f t="shared" si="121"/>
        <v>#N/A</v>
      </c>
      <c r="J961" t="e">
        <f t="shared" si="116"/>
        <v>#N/A</v>
      </c>
      <c r="K961" s="27" t="e">
        <f t="shared" si="117"/>
        <v>#N/A</v>
      </c>
    </row>
    <row r="962" spans="1:11">
      <c r="A962" s="26">
        <v>912</v>
      </c>
      <c r="B962" s="82" t="e">
        <f t="shared" si="118"/>
        <v>#N/A</v>
      </c>
      <c r="C962" s="58" t="e">
        <f t="shared" si="114"/>
        <v>#N/A</v>
      </c>
      <c r="D962" s="83" t="e">
        <f t="shared" si="119"/>
        <v>#N/A</v>
      </c>
      <c r="E962" t="e">
        <f t="shared" si="115"/>
        <v>#N/A</v>
      </c>
      <c r="G962">
        <v>912</v>
      </c>
      <c r="H962" s="13" t="e">
        <f t="shared" si="120"/>
        <v>#N/A</v>
      </c>
      <c r="I962" t="e">
        <f t="shared" si="121"/>
        <v>#N/A</v>
      </c>
      <c r="J962" t="e">
        <f t="shared" si="116"/>
        <v>#N/A</v>
      </c>
      <c r="K962" s="27" t="e">
        <f t="shared" si="117"/>
        <v>#N/A</v>
      </c>
    </row>
    <row r="963" spans="1:11">
      <c r="A963" s="26">
        <v>913</v>
      </c>
      <c r="B963" s="82" t="e">
        <f t="shared" si="118"/>
        <v>#N/A</v>
      </c>
      <c r="C963" s="58" t="e">
        <f t="shared" si="114"/>
        <v>#N/A</v>
      </c>
      <c r="D963" s="83" t="e">
        <f t="shared" si="119"/>
        <v>#N/A</v>
      </c>
      <c r="E963" t="e">
        <f t="shared" si="115"/>
        <v>#N/A</v>
      </c>
      <c r="G963">
        <v>913</v>
      </c>
      <c r="H963" s="13" t="e">
        <f t="shared" si="120"/>
        <v>#N/A</v>
      </c>
      <c r="I963" t="e">
        <f t="shared" si="121"/>
        <v>#N/A</v>
      </c>
      <c r="J963" t="e">
        <f t="shared" si="116"/>
        <v>#N/A</v>
      </c>
      <c r="K963" s="27" t="e">
        <f t="shared" si="117"/>
        <v>#N/A</v>
      </c>
    </row>
    <row r="964" spans="1:11">
      <c r="A964" s="26">
        <v>914</v>
      </c>
      <c r="B964" s="82" t="e">
        <f t="shared" si="118"/>
        <v>#N/A</v>
      </c>
      <c r="C964" s="58" t="e">
        <f t="shared" si="114"/>
        <v>#N/A</v>
      </c>
      <c r="D964" s="83" t="e">
        <f t="shared" si="119"/>
        <v>#N/A</v>
      </c>
      <c r="E964" t="e">
        <f t="shared" si="115"/>
        <v>#N/A</v>
      </c>
      <c r="G964">
        <v>914</v>
      </c>
      <c r="H964" s="13" t="e">
        <f t="shared" si="120"/>
        <v>#N/A</v>
      </c>
      <c r="I964" t="e">
        <f t="shared" si="121"/>
        <v>#N/A</v>
      </c>
      <c r="J964" t="e">
        <f t="shared" si="116"/>
        <v>#N/A</v>
      </c>
      <c r="K964" s="27" t="e">
        <f t="shared" si="117"/>
        <v>#N/A</v>
      </c>
    </row>
    <row r="965" spans="1:11">
      <c r="A965" s="26">
        <v>915</v>
      </c>
      <c r="B965" s="82" t="e">
        <f t="shared" si="118"/>
        <v>#N/A</v>
      </c>
      <c r="C965" s="58" t="e">
        <f t="shared" si="114"/>
        <v>#N/A</v>
      </c>
      <c r="D965" s="83" t="e">
        <f t="shared" si="119"/>
        <v>#N/A</v>
      </c>
      <c r="E965" t="e">
        <f t="shared" si="115"/>
        <v>#N/A</v>
      </c>
      <c r="G965">
        <v>915</v>
      </c>
      <c r="H965" s="13" t="e">
        <f t="shared" si="120"/>
        <v>#N/A</v>
      </c>
      <c r="I965" t="e">
        <f t="shared" si="121"/>
        <v>#N/A</v>
      </c>
      <c r="J965" t="e">
        <f t="shared" si="116"/>
        <v>#N/A</v>
      </c>
      <c r="K965" s="27" t="e">
        <f t="shared" si="117"/>
        <v>#N/A</v>
      </c>
    </row>
    <row r="966" spans="1:11">
      <c r="A966" s="26">
        <v>916</v>
      </c>
      <c r="B966" s="82" t="e">
        <f t="shared" si="118"/>
        <v>#N/A</v>
      </c>
      <c r="C966" s="58" t="e">
        <f t="shared" si="114"/>
        <v>#N/A</v>
      </c>
      <c r="D966" s="83" t="e">
        <f t="shared" si="119"/>
        <v>#N/A</v>
      </c>
      <c r="E966" t="e">
        <f t="shared" si="115"/>
        <v>#N/A</v>
      </c>
      <c r="G966">
        <v>916</v>
      </c>
      <c r="H966" s="13" t="e">
        <f t="shared" si="120"/>
        <v>#N/A</v>
      </c>
      <c r="I966" t="e">
        <f t="shared" si="121"/>
        <v>#N/A</v>
      </c>
      <c r="J966" t="e">
        <f t="shared" si="116"/>
        <v>#N/A</v>
      </c>
      <c r="K966" s="27" t="e">
        <f t="shared" si="117"/>
        <v>#N/A</v>
      </c>
    </row>
    <row r="967" spans="1:11">
      <c r="A967" s="26">
        <v>917</v>
      </c>
      <c r="B967" s="82" t="e">
        <f t="shared" si="118"/>
        <v>#N/A</v>
      </c>
      <c r="C967" s="58" t="e">
        <f t="shared" si="114"/>
        <v>#N/A</v>
      </c>
      <c r="D967" s="83" t="e">
        <f t="shared" si="119"/>
        <v>#N/A</v>
      </c>
      <c r="E967" t="e">
        <f t="shared" si="115"/>
        <v>#N/A</v>
      </c>
      <c r="G967">
        <v>917</v>
      </c>
      <c r="H967" s="13" t="e">
        <f t="shared" si="120"/>
        <v>#N/A</v>
      </c>
      <c r="I967" t="e">
        <f t="shared" si="121"/>
        <v>#N/A</v>
      </c>
      <c r="J967" t="e">
        <f t="shared" si="116"/>
        <v>#N/A</v>
      </c>
      <c r="K967" s="27" t="e">
        <f t="shared" si="117"/>
        <v>#N/A</v>
      </c>
    </row>
    <row r="968" spans="1:11">
      <c r="A968" s="26">
        <v>918</v>
      </c>
      <c r="B968" s="82" t="e">
        <f t="shared" si="118"/>
        <v>#N/A</v>
      </c>
      <c r="C968" s="58" t="e">
        <f t="shared" si="114"/>
        <v>#N/A</v>
      </c>
      <c r="D968" s="83" t="e">
        <f t="shared" si="119"/>
        <v>#N/A</v>
      </c>
      <c r="E968" t="e">
        <f t="shared" si="115"/>
        <v>#N/A</v>
      </c>
      <c r="G968">
        <v>918</v>
      </c>
      <c r="H968" s="13" t="e">
        <f t="shared" si="120"/>
        <v>#N/A</v>
      </c>
      <c r="I968" t="e">
        <f t="shared" si="121"/>
        <v>#N/A</v>
      </c>
      <c r="J968" t="e">
        <f t="shared" si="116"/>
        <v>#N/A</v>
      </c>
      <c r="K968" s="27" t="e">
        <f t="shared" si="117"/>
        <v>#N/A</v>
      </c>
    </row>
    <row r="969" spans="1:11">
      <c r="A969" s="26">
        <v>919</v>
      </c>
      <c r="B969" s="82" t="e">
        <f t="shared" si="118"/>
        <v>#N/A</v>
      </c>
      <c r="C969" s="58" t="e">
        <f t="shared" si="114"/>
        <v>#N/A</v>
      </c>
      <c r="D969" s="83" t="e">
        <f t="shared" si="119"/>
        <v>#N/A</v>
      </c>
      <c r="E969" t="e">
        <f t="shared" si="115"/>
        <v>#N/A</v>
      </c>
      <c r="G969">
        <v>919</v>
      </c>
      <c r="H969" s="13" t="e">
        <f t="shared" si="120"/>
        <v>#N/A</v>
      </c>
      <c r="I969" t="e">
        <f t="shared" si="121"/>
        <v>#N/A</v>
      </c>
      <c r="J969" t="e">
        <f t="shared" si="116"/>
        <v>#N/A</v>
      </c>
      <c r="K969" s="27" t="e">
        <f t="shared" si="117"/>
        <v>#N/A</v>
      </c>
    </row>
    <row r="970" spans="1:11">
      <c r="A970" s="26">
        <v>920</v>
      </c>
      <c r="B970" s="82" t="e">
        <f t="shared" si="118"/>
        <v>#N/A</v>
      </c>
      <c r="C970" s="58" t="e">
        <f t="shared" si="114"/>
        <v>#N/A</v>
      </c>
      <c r="D970" s="83" t="e">
        <f t="shared" si="119"/>
        <v>#N/A</v>
      </c>
      <c r="E970" t="e">
        <f t="shared" si="115"/>
        <v>#N/A</v>
      </c>
      <c r="G970">
        <v>920</v>
      </c>
      <c r="H970" s="13" t="e">
        <f t="shared" si="120"/>
        <v>#N/A</v>
      </c>
      <c r="I970" t="e">
        <f t="shared" si="121"/>
        <v>#N/A</v>
      </c>
      <c r="J970" t="e">
        <f t="shared" si="116"/>
        <v>#N/A</v>
      </c>
      <c r="K970" s="27" t="e">
        <f t="shared" si="117"/>
        <v>#N/A</v>
      </c>
    </row>
    <row r="971" spans="1:11">
      <c r="A971" s="26">
        <v>921</v>
      </c>
      <c r="B971" s="82" t="e">
        <f t="shared" si="118"/>
        <v>#N/A</v>
      </c>
      <c r="C971" s="58" t="e">
        <f t="shared" si="114"/>
        <v>#N/A</v>
      </c>
      <c r="D971" s="83" t="e">
        <f t="shared" si="119"/>
        <v>#N/A</v>
      </c>
      <c r="E971" t="e">
        <f t="shared" si="115"/>
        <v>#N/A</v>
      </c>
      <c r="G971">
        <v>921</v>
      </c>
      <c r="H971" s="13" t="e">
        <f t="shared" si="120"/>
        <v>#N/A</v>
      </c>
      <c r="I971" t="e">
        <f t="shared" si="121"/>
        <v>#N/A</v>
      </c>
      <c r="J971" t="e">
        <f t="shared" si="116"/>
        <v>#N/A</v>
      </c>
      <c r="K971" s="27" t="e">
        <f t="shared" si="117"/>
        <v>#N/A</v>
      </c>
    </row>
    <row r="972" spans="1:11">
      <c r="A972" s="26">
        <v>922</v>
      </c>
      <c r="B972" s="82" t="e">
        <f t="shared" si="118"/>
        <v>#N/A</v>
      </c>
      <c r="C972" s="58" t="e">
        <f t="shared" si="114"/>
        <v>#N/A</v>
      </c>
      <c r="D972" s="83" t="e">
        <f t="shared" si="119"/>
        <v>#N/A</v>
      </c>
      <c r="E972" t="e">
        <f t="shared" si="115"/>
        <v>#N/A</v>
      </c>
      <c r="G972">
        <v>922</v>
      </c>
      <c r="H972" s="13" t="e">
        <f t="shared" si="120"/>
        <v>#N/A</v>
      </c>
      <c r="I972" t="e">
        <f t="shared" si="121"/>
        <v>#N/A</v>
      </c>
      <c r="J972" t="e">
        <f t="shared" si="116"/>
        <v>#N/A</v>
      </c>
      <c r="K972" s="27" t="e">
        <f t="shared" si="117"/>
        <v>#N/A</v>
      </c>
    </row>
    <row r="973" spans="1:11">
      <c r="A973" s="26">
        <v>923</v>
      </c>
      <c r="B973" s="82" t="e">
        <f t="shared" si="118"/>
        <v>#N/A</v>
      </c>
      <c r="C973" s="58" t="e">
        <f t="shared" si="114"/>
        <v>#N/A</v>
      </c>
      <c r="D973" s="83" t="e">
        <f t="shared" si="119"/>
        <v>#N/A</v>
      </c>
      <c r="E973" t="e">
        <f t="shared" si="115"/>
        <v>#N/A</v>
      </c>
      <c r="G973">
        <v>923</v>
      </c>
      <c r="H973" s="13" t="e">
        <f t="shared" si="120"/>
        <v>#N/A</v>
      </c>
      <c r="I973" t="e">
        <f t="shared" si="121"/>
        <v>#N/A</v>
      </c>
      <c r="J973" t="e">
        <f t="shared" si="116"/>
        <v>#N/A</v>
      </c>
      <c r="K973" s="27" t="e">
        <f t="shared" si="117"/>
        <v>#N/A</v>
      </c>
    </row>
    <row r="974" spans="1:11">
      <c r="A974" s="26">
        <v>924</v>
      </c>
      <c r="B974" s="82" t="e">
        <f t="shared" si="118"/>
        <v>#N/A</v>
      </c>
      <c r="C974" s="58" t="e">
        <f t="shared" si="114"/>
        <v>#N/A</v>
      </c>
      <c r="D974" s="83" t="e">
        <f t="shared" si="119"/>
        <v>#N/A</v>
      </c>
      <c r="E974" t="e">
        <f t="shared" si="115"/>
        <v>#N/A</v>
      </c>
      <c r="G974">
        <v>924</v>
      </c>
      <c r="H974" s="13" t="e">
        <f t="shared" si="120"/>
        <v>#N/A</v>
      </c>
      <c r="I974" t="e">
        <f t="shared" si="121"/>
        <v>#N/A</v>
      </c>
      <c r="J974" t="e">
        <f t="shared" si="116"/>
        <v>#N/A</v>
      </c>
      <c r="K974" s="27" t="e">
        <f t="shared" si="117"/>
        <v>#N/A</v>
      </c>
    </row>
    <row r="975" spans="1:11">
      <c r="A975" s="26">
        <v>925</v>
      </c>
      <c r="B975" s="82" t="e">
        <f t="shared" si="118"/>
        <v>#N/A</v>
      </c>
      <c r="C975" s="58" t="e">
        <f t="shared" si="114"/>
        <v>#N/A</v>
      </c>
      <c r="D975" s="83" t="e">
        <f t="shared" si="119"/>
        <v>#N/A</v>
      </c>
      <c r="E975" t="e">
        <f t="shared" si="115"/>
        <v>#N/A</v>
      </c>
      <c r="G975">
        <v>925</v>
      </c>
      <c r="H975" s="13" t="e">
        <f t="shared" si="120"/>
        <v>#N/A</v>
      </c>
      <c r="I975" t="e">
        <f t="shared" si="121"/>
        <v>#N/A</v>
      </c>
      <c r="J975" t="e">
        <f t="shared" si="116"/>
        <v>#N/A</v>
      </c>
      <c r="K975" s="27" t="e">
        <f t="shared" si="117"/>
        <v>#N/A</v>
      </c>
    </row>
    <row r="976" spans="1:11">
      <c r="A976" s="26">
        <v>926</v>
      </c>
      <c r="B976" s="82" t="e">
        <f t="shared" si="118"/>
        <v>#N/A</v>
      </c>
      <c r="C976" s="58" t="e">
        <f t="shared" ref="C976:C1039" si="122">($C$37-$C$36)/2000+C975</f>
        <v>#N/A</v>
      </c>
      <c r="D976" s="83" t="e">
        <f t="shared" si="119"/>
        <v>#N/A</v>
      </c>
      <c r="E976" t="e">
        <f t="shared" si="115"/>
        <v>#N/A</v>
      </c>
      <c r="G976">
        <v>926</v>
      </c>
      <c r="H976" s="13" t="e">
        <f t="shared" si="120"/>
        <v>#N/A</v>
      </c>
      <c r="I976" t="e">
        <f t="shared" si="121"/>
        <v>#N/A</v>
      </c>
      <c r="J976" t="e">
        <f t="shared" si="116"/>
        <v>#N/A</v>
      </c>
      <c r="K976" s="27" t="e">
        <f t="shared" si="117"/>
        <v>#N/A</v>
      </c>
    </row>
    <row r="977" spans="1:11">
      <c r="A977" s="26">
        <v>927</v>
      </c>
      <c r="B977" s="82" t="e">
        <f t="shared" si="118"/>
        <v>#N/A</v>
      </c>
      <c r="C977" s="58" t="e">
        <f t="shared" si="122"/>
        <v>#N/A</v>
      </c>
      <c r="D977" s="83" t="e">
        <f t="shared" si="119"/>
        <v>#N/A</v>
      </c>
      <c r="E977" t="e">
        <f t="shared" si="115"/>
        <v>#N/A</v>
      </c>
      <c r="G977">
        <v>927</v>
      </c>
      <c r="H977" s="13" t="e">
        <f t="shared" si="120"/>
        <v>#N/A</v>
      </c>
      <c r="I977" t="e">
        <f t="shared" si="121"/>
        <v>#N/A</v>
      </c>
      <c r="J977" t="e">
        <f t="shared" si="116"/>
        <v>#N/A</v>
      </c>
      <c r="K977" s="27" t="e">
        <f t="shared" si="117"/>
        <v>#N/A</v>
      </c>
    </row>
    <row r="978" spans="1:11">
      <c r="A978" s="26">
        <v>928</v>
      </c>
      <c r="B978" s="82" t="e">
        <f t="shared" si="118"/>
        <v>#N/A</v>
      </c>
      <c r="C978" s="58" t="e">
        <f t="shared" si="122"/>
        <v>#N/A</v>
      </c>
      <c r="D978" s="83" t="e">
        <f t="shared" si="119"/>
        <v>#N/A</v>
      </c>
      <c r="E978" t="e">
        <f t="shared" si="115"/>
        <v>#N/A</v>
      </c>
      <c r="G978">
        <v>928</v>
      </c>
      <c r="H978" s="13" t="e">
        <f t="shared" si="120"/>
        <v>#N/A</v>
      </c>
      <c r="I978" t="e">
        <f t="shared" si="121"/>
        <v>#N/A</v>
      </c>
      <c r="J978" t="e">
        <f t="shared" si="116"/>
        <v>#N/A</v>
      </c>
      <c r="K978" s="27" t="e">
        <f t="shared" si="117"/>
        <v>#N/A</v>
      </c>
    </row>
    <row r="979" spans="1:11">
      <c r="A979" s="26">
        <v>929</v>
      </c>
      <c r="B979" s="82" t="e">
        <f t="shared" si="118"/>
        <v>#N/A</v>
      </c>
      <c r="C979" s="58" t="e">
        <f t="shared" si="122"/>
        <v>#N/A</v>
      </c>
      <c r="D979" s="83" t="e">
        <f t="shared" si="119"/>
        <v>#N/A</v>
      </c>
      <c r="E979" t="e">
        <f t="shared" si="115"/>
        <v>#N/A</v>
      </c>
      <c r="G979">
        <v>929</v>
      </c>
      <c r="H979" s="13" t="e">
        <f t="shared" si="120"/>
        <v>#N/A</v>
      </c>
      <c r="I979" t="e">
        <f t="shared" si="121"/>
        <v>#N/A</v>
      </c>
      <c r="J979" t="e">
        <f t="shared" si="116"/>
        <v>#N/A</v>
      </c>
      <c r="K979" s="27" t="e">
        <f t="shared" si="117"/>
        <v>#N/A</v>
      </c>
    </row>
    <row r="980" spans="1:11">
      <c r="A980" s="26">
        <v>930</v>
      </c>
      <c r="B980" s="82" t="e">
        <f t="shared" si="118"/>
        <v>#N/A</v>
      </c>
      <c r="C980" s="58" t="e">
        <f t="shared" si="122"/>
        <v>#N/A</v>
      </c>
      <c r="D980" s="83" t="e">
        <f t="shared" si="119"/>
        <v>#N/A</v>
      </c>
      <c r="E980" t="e">
        <f t="shared" si="115"/>
        <v>#N/A</v>
      </c>
      <c r="G980">
        <v>930</v>
      </c>
      <c r="H980" s="13" t="e">
        <f t="shared" si="120"/>
        <v>#N/A</v>
      </c>
      <c r="I980" t="e">
        <f t="shared" si="121"/>
        <v>#N/A</v>
      </c>
      <c r="J980" t="e">
        <f t="shared" si="116"/>
        <v>#N/A</v>
      </c>
      <c r="K980" s="27" t="e">
        <f t="shared" si="117"/>
        <v>#N/A</v>
      </c>
    </row>
    <row r="981" spans="1:11">
      <c r="A981" s="26">
        <v>931</v>
      </c>
      <c r="B981" s="82" t="e">
        <f t="shared" si="118"/>
        <v>#N/A</v>
      </c>
      <c r="C981" s="58" t="e">
        <f t="shared" si="122"/>
        <v>#N/A</v>
      </c>
      <c r="D981" s="83" t="e">
        <f t="shared" si="119"/>
        <v>#N/A</v>
      </c>
      <c r="E981" t="e">
        <f t="shared" si="115"/>
        <v>#N/A</v>
      </c>
      <c r="G981">
        <v>931</v>
      </c>
      <c r="H981" s="13" t="e">
        <f t="shared" si="120"/>
        <v>#N/A</v>
      </c>
      <c r="I981" t="e">
        <f t="shared" si="121"/>
        <v>#N/A</v>
      </c>
      <c r="J981" t="e">
        <f t="shared" si="116"/>
        <v>#N/A</v>
      </c>
      <c r="K981" s="27" t="e">
        <f t="shared" si="117"/>
        <v>#N/A</v>
      </c>
    </row>
    <row r="982" spans="1:11">
      <c r="A982" s="26">
        <v>932</v>
      </c>
      <c r="B982" s="82" t="e">
        <f t="shared" si="118"/>
        <v>#N/A</v>
      </c>
      <c r="C982" s="58" t="e">
        <f t="shared" si="122"/>
        <v>#N/A</v>
      </c>
      <c r="D982" s="83" t="e">
        <f t="shared" si="119"/>
        <v>#N/A</v>
      </c>
      <c r="E982" t="e">
        <f t="shared" si="115"/>
        <v>#N/A</v>
      </c>
      <c r="G982">
        <v>932</v>
      </c>
      <c r="H982" s="13" t="e">
        <f t="shared" si="120"/>
        <v>#N/A</v>
      </c>
      <c r="I982" t="e">
        <f t="shared" si="121"/>
        <v>#N/A</v>
      </c>
      <c r="J982" t="e">
        <f t="shared" si="116"/>
        <v>#N/A</v>
      </c>
      <c r="K982" s="27" t="e">
        <f t="shared" si="117"/>
        <v>#N/A</v>
      </c>
    </row>
    <row r="983" spans="1:11">
      <c r="A983" s="26">
        <v>933</v>
      </c>
      <c r="B983" s="82" t="e">
        <f t="shared" si="118"/>
        <v>#N/A</v>
      </c>
      <c r="C983" s="58" t="e">
        <f t="shared" si="122"/>
        <v>#N/A</v>
      </c>
      <c r="D983" s="83" t="e">
        <f t="shared" si="119"/>
        <v>#N/A</v>
      </c>
      <c r="E983" t="e">
        <f t="shared" si="115"/>
        <v>#N/A</v>
      </c>
      <c r="G983">
        <v>933</v>
      </c>
      <c r="H983" s="13" t="e">
        <f t="shared" si="120"/>
        <v>#N/A</v>
      </c>
      <c r="I983" t="e">
        <f t="shared" si="121"/>
        <v>#N/A</v>
      </c>
      <c r="J983" t="e">
        <f t="shared" si="116"/>
        <v>#N/A</v>
      </c>
      <c r="K983" s="27" t="e">
        <f t="shared" si="117"/>
        <v>#N/A</v>
      </c>
    </row>
    <row r="984" spans="1:11">
      <c r="A984" s="26">
        <v>934</v>
      </c>
      <c r="B984" s="82" t="e">
        <f t="shared" si="118"/>
        <v>#N/A</v>
      </c>
      <c r="C984" s="58" t="e">
        <f t="shared" si="122"/>
        <v>#N/A</v>
      </c>
      <c r="D984" s="83" t="e">
        <f t="shared" si="119"/>
        <v>#N/A</v>
      </c>
      <c r="E984" t="e">
        <f t="shared" si="115"/>
        <v>#N/A</v>
      </c>
      <c r="G984">
        <v>934</v>
      </c>
      <c r="H984" s="13" t="e">
        <f t="shared" si="120"/>
        <v>#N/A</v>
      </c>
      <c r="I984" t="e">
        <f t="shared" si="121"/>
        <v>#N/A</v>
      </c>
      <c r="J984" t="e">
        <f t="shared" si="116"/>
        <v>#N/A</v>
      </c>
      <c r="K984" s="27" t="e">
        <f t="shared" si="117"/>
        <v>#N/A</v>
      </c>
    </row>
    <row r="985" spans="1:11">
      <c r="A985" s="26">
        <v>935</v>
      </c>
      <c r="B985" s="82" t="e">
        <f t="shared" si="118"/>
        <v>#N/A</v>
      </c>
      <c r="C985" s="58" t="e">
        <f t="shared" si="122"/>
        <v>#N/A</v>
      </c>
      <c r="D985" s="83" t="e">
        <f t="shared" si="119"/>
        <v>#N/A</v>
      </c>
      <c r="E985" t="e">
        <f t="shared" si="115"/>
        <v>#N/A</v>
      </c>
      <c r="G985">
        <v>935</v>
      </c>
      <c r="H985" s="13" t="e">
        <f t="shared" si="120"/>
        <v>#N/A</v>
      </c>
      <c r="I985" t="e">
        <f t="shared" si="121"/>
        <v>#N/A</v>
      </c>
      <c r="J985" t="e">
        <f t="shared" si="116"/>
        <v>#N/A</v>
      </c>
      <c r="K985" s="27" t="e">
        <f t="shared" si="117"/>
        <v>#N/A</v>
      </c>
    </row>
    <row r="986" spans="1:11">
      <c r="A986" s="26">
        <v>936</v>
      </c>
      <c r="B986" s="82" t="e">
        <f t="shared" si="118"/>
        <v>#N/A</v>
      </c>
      <c r="C986" s="58" t="e">
        <f t="shared" si="122"/>
        <v>#N/A</v>
      </c>
      <c r="D986" s="83" t="e">
        <f t="shared" si="119"/>
        <v>#N/A</v>
      </c>
      <c r="E986" t="e">
        <f t="shared" si="115"/>
        <v>#N/A</v>
      </c>
      <c r="G986">
        <v>936</v>
      </c>
      <c r="H986" s="13" t="e">
        <f t="shared" si="120"/>
        <v>#N/A</v>
      </c>
      <c r="I986" t="e">
        <f t="shared" si="121"/>
        <v>#N/A</v>
      </c>
      <c r="J986" t="e">
        <f t="shared" si="116"/>
        <v>#N/A</v>
      </c>
      <c r="K986" s="27" t="e">
        <f t="shared" si="117"/>
        <v>#N/A</v>
      </c>
    </row>
    <row r="987" spans="1:11">
      <c r="A987" s="26">
        <v>937</v>
      </c>
      <c r="B987" s="82" t="e">
        <f t="shared" si="118"/>
        <v>#N/A</v>
      </c>
      <c r="C987" s="58" t="e">
        <f t="shared" si="122"/>
        <v>#N/A</v>
      </c>
      <c r="D987" s="83" t="e">
        <f t="shared" si="119"/>
        <v>#N/A</v>
      </c>
      <c r="E987" t="e">
        <f t="shared" si="115"/>
        <v>#N/A</v>
      </c>
      <c r="G987">
        <v>937</v>
      </c>
      <c r="H987" s="13" t="e">
        <f t="shared" si="120"/>
        <v>#N/A</v>
      </c>
      <c r="I987" t="e">
        <f t="shared" si="121"/>
        <v>#N/A</v>
      </c>
      <c r="J987" t="e">
        <f t="shared" si="116"/>
        <v>#N/A</v>
      </c>
      <c r="K987" s="27" t="e">
        <f t="shared" si="117"/>
        <v>#N/A</v>
      </c>
    </row>
    <row r="988" spans="1:11">
      <c r="A988" s="26">
        <v>938</v>
      </c>
      <c r="B988" s="82" t="e">
        <f t="shared" si="118"/>
        <v>#N/A</v>
      </c>
      <c r="C988" s="58" t="e">
        <f t="shared" si="122"/>
        <v>#N/A</v>
      </c>
      <c r="D988" s="83" t="e">
        <f t="shared" si="119"/>
        <v>#N/A</v>
      </c>
      <c r="E988" t="e">
        <f t="shared" si="115"/>
        <v>#N/A</v>
      </c>
      <c r="G988">
        <v>938</v>
      </c>
      <c r="H988" s="13" t="e">
        <f t="shared" si="120"/>
        <v>#N/A</v>
      </c>
      <c r="I988" t="e">
        <f t="shared" si="121"/>
        <v>#N/A</v>
      </c>
      <c r="J988" t="e">
        <f t="shared" si="116"/>
        <v>#N/A</v>
      </c>
      <c r="K988" s="27" t="e">
        <f t="shared" si="117"/>
        <v>#N/A</v>
      </c>
    </row>
    <row r="989" spans="1:11">
      <c r="A989" s="26">
        <v>939</v>
      </c>
      <c r="B989" s="82" t="e">
        <f t="shared" si="118"/>
        <v>#N/A</v>
      </c>
      <c r="C989" s="58" t="e">
        <f t="shared" si="122"/>
        <v>#N/A</v>
      </c>
      <c r="D989" s="83" t="e">
        <f t="shared" si="119"/>
        <v>#N/A</v>
      </c>
      <c r="E989" t="e">
        <f t="shared" si="115"/>
        <v>#N/A</v>
      </c>
      <c r="G989">
        <v>939</v>
      </c>
      <c r="H989" s="13" t="e">
        <f t="shared" si="120"/>
        <v>#N/A</v>
      </c>
      <c r="I989" t="e">
        <f t="shared" si="121"/>
        <v>#N/A</v>
      </c>
      <c r="J989" t="e">
        <f t="shared" si="116"/>
        <v>#N/A</v>
      </c>
      <c r="K989" s="27" t="e">
        <f t="shared" si="117"/>
        <v>#N/A</v>
      </c>
    </row>
    <row r="990" spans="1:11">
      <c r="A990" s="26">
        <v>940</v>
      </c>
      <c r="B990" s="82" t="e">
        <f t="shared" si="118"/>
        <v>#N/A</v>
      </c>
      <c r="C990" s="58" t="e">
        <f t="shared" si="122"/>
        <v>#N/A</v>
      </c>
      <c r="D990" s="83" t="e">
        <f t="shared" si="119"/>
        <v>#N/A</v>
      </c>
      <c r="E990" t="e">
        <f t="shared" si="115"/>
        <v>#N/A</v>
      </c>
      <c r="G990">
        <v>940</v>
      </c>
      <c r="H990" s="13" t="e">
        <f t="shared" si="120"/>
        <v>#N/A</v>
      </c>
      <c r="I990" t="e">
        <f t="shared" si="121"/>
        <v>#N/A</v>
      </c>
      <c r="J990" t="e">
        <f t="shared" si="116"/>
        <v>#N/A</v>
      </c>
      <c r="K990" s="27" t="e">
        <f t="shared" si="117"/>
        <v>#N/A</v>
      </c>
    </row>
    <row r="991" spans="1:11">
      <c r="A991" s="26">
        <v>941</v>
      </c>
      <c r="B991" s="82" t="e">
        <f t="shared" si="118"/>
        <v>#N/A</v>
      </c>
      <c r="C991" s="58" t="e">
        <f t="shared" si="122"/>
        <v>#N/A</v>
      </c>
      <c r="D991" s="83" t="e">
        <f t="shared" si="119"/>
        <v>#N/A</v>
      </c>
      <c r="E991" t="e">
        <f t="shared" si="115"/>
        <v>#N/A</v>
      </c>
      <c r="G991">
        <v>941</v>
      </c>
      <c r="H991" s="13" t="e">
        <f t="shared" si="120"/>
        <v>#N/A</v>
      </c>
      <c r="I991" t="e">
        <f t="shared" si="121"/>
        <v>#N/A</v>
      </c>
      <c r="J991" t="e">
        <f t="shared" si="116"/>
        <v>#N/A</v>
      </c>
      <c r="K991" s="27" t="e">
        <f t="shared" si="117"/>
        <v>#N/A</v>
      </c>
    </row>
    <row r="992" spans="1:11">
      <c r="A992" s="26">
        <v>942</v>
      </c>
      <c r="B992" s="82" t="e">
        <f t="shared" si="118"/>
        <v>#N/A</v>
      </c>
      <c r="C992" s="58" t="e">
        <f t="shared" si="122"/>
        <v>#N/A</v>
      </c>
      <c r="D992" s="83" t="e">
        <f t="shared" si="119"/>
        <v>#N/A</v>
      </c>
      <c r="E992" t="e">
        <f t="shared" si="115"/>
        <v>#N/A</v>
      </c>
      <c r="G992">
        <v>942</v>
      </c>
      <c r="H992" s="13" t="e">
        <f t="shared" si="120"/>
        <v>#N/A</v>
      </c>
      <c r="I992" t="e">
        <f t="shared" si="121"/>
        <v>#N/A</v>
      </c>
      <c r="J992" t="e">
        <f t="shared" si="116"/>
        <v>#N/A</v>
      </c>
      <c r="K992" s="27" t="e">
        <f t="shared" si="117"/>
        <v>#N/A</v>
      </c>
    </row>
    <row r="993" spans="1:11">
      <c r="A993" s="26">
        <v>943</v>
      </c>
      <c r="B993" s="82" t="e">
        <f t="shared" si="118"/>
        <v>#N/A</v>
      </c>
      <c r="C993" s="58" t="e">
        <f t="shared" si="122"/>
        <v>#N/A</v>
      </c>
      <c r="D993" s="83" t="e">
        <f t="shared" si="119"/>
        <v>#N/A</v>
      </c>
      <c r="E993" t="e">
        <f t="shared" si="115"/>
        <v>#N/A</v>
      </c>
      <c r="G993">
        <v>943</v>
      </c>
      <c r="H993" s="13" t="e">
        <f t="shared" si="120"/>
        <v>#N/A</v>
      </c>
      <c r="I993" t="e">
        <f t="shared" si="121"/>
        <v>#N/A</v>
      </c>
      <c r="J993" t="e">
        <f t="shared" si="116"/>
        <v>#N/A</v>
      </c>
      <c r="K993" s="27" t="e">
        <f t="shared" si="117"/>
        <v>#N/A</v>
      </c>
    </row>
    <row r="994" spans="1:11">
      <c r="A994" s="26">
        <v>944</v>
      </c>
      <c r="B994" s="82" t="e">
        <f t="shared" si="118"/>
        <v>#N/A</v>
      </c>
      <c r="C994" s="58" t="e">
        <f t="shared" si="122"/>
        <v>#N/A</v>
      </c>
      <c r="D994" s="83" t="e">
        <f t="shared" si="119"/>
        <v>#N/A</v>
      </c>
      <c r="E994" t="e">
        <f t="shared" si="115"/>
        <v>#N/A</v>
      </c>
      <c r="G994">
        <v>944</v>
      </c>
      <c r="H994" s="13" t="e">
        <f t="shared" si="120"/>
        <v>#N/A</v>
      </c>
      <c r="I994" t="e">
        <f t="shared" si="121"/>
        <v>#N/A</v>
      </c>
      <c r="J994" t="e">
        <f t="shared" si="116"/>
        <v>#N/A</v>
      </c>
      <c r="K994" s="27" t="e">
        <f t="shared" si="117"/>
        <v>#N/A</v>
      </c>
    </row>
    <row r="995" spans="1:11">
      <c r="A995" s="26">
        <v>945</v>
      </c>
      <c r="B995" s="82" t="e">
        <f t="shared" si="118"/>
        <v>#N/A</v>
      </c>
      <c r="C995" s="58" t="e">
        <f t="shared" si="122"/>
        <v>#N/A</v>
      </c>
      <c r="D995" s="83" t="e">
        <f t="shared" si="119"/>
        <v>#N/A</v>
      </c>
      <c r="E995" t="e">
        <f t="shared" si="115"/>
        <v>#N/A</v>
      </c>
      <c r="G995">
        <v>945</v>
      </c>
      <c r="H995" s="13" t="e">
        <f t="shared" si="120"/>
        <v>#N/A</v>
      </c>
      <c r="I995" t="e">
        <f t="shared" si="121"/>
        <v>#N/A</v>
      </c>
      <c r="J995" t="e">
        <f t="shared" si="116"/>
        <v>#N/A</v>
      </c>
      <c r="K995" s="27" t="e">
        <f t="shared" si="117"/>
        <v>#N/A</v>
      </c>
    </row>
    <row r="996" spans="1:11">
      <c r="A996" s="26">
        <v>946</v>
      </c>
      <c r="B996" s="82" t="e">
        <f t="shared" si="118"/>
        <v>#N/A</v>
      </c>
      <c r="C996" s="58" t="e">
        <f t="shared" si="122"/>
        <v>#N/A</v>
      </c>
      <c r="D996" s="83" t="e">
        <f t="shared" si="119"/>
        <v>#N/A</v>
      </c>
      <c r="E996" t="e">
        <f t="shared" si="115"/>
        <v>#N/A</v>
      </c>
      <c r="G996">
        <v>946</v>
      </c>
      <c r="H996" s="13" t="e">
        <f t="shared" si="120"/>
        <v>#N/A</v>
      </c>
      <c r="I996" t="e">
        <f t="shared" si="121"/>
        <v>#N/A</v>
      </c>
      <c r="J996" t="e">
        <f t="shared" si="116"/>
        <v>#N/A</v>
      </c>
      <c r="K996" s="27" t="e">
        <f t="shared" si="117"/>
        <v>#N/A</v>
      </c>
    </row>
    <row r="997" spans="1:11">
      <c r="A997" s="26">
        <v>947</v>
      </c>
      <c r="B997" s="82" t="e">
        <f t="shared" si="118"/>
        <v>#N/A</v>
      </c>
      <c r="C997" s="58" t="e">
        <f t="shared" si="122"/>
        <v>#N/A</v>
      </c>
      <c r="D997" s="83" t="e">
        <f t="shared" si="119"/>
        <v>#N/A</v>
      </c>
      <c r="E997" t="e">
        <f t="shared" si="115"/>
        <v>#N/A</v>
      </c>
      <c r="G997">
        <v>947</v>
      </c>
      <c r="H997" s="13" t="e">
        <f t="shared" si="120"/>
        <v>#N/A</v>
      </c>
      <c r="I997" t="e">
        <f t="shared" si="121"/>
        <v>#N/A</v>
      </c>
      <c r="J997" t="e">
        <f t="shared" si="116"/>
        <v>#N/A</v>
      </c>
      <c r="K997" s="27" t="e">
        <f t="shared" si="117"/>
        <v>#N/A</v>
      </c>
    </row>
    <row r="998" spans="1:11">
      <c r="A998" s="26">
        <v>948</v>
      </c>
      <c r="B998" s="82" t="e">
        <f t="shared" si="118"/>
        <v>#N/A</v>
      </c>
      <c r="C998" s="58" t="e">
        <f t="shared" si="122"/>
        <v>#N/A</v>
      </c>
      <c r="D998" s="83" t="e">
        <f t="shared" si="119"/>
        <v>#N/A</v>
      </c>
      <c r="E998" t="e">
        <f t="shared" si="115"/>
        <v>#N/A</v>
      </c>
      <c r="G998">
        <v>948</v>
      </c>
      <c r="H998" s="13" t="e">
        <f t="shared" si="120"/>
        <v>#N/A</v>
      </c>
      <c r="I998" t="e">
        <f t="shared" si="121"/>
        <v>#N/A</v>
      </c>
      <c r="J998" t="e">
        <f t="shared" si="116"/>
        <v>#N/A</v>
      </c>
      <c r="K998" s="27" t="e">
        <f t="shared" si="117"/>
        <v>#N/A</v>
      </c>
    </row>
    <row r="999" spans="1:11">
      <c r="A999" s="26">
        <v>949</v>
      </c>
      <c r="B999" s="82" t="e">
        <f t="shared" si="118"/>
        <v>#N/A</v>
      </c>
      <c r="C999" s="58" t="e">
        <f t="shared" si="122"/>
        <v>#N/A</v>
      </c>
      <c r="D999" s="83" t="e">
        <f t="shared" si="119"/>
        <v>#N/A</v>
      </c>
      <c r="E999" t="e">
        <f t="shared" si="115"/>
        <v>#N/A</v>
      </c>
      <c r="G999">
        <v>949</v>
      </c>
      <c r="H999" s="13" t="e">
        <f t="shared" si="120"/>
        <v>#N/A</v>
      </c>
      <c r="I999" t="e">
        <f t="shared" si="121"/>
        <v>#N/A</v>
      </c>
      <c r="J999" t="e">
        <f t="shared" si="116"/>
        <v>#N/A</v>
      </c>
      <c r="K999" s="27" t="e">
        <f t="shared" si="117"/>
        <v>#N/A</v>
      </c>
    </row>
    <row r="1000" spans="1:11">
      <c r="A1000" s="26">
        <v>950</v>
      </c>
      <c r="B1000" s="82" t="e">
        <f t="shared" si="118"/>
        <v>#N/A</v>
      </c>
      <c r="C1000" s="58" t="e">
        <f t="shared" si="122"/>
        <v>#N/A</v>
      </c>
      <c r="D1000" s="83" t="e">
        <f t="shared" si="119"/>
        <v>#N/A</v>
      </c>
      <c r="E1000" t="e">
        <f t="shared" si="115"/>
        <v>#N/A</v>
      </c>
      <c r="G1000">
        <v>950</v>
      </c>
      <c r="H1000" s="13" t="e">
        <f t="shared" si="120"/>
        <v>#N/A</v>
      </c>
      <c r="I1000" t="e">
        <f t="shared" si="121"/>
        <v>#N/A</v>
      </c>
      <c r="J1000" t="e">
        <f t="shared" si="116"/>
        <v>#N/A</v>
      </c>
      <c r="K1000" s="27" t="e">
        <f t="shared" si="117"/>
        <v>#N/A</v>
      </c>
    </row>
    <row r="1001" spans="1:11">
      <c r="A1001" s="26">
        <v>951</v>
      </c>
      <c r="B1001" s="82" t="e">
        <f t="shared" si="118"/>
        <v>#N/A</v>
      </c>
      <c r="C1001" s="58" t="e">
        <f t="shared" si="122"/>
        <v>#N/A</v>
      </c>
      <c r="D1001" s="83" t="e">
        <f t="shared" si="119"/>
        <v>#N/A</v>
      </c>
      <c r="E1001" t="e">
        <f t="shared" si="115"/>
        <v>#N/A</v>
      </c>
      <c r="G1001">
        <v>951</v>
      </c>
      <c r="H1001" s="13" t="e">
        <f t="shared" si="120"/>
        <v>#N/A</v>
      </c>
      <c r="I1001" t="e">
        <f t="shared" si="121"/>
        <v>#N/A</v>
      </c>
      <c r="J1001" t="e">
        <f t="shared" si="116"/>
        <v>#N/A</v>
      </c>
      <c r="K1001" s="27" t="e">
        <f t="shared" si="117"/>
        <v>#N/A</v>
      </c>
    </row>
    <row r="1002" spans="1:11">
      <c r="A1002" s="26">
        <v>952</v>
      </c>
      <c r="B1002" s="82" t="e">
        <f t="shared" si="118"/>
        <v>#N/A</v>
      </c>
      <c r="C1002" s="58" t="e">
        <f t="shared" si="122"/>
        <v>#N/A</v>
      </c>
      <c r="D1002" s="83" t="e">
        <f t="shared" si="119"/>
        <v>#N/A</v>
      </c>
      <c r="E1002" t="e">
        <f t="shared" si="115"/>
        <v>#N/A</v>
      </c>
      <c r="G1002">
        <v>952</v>
      </c>
      <c r="H1002" s="13" t="e">
        <f t="shared" si="120"/>
        <v>#N/A</v>
      </c>
      <c r="I1002" t="e">
        <f t="shared" si="121"/>
        <v>#N/A</v>
      </c>
      <c r="J1002" t="e">
        <f t="shared" si="116"/>
        <v>#N/A</v>
      </c>
      <c r="K1002" s="27" t="e">
        <f t="shared" si="117"/>
        <v>#N/A</v>
      </c>
    </row>
    <row r="1003" spans="1:11">
      <c r="A1003" s="26">
        <v>953</v>
      </c>
      <c r="B1003" s="82" t="e">
        <f t="shared" si="118"/>
        <v>#N/A</v>
      </c>
      <c r="C1003" s="58" t="e">
        <f t="shared" si="122"/>
        <v>#N/A</v>
      </c>
      <c r="D1003" s="83" t="e">
        <f t="shared" si="119"/>
        <v>#N/A</v>
      </c>
      <c r="E1003" t="e">
        <f t="shared" si="115"/>
        <v>#N/A</v>
      </c>
      <c r="G1003">
        <v>953</v>
      </c>
      <c r="H1003" s="13" t="e">
        <f t="shared" si="120"/>
        <v>#N/A</v>
      </c>
      <c r="I1003" t="e">
        <f t="shared" si="121"/>
        <v>#N/A</v>
      </c>
      <c r="J1003" t="e">
        <f t="shared" si="116"/>
        <v>#N/A</v>
      </c>
      <c r="K1003" s="27" t="e">
        <f t="shared" si="117"/>
        <v>#N/A</v>
      </c>
    </row>
    <row r="1004" spans="1:11">
      <c r="A1004" s="26">
        <v>954</v>
      </c>
      <c r="B1004" s="82" t="e">
        <f t="shared" si="118"/>
        <v>#N/A</v>
      </c>
      <c r="C1004" s="58" t="e">
        <f t="shared" si="122"/>
        <v>#N/A</v>
      </c>
      <c r="D1004" s="83" t="e">
        <f t="shared" si="119"/>
        <v>#N/A</v>
      </c>
      <c r="E1004" t="e">
        <f t="shared" si="115"/>
        <v>#N/A</v>
      </c>
      <c r="G1004">
        <v>954</v>
      </c>
      <c r="H1004" s="13" t="e">
        <f t="shared" si="120"/>
        <v>#N/A</v>
      </c>
      <c r="I1004" t="e">
        <f t="shared" si="121"/>
        <v>#N/A</v>
      </c>
      <c r="J1004" t="e">
        <f t="shared" si="116"/>
        <v>#N/A</v>
      </c>
      <c r="K1004" s="27" t="e">
        <f t="shared" si="117"/>
        <v>#N/A</v>
      </c>
    </row>
    <row r="1005" spans="1:11">
      <c r="A1005" s="26">
        <v>955</v>
      </c>
      <c r="B1005" s="82" t="e">
        <f t="shared" si="118"/>
        <v>#N/A</v>
      </c>
      <c r="C1005" s="58" t="e">
        <f t="shared" si="122"/>
        <v>#N/A</v>
      </c>
      <c r="D1005" s="83" t="e">
        <f t="shared" si="119"/>
        <v>#N/A</v>
      </c>
      <c r="E1005" t="e">
        <f t="shared" si="115"/>
        <v>#N/A</v>
      </c>
      <c r="G1005">
        <v>955</v>
      </c>
      <c r="H1005" s="13" t="e">
        <f t="shared" si="120"/>
        <v>#N/A</v>
      </c>
      <c r="I1005" t="e">
        <f t="shared" si="121"/>
        <v>#N/A</v>
      </c>
      <c r="J1005" t="e">
        <f t="shared" si="116"/>
        <v>#N/A</v>
      </c>
      <c r="K1005" s="27" t="e">
        <f t="shared" si="117"/>
        <v>#N/A</v>
      </c>
    </row>
    <row r="1006" spans="1:11">
      <c r="A1006" s="26">
        <v>956</v>
      </c>
      <c r="B1006" s="82" t="e">
        <f t="shared" si="118"/>
        <v>#N/A</v>
      </c>
      <c r="C1006" s="58" t="e">
        <f t="shared" si="122"/>
        <v>#N/A</v>
      </c>
      <c r="D1006" s="83" t="e">
        <f t="shared" si="119"/>
        <v>#N/A</v>
      </c>
      <c r="E1006" t="e">
        <f t="shared" si="115"/>
        <v>#N/A</v>
      </c>
      <c r="G1006">
        <v>956</v>
      </c>
      <c r="H1006" s="13" t="e">
        <f t="shared" si="120"/>
        <v>#N/A</v>
      </c>
      <c r="I1006" t="e">
        <f t="shared" si="121"/>
        <v>#N/A</v>
      </c>
      <c r="J1006" t="e">
        <f t="shared" si="116"/>
        <v>#N/A</v>
      </c>
      <c r="K1006" s="27" t="e">
        <f t="shared" si="117"/>
        <v>#N/A</v>
      </c>
    </row>
    <row r="1007" spans="1:11">
      <c r="A1007" s="26">
        <v>957</v>
      </c>
      <c r="B1007" s="82" t="e">
        <f t="shared" si="118"/>
        <v>#N/A</v>
      </c>
      <c r="C1007" s="58" t="e">
        <f t="shared" si="122"/>
        <v>#N/A</v>
      </c>
      <c r="D1007" s="83" t="e">
        <f t="shared" si="119"/>
        <v>#N/A</v>
      </c>
      <c r="E1007" t="e">
        <f t="shared" si="115"/>
        <v>#N/A</v>
      </c>
      <c r="G1007">
        <v>957</v>
      </c>
      <c r="H1007" s="13" t="e">
        <f t="shared" si="120"/>
        <v>#N/A</v>
      </c>
      <c r="I1007" t="e">
        <f t="shared" si="121"/>
        <v>#N/A</v>
      </c>
      <c r="J1007" t="e">
        <f t="shared" si="116"/>
        <v>#N/A</v>
      </c>
      <c r="K1007" s="27" t="e">
        <f t="shared" si="117"/>
        <v>#N/A</v>
      </c>
    </row>
    <row r="1008" spans="1:11">
      <c r="A1008" s="26">
        <v>958</v>
      </c>
      <c r="B1008" s="82" t="e">
        <f t="shared" si="118"/>
        <v>#N/A</v>
      </c>
      <c r="C1008" s="58" t="e">
        <f t="shared" si="122"/>
        <v>#N/A</v>
      </c>
      <c r="D1008" s="83" t="e">
        <f t="shared" si="119"/>
        <v>#N/A</v>
      </c>
      <c r="E1008" t="e">
        <f t="shared" si="115"/>
        <v>#N/A</v>
      </c>
      <c r="G1008">
        <v>958</v>
      </c>
      <c r="H1008" s="13" t="e">
        <f t="shared" si="120"/>
        <v>#N/A</v>
      </c>
      <c r="I1008" t="e">
        <f t="shared" si="121"/>
        <v>#N/A</v>
      </c>
      <c r="J1008" t="e">
        <f t="shared" si="116"/>
        <v>#N/A</v>
      </c>
      <c r="K1008" s="27" t="e">
        <f t="shared" si="117"/>
        <v>#N/A</v>
      </c>
    </row>
    <row r="1009" spans="1:11">
      <c r="A1009" s="26">
        <v>959</v>
      </c>
      <c r="B1009" s="82" t="e">
        <f t="shared" si="118"/>
        <v>#N/A</v>
      </c>
      <c r="C1009" s="58" t="e">
        <f t="shared" si="122"/>
        <v>#N/A</v>
      </c>
      <c r="D1009" s="83" t="e">
        <f t="shared" si="119"/>
        <v>#N/A</v>
      </c>
      <c r="E1009" t="e">
        <f t="shared" si="115"/>
        <v>#N/A</v>
      </c>
      <c r="G1009">
        <v>959</v>
      </c>
      <c r="H1009" s="13" t="e">
        <f t="shared" si="120"/>
        <v>#N/A</v>
      </c>
      <c r="I1009" t="e">
        <f t="shared" si="121"/>
        <v>#N/A</v>
      </c>
      <c r="J1009" t="e">
        <f t="shared" si="116"/>
        <v>#N/A</v>
      </c>
      <c r="K1009" s="27" t="e">
        <f t="shared" si="117"/>
        <v>#N/A</v>
      </c>
    </row>
    <row r="1010" spans="1:11">
      <c r="A1010" s="26">
        <v>960</v>
      </c>
      <c r="B1010" s="82" t="e">
        <f t="shared" si="118"/>
        <v>#N/A</v>
      </c>
      <c r="C1010" s="58" t="e">
        <f t="shared" si="122"/>
        <v>#N/A</v>
      </c>
      <c r="D1010" s="83" t="e">
        <f t="shared" si="119"/>
        <v>#N/A</v>
      </c>
      <c r="E1010" t="e">
        <f t="shared" si="115"/>
        <v>#N/A</v>
      </c>
      <c r="G1010">
        <v>960</v>
      </c>
      <c r="H1010" s="13" t="e">
        <f t="shared" si="120"/>
        <v>#N/A</v>
      </c>
      <c r="I1010" t="e">
        <f t="shared" si="121"/>
        <v>#N/A</v>
      </c>
      <c r="J1010" t="e">
        <f t="shared" si="116"/>
        <v>#N/A</v>
      </c>
      <c r="K1010" s="27" t="e">
        <f t="shared" si="117"/>
        <v>#N/A</v>
      </c>
    </row>
    <row r="1011" spans="1:11">
      <c r="A1011" s="26">
        <v>961</v>
      </c>
      <c r="B1011" s="82" t="e">
        <f t="shared" si="118"/>
        <v>#N/A</v>
      </c>
      <c r="C1011" s="58" t="e">
        <f t="shared" si="122"/>
        <v>#N/A</v>
      </c>
      <c r="D1011" s="83" t="e">
        <f t="shared" si="119"/>
        <v>#N/A</v>
      </c>
      <c r="E1011" t="e">
        <f t="shared" ref="E1011:E1074" si="123">((D1011^2)+(D1011*D1012)+(D1012^2))*B1012/3</f>
        <v>#N/A</v>
      </c>
      <c r="G1011">
        <v>961</v>
      </c>
      <c r="H1011" s="13" t="e">
        <f t="shared" si="120"/>
        <v>#N/A</v>
      </c>
      <c r="I1011" t="e">
        <f t="shared" si="121"/>
        <v>#N/A</v>
      </c>
      <c r="J1011" t="e">
        <f t="shared" ref="J1011:J1074" si="124">IF($G$28&lt;$C$14,0,((($C$11^2)-((I1011-$C$13)^2))^0.5)+$C$16)</f>
        <v>#N/A</v>
      </c>
      <c r="K1011" s="27" t="e">
        <f t="shared" ref="K1011:K1074" si="125">((J1011^2)+(J1011*J1012)+(J1012^2))*H1012/3</f>
        <v>#N/A</v>
      </c>
    </row>
    <row r="1012" spans="1:11">
      <c r="A1012" s="26">
        <v>962</v>
      </c>
      <c r="B1012" s="82" t="e">
        <f t="shared" ref="B1012:B1075" si="126">C1012-C1011</f>
        <v>#N/A</v>
      </c>
      <c r="C1012" s="58" t="e">
        <f t="shared" si="122"/>
        <v>#N/A</v>
      </c>
      <c r="D1012" s="83" t="e">
        <f t="shared" ref="D1012:D1075" si="127">IF($G$28&lt;$C$14,0,((($C$11^2)-((C1012-$C$13)^2))^0.5)+$C$16)</f>
        <v>#N/A</v>
      </c>
      <c r="E1012" t="e">
        <f t="shared" si="123"/>
        <v>#N/A</v>
      </c>
      <c r="G1012">
        <v>962</v>
      </c>
      <c r="H1012" s="13" t="e">
        <f t="shared" ref="H1012:H1075" si="128">I1012-I1011</f>
        <v>#N/A</v>
      </c>
      <c r="I1012" t="e">
        <f t="shared" ref="I1012:I1075" si="129">($G$27-$C$14)/2000+I1011</f>
        <v>#N/A</v>
      </c>
      <c r="J1012" t="e">
        <f t="shared" si="124"/>
        <v>#N/A</v>
      </c>
      <c r="K1012" s="27" t="e">
        <f t="shared" si="125"/>
        <v>#N/A</v>
      </c>
    </row>
    <row r="1013" spans="1:11">
      <c r="A1013" s="26">
        <v>963</v>
      </c>
      <c r="B1013" s="82" t="e">
        <f t="shared" si="126"/>
        <v>#N/A</v>
      </c>
      <c r="C1013" s="58" t="e">
        <f t="shared" si="122"/>
        <v>#N/A</v>
      </c>
      <c r="D1013" s="83" t="e">
        <f t="shared" si="127"/>
        <v>#N/A</v>
      </c>
      <c r="E1013" t="e">
        <f t="shared" si="123"/>
        <v>#N/A</v>
      </c>
      <c r="G1013">
        <v>963</v>
      </c>
      <c r="H1013" s="13" t="e">
        <f t="shared" si="128"/>
        <v>#N/A</v>
      </c>
      <c r="I1013" t="e">
        <f t="shared" si="129"/>
        <v>#N/A</v>
      </c>
      <c r="J1013" t="e">
        <f t="shared" si="124"/>
        <v>#N/A</v>
      </c>
      <c r="K1013" s="27" t="e">
        <f t="shared" si="125"/>
        <v>#N/A</v>
      </c>
    </row>
    <row r="1014" spans="1:11">
      <c r="A1014" s="26">
        <v>964</v>
      </c>
      <c r="B1014" s="82" t="e">
        <f t="shared" si="126"/>
        <v>#N/A</v>
      </c>
      <c r="C1014" s="58" t="e">
        <f t="shared" si="122"/>
        <v>#N/A</v>
      </c>
      <c r="D1014" s="83" t="e">
        <f t="shared" si="127"/>
        <v>#N/A</v>
      </c>
      <c r="E1014" t="e">
        <f t="shared" si="123"/>
        <v>#N/A</v>
      </c>
      <c r="G1014">
        <v>964</v>
      </c>
      <c r="H1014" s="13" t="e">
        <f t="shared" si="128"/>
        <v>#N/A</v>
      </c>
      <c r="I1014" t="e">
        <f t="shared" si="129"/>
        <v>#N/A</v>
      </c>
      <c r="J1014" t="e">
        <f t="shared" si="124"/>
        <v>#N/A</v>
      </c>
      <c r="K1014" s="27" t="e">
        <f t="shared" si="125"/>
        <v>#N/A</v>
      </c>
    </row>
    <row r="1015" spans="1:11">
      <c r="A1015" s="26">
        <v>965</v>
      </c>
      <c r="B1015" s="82" t="e">
        <f t="shared" si="126"/>
        <v>#N/A</v>
      </c>
      <c r="C1015" s="58" t="e">
        <f t="shared" si="122"/>
        <v>#N/A</v>
      </c>
      <c r="D1015" s="83" t="e">
        <f t="shared" si="127"/>
        <v>#N/A</v>
      </c>
      <c r="E1015" t="e">
        <f t="shared" si="123"/>
        <v>#N/A</v>
      </c>
      <c r="G1015">
        <v>965</v>
      </c>
      <c r="H1015" s="13" t="e">
        <f t="shared" si="128"/>
        <v>#N/A</v>
      </c>
      <c r="I1015" t="e">
        <f t="shared" si="129"/>
        <v>#N/A</v>
      </c>
      <c r="J1015" t="e">
        <f t="shared" si="124"/>
        <v>#N/A</v>
      </c>
      <c r="K1015" s="27" t="e">
        <f t="shared" si="125"/>
        <v>#N/A</v>
      </c>
    </row>
    <row r="1016" spans="1:11">
      <c r="A1016" s="26">
        <v>966</v>
      </c>
      <c r="B1016" s="82" t="e">
        <f t="shared" si="126"/>
        <v>#N/A</v>
      </c>
      <c r="C1016" s="58" t="e">
        <f t="shared" si="122"/>
        <v>#N/A</v>
      </c>
      <c r="D1016" s="83" t="e">
        <f t="shared" si="127"/>
        <v>#N/A</v>
      </c>
      <c r="E1016" t="e">
        <f t="shared" si="123"/>
        <v>#N/A</v>
      </c>
      <c r="G1016">
        <v>966</v>
      </c>
      <c r="H1016" s="13" t="e">
        <f t="shared" si="128"/>
        <v>#N/A</v>
      </c>
      <c r="I1016" t="e">
        <f t="shared" si="129"/>
        <v>#N/A</v>
      </c>
      <c r="J1016" t="e">
        <f t="shared" si="124"/>
        <v>#N/A</v>
      </c>
      <c r="K1016" s="27" t="e">
        <f t="shared" si="125"/>
        <v>#N/A</v>
      </c>
    </row>
    <row r="1017" spans="1:11">
      <c r="A1017" s="26">
        <v>967</v>
      </c>
      <c r="B1017" s="82" t="e">
        <f t="shared" si="126"/>
        <v>#N/A</v>
      </c>
      <c r="C1017" s="58" t="e">
        <f t="shared" si="122"/>
        <v>#N/A</v>
      </c>
      <c r="D1017" s="83" t="e">
        <f t="shared" si="127"/>
        <v>#N/A</v>
      </c>
      <c r="E1017" t="e">
        <f t="shared" si="123"/>
        <v>#N/A</v>
      </c>
      <c r="G1017">
        <v>967</v>
      </c>
      <c r="H1017" s="13" t="e">
        <f t="shared" si="128"/>
        <v>#N/A</v>
      </c>
      <c r="I1017" t="e">
        <f t="shared" si="129"/>
        <v>#N/A</v>
      </c>
      <c r="J1017" t="e">
        <f t="shared" si="124"/>
        <v>#N/A</v>
      </c>
      <c r="K1017" s="27" t="e">
        <f t="shared" si="125"/>
        <v>#N/A</v>
      </c>
    </row>
    <row r="1018" spans="1:11">
      <c r="A1018" s="26">
        <v>968</v>
      </c>
      <c r="B1018" s="82" t="e">
        <f t="shared" si="126"/>
        <v>#N/A</v>
      </c>
      <c r="C1018" s="58" t="e">
        <f t="shared" si="122"/>
        <v>#N/A</v>
      </c>
      <c r="D1018" s="83" t="e">
        <f t="shared" si="127"/>
        <v>#N/A</v>
      </c>
      <c r="E1018" t="e">
        <f t="shared" si="123"/>
        <v>#N/A</v>
      </c>
      <c r="G1018">
        <v>968</v>
      </c>
      <c r="H1018" s="13" t="e">
        <f t="shared" si="128"/>
        <v>#N/A</v>
      </c>
      <c r="I1018" t="e">
        <f t="shared" si="129"/>
        <v>#N/A</v>
      </c>
      <c r="J1018" t="e">
        <f t="shared" si="124"/>
        <v>#N/A</v>
      </c>
      <c r="K1018" s="27" t="e">
        <f t="shared" si="125"/>
        <v>#N/A</v>
      </c>
    </row>
    <row r="1019" spans="1:11">
      <c r="A1019" s="26">
        <v>969</v>
      </c>
      <c r="B1019" s="82" t="e">
        <f t="shared" si="126"/>
        <v>#N/A</v>
      </c>
      <c r="C1019" s="58" t="e">
        <f t="shared" si="122"/>
        <v>#N/A</v>
      </c>
      <c r="D1019" s="83" t="e">
        <f t="shared" si="127"/>
        <v>#N/A</v>
      </c>
      <c r="E1019" t="e">
        <f t="shared" si="123"/>
        <v>#N/A</v>
      </c>
      <c r="G1019">
        <v>969</v>
      </c>
      <c r="H1019" s="13" t="e">
        <f t="shared" si="128"/>
        <v>#N/A</v>
      </c>
      <c r="I1019" t="e">
        <f t="shared" si="129"/>
        <v>#N/A</v>
      </c>
      <c r="J1019" t="e">
        <f t="shared" si="124"/>
        <v>#N/A</v>
      </c>
      <c r="K1019" s="27" t="e">
        <f t="shared" si="125"/>
        <v>#N/A</v>
      </c>
    </row>
    <row r="1020" spans="1:11">
      <c r="A1020" s="26">
        <v>970</v>
      </c>
      <c r="B1020" s="82" t="e">
        <f t="shared" si="126"/>
        <v>#N/A</v>
      </c>
      <c r="C1020" s="58" t="e">
        <f t="shared" si="122"/>
        <v>#N/A</v>
      </c>
      <c r="D1020" s="83" t="e">
        <f t="shared" si="127"/>
        <v>#N/A</v>
      </c>
      <c r="E1020" t="e">
        <f t="shared" si="123"/>
        <v>#N/A</v>
      </c>
      <c r="G1020">
        <v>970</v>
      </c>
      <c r="H1020" s="13" t="e">
        <f t="shared" si="128"/>
        <v>#N/A</v>
      </c>
      <c r="I1020" t="e">
        <f t="shared" si="129"/>
        <v>#N/A</v>
      </c>
      <c r="J1020" t="e">
        <f t="shared" si="124"/>
        <v>#N/A</v>
      </c>
      <c r="K1020" s="27" t="e">
        <f t="shared" si="125"/>
        <v>#N/A</v>
      </c>
    </row>
    <row r="1021" spans="1:11">
      <c r="A1021" s="26">
        <v>971</v>
      </c>
      <c r="B1021" s="82" t="e">
        <f t="shared" si="126"/>
        <v>#N/A</v>
      </c>
      <c r="C1021" s="58" t="e">
        <f t="shared" si="122"/>
        <v>#N/A</v>
      </c>
      <c r="D1021" s="83" t="e">
        <f t="shared" si="127"/>
        <v>#N/A</v>
      </c>
      <c r="E1021" t="e">
        <f t="shared" si="123"/>
        <v>#N/A</v>
      </c>
      <c r="G1021">
        <v>971</v>
      </c>
      <c r="H1021" s="13" t="e">
        <f t="shared" si="128"/>
        <v>#N/A</v>
      </c>
      <c r="I1021" t="e">
        <f t="shared" si="129"/>
        <v>#N/A</v>
      </c>
      <c r="J1021" t="e">
        <f t="shared" si="124"/>
        <v>#N/A</v>
      </c>
      <c r="K1021" s="27" t="e">
        <f t="shared" si="125"/>
        <v>#N/A</v>
      </c>
    </row>
    <row r="1022" spans="1:11">
      <c r="A1022" s="26">
        <v>972</v>
      </c>
      <c r="B1022" s="82" t="e">
        <f t="shared" si="126"/>
        <v>#N/A</v>
      </c>
      <c r="C1022" s="58" t="e">
        <f t="shared" si="122"/>
        <v>#N/A</v>
      </c>
      <c r="D1022" s="83" t="e">
        <f t="shared" si="127"/>
        <v>#N/A</v>
      </c>
      <c r="E1022" t="e">
        <f t="shared" si="123"/>
        <v>#N/A</v>
      </c>
      <c r="G1022">
        <v>972</v>
      </c>
      <c r="H1022" s="13" t="e">
        <f t="shared" si="128"/>
        <v>#N/A</v>
      </c>
      <c r="I1022" t="e">
        <f t="shared" si="129"/>
        <v>#N/A</v>
      </c>
      <c r="J1022" t="e">
        <f t="shared" si="124"/>
        <v>#N/A</v>
      </c>
      <c r="K1022" s="27" t="e">
        <f t="shared" si="125"/>
        <v>#N/A</v>
      </c>
    </row>
    <row r="1023" spans="1:11">
      <c r="A1023" s="26">
        <v>973</v>
      </c>
      <c r="B1023" s="82" t="e">
        <f t="shared" si="126"/>
        <v>#N/A</v>
      </c>
      <c r="C1023" s="58" t="e">
        <f t="shared" si="122"/>
        <v>#N/A</v>
      </c>
      <c r="D1023" s="83" t="e">
        <f t="shared" si="127"/>
        <v>#N/A</v>
      </c>
      <c r="E1023" t="e">
        <f t="shared" si="123"/>
        <v>#N/A</v>
      </c>
      <c r="G1023">
        <v>973</v>
      </c>
      <c r="H1023" s="13" t="e">
        <f t="shared" si="128"/>
        <v>#N/A</v>
      </c>
      <c r="I1023" t="e">
        <f t="shared" si="129"/>
        <v>#N/A</v>
      </c>
      <c r="J1023" t="e">
        <f t="shared" si="124"/>
        <v>#N/A</v>
      </c>
      <c r="K1023" s="27" t="e">
        <f t="shared" si="125"/>
        <v>#N/A</v>
      </c>
    </row>
    <row r="1024" spans="1:11">
      <c r="A1024" s="26">
        <v>974</v>
      </c>
      <c r="B1024" s="82" t="e">
        <f t="shared" si="126"/>
        <v>#N/A</v>
      </c>
      <c r="C1024" s="58" t="e">
        <f t="shared" si="122"/>
        <v>#N/A</v>
      </c>
      <c r="D1024" s="83" t="e">
        <f t="shared" si="127"/>
        <v>#N/A</v>
      </c>
      <c r="E1024" t="e">
        <f t="shared" si="123"/>
        <v>#N/A</v>
      </c>
      <c r="G1024">
        <v>974</v>
      </c>
      <c r="H1024" s="13" t="e">
        <f t="shared" si="128"/>
        <v>#N/A</v>
      </c>
      <c r="I1024" t="e">
        <f t="shared" si="129"/>
        <v>#N/A</v>
      </c>
      <c r="J1024" t="e">
        <f t="shared" si="124"/>
        <v>#N/A</v>
      </c>
      <c r="K1024" s="27" t="e">
        <f t="shared" si="125"/>
        <v>#N/A</v>
      </c>
    </row>
    <row r="1025" spans="1:11">
      <c r="A1025" s="26">
        <v>975</v>
      </c>
      <c r="B1025" s="82" t="e">
        <f t="shared" si="126"/>
        <v>#N/A</v>
      </c>
      <c r="C1025" s="58" t="e">
        <f t="shared" si="122"/>
        <v>#N/A</v>
      </c>
      <c r="D1025" s="83" t="e">
        <f t="shared" si="127"/>
        <v>#N/A</v>
      </c>
      <c r="E1025" t="e">
        <f t="shared" si="123"/>
        <v>#N/A</v>
      </c>
      <c r="G1025">
        <v>975</v>
      </c>
      <c r="H1025" s="13" t="e">
        <f t="shared" si="128"/>
        <v>#N/A</v>
      </c>
      <c r="I1025" t="e">
        <f t="shared" si="129"/>
        <v>#N/A</v>
      </c>
      <c r="J1025" t="e">
        <f t="shared" si="124"/>
        <v>#N/A</v>
      </c>
      <c r="K1025" s="27" t="e">
        <f t="shared" si="125"/>
        <v>#N/A</v>
      </c>
    </row>
    <row r="1026" spans="1:11">
      <c r="A1026" s="26">
        <v>976</v>
      </c>
      <c r="B1026" s="82" t="e">
        <f t="shared" si="126"/>
        <v>#N/A</v>
      </c>
      <c r="C1026" s="58" t="e">
        <f t="shared" si="122"/>
        <v>#N/A</v>
      </c>
      <c r="D1026" s="83" t="e">
        <f t="shared" si="127"/>
        <v>#N/A</v>
      </c>
      <c r="E1026" t="e">
        <f t="shared" si="123"/>
        <v>#N/A</v>
      </c>
      <c r="G1026">
        <v>976</v>
      </c>
      <c r="H1026" s="13" t="e">
        <f t="shared" si="128"/>
        <v>#N/A</v>
      </c>
      <c r="I1026" t="e">
        <f t="shared" si="129"/>
        <v>#N/A</v>
      </c>
      <c r="J1026" t="e">
        <f t="shared" si="124"/>
        <v>#N/A</v>
      </c>
      <c r="K1026" s="27" t="e">
        <f t="shared" si="125"/>
        <v>#N/A</v>
      </c>
    </row>
    <row r="1027" spans="1:11">
      <c r="A1027" s="26">
        <v>977</v>
      </c>
      <c r="B1027" s="82" t="e">
        <f t="shared" si="126"/>
        <v>#N/A</v>
      </c>
      <c r="C1027" s="58" t="e">
        <f t="shared" si="122"/>
        <v>#N/A</v>
      </c>
      <c r="D1027" s="83" t="e">
        <f t="shared" si="127"/>
        <v>#N/A</v>
      </c>
      <c r="E1027" t="e">
        <f t="shared" si="123"/>
        <v>#N/A</v>
      </c>
      <c r="G1027">
        <v>977</v>
      </c>
      <c r="H1027" s="13" t="e">
        <f t="shared" si="128"/>
        <v>#N/A</v>
      </c>
      <c r="I1027" t="e">
        <f t="shared" si="129"/>
        <v>#N/A</v>
      </c>
      <c r="J1027" t="e">
        <f t="shared" si="124"/>
        <v>#N/A</v>
      </c>
      <c r="K1027" s="27" t="e">
        <f t="shared" si="125"/>
        <v>#N/A</v>
      </c>
    </row>
    <row r="1028" spans="1:11">
      <c r="A1028" s="26">
        <v>978</v>
      </c>
      <c r="B1028" s="82" t="e">
        <f t="shared" si="126"/>
        <v>#N/A</v>
      </c>
      <c r="C1028" s="58" t="e">
        <f t="shared" si="122"/>
        <v>#N/A</v>
      </c>
      <c r="D1028" s="83" t="e">
        <f t="shared" si="127"/>
        <v>#N/A</v>
      </c>
      <c r="E1028" t="e">
        <f t="shared" si="123"/>
        <v>#N/A</v>
      </c>
      <c r="G1028">
        <v>978</v>
      </c>
      <c r="H1028" s="13" t="e">
        <f t="shared" si="128"/>
        <v>#N/A</v>
      </c>
      <c r="I1028" t="e">
        <f t="shared" si="129"/>
        <v>#N/A</v>
      </c>
      <c r="J1028" t="e">
        <f t="shared" si="124"/>
        <v>#N/A</v>
      </c>
      <c r="K1028" s="27" t="e">
        <f t="shared" si="125"/>
        <v>#N/A</v>
      </c>
    </row>
    <row r="1029" spans="1:11">
      <c r="A1029" s="26">
        <v>979</v>
      </c>
      <c r="B1029" s="82" t="e">
        <f t="shared" si="126"/>
        <v>#N/A</v>
      </c>
      <c r="C1029" s="58" t="e">
        <f t="shared" si="122"/>
        <v>#N/A</v>
      </c>
      <c r="D1029" s="83" t="e">
        <f t="shared" si="127"/>
        <v>#N/A</v>
      </c>
      <c r="E1029" t="e">
        <f t="shared" si="123"/>
        <v>#N/A</v>
      </c>
      <c r="G1029">
        <v>979</v>
      </c>
      <c r="H1029" s="13" t="e">
        <f t="shared" si="128"/>
        <v>#N/A</v>
      </c>
      <c r="I1029" t="e">
        <f t="shared" si="129"/>
        <v>#N/A</v>
      </c>
      <c r="J1029" t="e">
        <f t="shared" si="124"/>
        <v>#N/A</v>
      </c>
      <c r="K1029" s="27" t="e">
        <f t="shared" si="125"/>
        <v>#N/A</v>
      </c>
    </row>
    <row r="1030" spans="1:11">
      <c r="A1030" s="26">
        <v>980</v>
      </c>
      <c r="B1030" s="82" t="e">
        <f t="shared" si="126"/>
        <v>#N/A</v>
      </c>
      <c r="C1030" s="58" t="e">
        <f t="shared" si="122"/>
        <v>#N/A</v>
      </c>
      <c r="D1030" s="83" t="e">
        <f t="shared" si="127"/>
        <v>#N/A</v>
      </c>
      <c r="E1030" t="e">
        <f t="shared" si="123"/>
        <v>#N/A</v>
      </c>
      <c r="G1030">
        <v>980</v>
      </c>
      <c r="H1030" s="13" t="e">
        <f t="shared" si="128"/>
        <v>#N/A</v>
      </c>
      <c r="I1030" t="e">
        <f t="shared" si="129"/>
        <v>#N/A</v>
      </c>
      <c r="J1030" t="e">
        <f t="shared" si="124"/>
        <v>#N/A</v>
      </c>
      <c r="K1030" s="27" t="e">
        <f t="shared" si="125"/>
        <v>#N/A</v>
      </c>
    </row>
    <row r="1031" spans="1:11">
      <c r="A1031" s="26">
        <v>981</v>
      </c>
      <c r="B1031" s="82" t="e">
        <f t="shared" si="126"/>
        <v>#N/A</v>
      </c>
      <c r="C1031" s="58" t="e">
        <f t="shared" si="122"/>
        <v>#N/A</v>
      </c>
      <c r="D1031" s="83" t="e">
        <f t="shared" si="127"/>
        <v>#N/A</v>
      </c>
      <c r="E1031" t="e">
        <f t="shared" si="123"/>
        <v>#N/A</v>
      </c>
      <c r="G1031">
        <v>981</v>
      </c>
      <c r="H1031" s="13" t="e">
        <f t="shared" si="128"/>
        <v>#N/A</v>
      </c>
      <c r="I1031" t="e">
        <f t="shared" si="129"/>
        <v>#N/A</v>
      </c>
      <c r="J1031" t="e">
        <f t="shared" si="124"/>
        <v>#N/A</v>
      </c>
      <c r="K1031" s="27" t="e">
        <f t="shared" si="125"/>
        <v>#N/A</v>
      </c>
    </row>
    <row r="1032" spans="1:11">
      <c r="A1032" s="26">
        <v>982</v>
      </c>
      <c r="B1032" s="82" t="e">
        <f t="shared" si="126"/>
        <v>#N/A</v>
      </c>
      <c r="C1032" s="58" t="e">
        <f t="shared" si="122"/>
        <v>#N/A</v>
      </c>
      <c r="D1032" s="83" t="e">
        <f t="shared" si="127"/>
        <v>#N/A</v>
      </c>
      <c r="E1032" t="e">
        <f t="shared" si="123"/>
        <v>#N/A</v>
      </c>
      <c r="G1032">
        <v>982</v>
      </c>
      <c r="H1032" s="13" t="e">
        <f t="shared" si="128"/>
        <v>#N/A</v>
      </c>
      <c r="I1032" t="e">
        <f t="shared" si="129"/>
        <v>#N/A</v>
      </c>
      <c r="J1032" t="e">
        <f t="shared" si="124"/>
        <v>#N/A</v>
      </c>
      <c r="K1032" s="27" t="e">
        <f t="shared" si="125"/>
        <v>#N/A</v>
      </c>
    </row>
    <row r="1033" spans="1:11">
      <c r="A1033" s="26">
        <v>983</v>
      </c>
      <c r="B1033" s="82" t="e">
        <f t="shared" si="126"/>
        <v>#N/A</v>
      </c>
      <c r="C1033" s="58" t="e">
        <f t="shared" si="122"/>
        <v>#N/A</v>
      </c>
      <c r="D1033" s="83" t="e">
        <f t="shared" si="127"/>
        <v>#N/A</v>
      </c>
      <c r="E1033" t="e">
        <f t="shared" si="123"/>
        <v>#N/A</v>
      </c>
      <c r="G1033">
        <v>983</v>
      </c>
      <c r="H1033" s="13" t="e">
        <f t="shared" si="128"/>
        <v>#N/A</v>
      </c>
      <c r="I1033" t="e">
        <f t="shared" si="129"/>
        <v>#N/A</v>
      </c>
      <c r="J1033" t="e">
        <f t="shared" si="124"/>
        <v>#N/A</v>
      </c>
      <c r="K1033" s="27" t="e">
        <f t="shared" si="125"/>
        <v>#N/A</v>
      </c>
    </row>
    <row r="1034" spans="1:11">
      <c r="A1034" s="26">
        <v>984</v>
      </c>
      <c r="B1034" s="82" t="e">
        <f t="shared" si="126"/>
        <v>#N/A</v>
      </c>
      <c r="C1034" s="58" t="e">
        <f t="shared" si="122"/>
        <v>#N/A</v>
      </c>
      <c r="D1034" s="83" t="e">
        <f t="shared" si="127"/>
        <v>#N/A</v>
      </c>
      <c r="E1034" t="e">
        <f t="shared" si="123"/>
        <v>#N/A</v>
      </c>
      <c r="G1034">
        <v>984</v>
      </c>
      <c r="H1034" s="13" t="e">
        <f t="shared" si="128"/>
        <v>#N/A</v>
      </c>
      <c r="I1034" t="e">
        <f t="shared" si="129"/>
        <v>#N/A</v>
      </c>
      <c r="J1034" t="e">
        <f t="shared" si="124"/>
        <v>#N/A</v>
      </c>
      <c r="K1034" s="27" t="e">
        <f t="shared" si="125"/>
        <v>#N/A</v>
      </c>
    </row>
    <row r="1035" spans="1:11">
      <c r="A1035" s="26">
        <v>985</v>
      </c>
      <c r="B1035" s="82" t="e">
        <f t="shared" si="126"/>
        <v>#N/A</v>
      </c>
      <c r="C1035" s="58" t="e">
        <f t="shared" si="122"/>
        <v>#N/A</v>
      </c>
      <c r="D1035" s="83" t="e">
        <f t="shared" si="127"/>
        <v>#N/A</v>
      </c>
      <c r="E1035" t="e">
        <f t="shared" si="123"/>
        <v>#N/A</v>
      </c>
      <c r="G1035">
        <v>985</v>
      </c>
      <c r="H1035" s="13" t="e">
        <f t="shared" si="128"/>
        <v>#N/A</v>
      </c>
      <c r="I1035" t="e">
        <f t="shared" si="129"/>
        <v>#N/A</v>
      </c>
      <c r="J1035" t="e">
        <f t="shared" si="124"/>
        <v>#N/A</v>
      </c>
      <c r="K1035" s="27" t="e">
        <f t="shared" si="125"/>
        <v>#N/A</v>
      </c>
    </row>
    <row r="1036" spans="1:11">
      <c r="A1036" s="26">
        <v>986</v>
      </c>
      <c r="B1036" s="82" t="e">
        <f t="shared" si="126"/>
        <v>#N/A</v>
      </c>
      <c r="C1036" s="58" t="e">
        <f t="shared" si="122"/>
        <v>#N/A</v>
      </c>
      <c r="D1036" s="83" t="e">
        <f t="shared" si="127"/>
        <v>#N/A</v>
      </c>
      <c r="E1036" t="e">
        <f t="shared" si="123"/>
        <v>#N/A</v>
      </c>
      <c r="G1036">
        <v>986</v>
      </c>
      <c r="H1036" s="13" t="e">
        <f t="shared" si="128"/>
        <v>#N/A</v>
      </c>
      <c r="I1036" t="e">
        <f t="shared" si="129"/>
        <v>#N/A</v>
      </c>
      <c r="J1036" t="e">
        <f t="shared" si="124"/>
        <v>#N/A</v>
      </c>
      <c r="K1036" s="27" t="e">
        <f t="shared" si="125"/>
        <v>#N/A</v>
      </c>
    </row>
    <row r="1037" spans="1:11">
      <c r="A1037" s="26">
        <v>987</v>
      </c>
      <c r="B1037" s="82" t="e">
        <f t="shared" si="126"/>
        <v>#N/A</v>
      </c>
      <c r="C1037" s="58" t="e">
        <f t="shared" si="122"/>
        <v>#N/A</v>
      </c>
      <c r="D1037" s="83" t="e">
        <f t="shared" si="127"/>
        <v>#N/A</v>
      </c>
      <c r="E1037" t="e">
        <f t="shared" si="123"/>
        <v>#N/A</v>
      </c>
      <c r="G1037">
        <v>987</v>
      </c>
      <c r="H1037" s="13" t="e">
        <f t="shared" si="128"/>
        <v>#N/A</v>
      </c>
      <c r="I1037" t="e">
        <f t="shared" si="129"/>
        <v>#N/A</v>
      </c>
      <c r="J1037" t="e">
        <f t="shared" si="124"/>
        <v>#N/A</v>
      </c>
      <c r="K1037" s="27" t="e">
        <f t="shared" si="125"/>
        <v>#N/A</v>
      </c>
    </row>
    <row r="1038" spans="1:11">
      <c r="A1038" s="26">
        <v>988</v>
      </c>
      <c r="B1038" s="82" t="e">
        <f t="shared" si="126"/>
        <v>#N/A</v>
      </c>
      <c r="C1038" s="58" t="e">
        <f t="shared" si="122"/>
        <v>#N/A</v>
      </c>
      <c r="D1038" s="83" t="e">
        <f t="shared" si="127"/>
        <v>#N/A</v>
      </c>
      <c r="E1038" t="e">
        <f t="shared" si="123"/>
        <v>#N/A</v>
      </c>
      <c r="G1038">
        <v>988</v>
      </c>
      <c r="H1038" s="13" t="e">
        <f t="shared" si="128"/>
        <v>#N/A</v>
      </c>
      <c r="I1038" t="e">
        <f t="shared" si="129"/>
        <v>#N/A</v>
      </c>
      <c r="J1038" t="e">
        <f t="shared" si="124"/>
        <v>#N/A</v>
      </c>
      <c r="K1038" s="27" t="e">
        <f t="shared" si="125"/>
        <v>#N/A</v>
      </c>
    </row>
    <row r="1039" spans="1:11">
      <c r="A1039" s="26">
        <v>989</v>
      </c>
      <c r="B1039" s="82" t="e">
        <f t="shared" si="126"/>
        <v>#N/A</v>
      </c>
      <c r="C1039" s="58" t="e">
        <f t="shared" si="122"/>
        <v>#N/A</v>
      </c>
      <c r="D1039" s="83" t="e">
        <f t="shared" si="127"/>
        <v>#N/A</v>
      </c>
      <c r="E1039" t="e">
        <f t="shared" si="123"/>
        <v>#N/A</v>
      </c>
      <c r="G1039">
        <v>989</v>
      </c>
      <c r="H1039" s="13" t="e">
        <f t="shared" si="128"/>
        <v>#N/A</v>
      </c>
      <c r="I1039" t="e">
        <f t="shared" si="129"/>
        <v>#N/A</v>
      </c>
      <c r="J1039" t="e">
        <f t="shared" si="124"/>
        <v>#N/A</v>
      </c>
      <c r="K1039" s="27" t="e">
        <f t="shared" si="125"/>
        <v>#N/A</v>
      </c>
    </row>
    <row r="1040" spans="1:11">
      <c r="A1040" s="26">
        <v>990</v>
      </c>
      <c r="B1040" s="82" t="e">
        <f t="shared" si="126"/>
        <v>#N/A</v>
      </c>
      <c r="C1040" s="58" t="e">
        <f t="shared" ref="C1040:C1103" si="130">($C$37-$C$36)/2000+C1039</f>
        <v>#N/A</v>
      </c>
      <c r="D1040" s="83" t="e">
        <f t="shared" si="127"/>
        <v>#N/A</v>
      </c>
      <c r="E1040" t="e">
        <f t="shared" si="123"/>
        <v>#N/A</v>
      </c>
      <c r="G1040">
        <v>990</v>
      </c>
      <c r="H1040" s="13" t="e">
        <f t="shared" si="128"/>
        <v>#N/A</v>
      </c>
      <c r="I1040" t="e">
        <f t="shared" si="129"/>
        <v>#N/A</v>
      </c>
      <c r="J1040" t="e">
        <f t="shared" si="124"/>
        <v>#N/A</v>
      </c>
      <c r="K1040" s="27" t="e">
        <f t="shared" si="125"/>
        <v>#N/A</v>
      </c>
    </row>
    <row r="1041" spans="1:11">
      <c r="A1041" s="26">
        <v>991</v>
      </c>
      <c r="B1041" s="82" t="e">
        <f t="shared" si="126"/>
        <v>#N/A</v>
      </c>
      <c r="C1041" s="58" t="e">
        <f t="shared" si="130"/>
        <v>#N/A</v>
      </c>
      <c r="D1041" s="83" t="e">
        <f t="shared" si="127"/>
        <v>#N/A</v>
      </c>
      <c r="E1041" t="e">
        <f t="shared" si="123"/>
        <v>#N/A</v>
      </c>
      <c r="G1041">
        <v>991</v>
      </c>
      <c r="H1041" s="13" t="e">
        <f t="shared" si="128"/>
        <v>#N/A</v>
      </c>
      <c r="I1041" t="e">
        <f t="shared" si="129"/>
        <v>#N/A</v>
      </c>
      <c r="J1041" t="e">
        <f t="shared" si="124"/>
        <v>#N/A</v>
      </c>
      <c r="K1041" s="27" t="e">
        <f t="shared" si="125"/>
        <v>#N/A</v>
      </c>
    </row>
    <row r="1042" spans="1:11">
      <c r="A1042" s="26">
        <v>992</v>
      </c>
      <c r="B1042" s="82" t="e">
        <f t="shared" si="126"/>
        <v>#N/A</v>
      </c>
      <c r="C1042" s="58" t="e">
        <f t="shared" si="130"/>
        <v>#N/A</v>
      </c>
      <c r="D1042" s="83" t="e">
        <f t="shared" si="127"/>
        <v>#N/A</v>
      </c>
      <c r="E1042" t="e">
        <f t="shared" si="123"/>
        <v>#N/A</v>
      </c>
      <c r="G1042">
        <v>992</v>
      </c>
      <c r="H1042" s="13" t="e">
        <f t="shared" si="128"/>
        <v>#N/A</v>
      </c>
      <c r="I1042" t="e">
        <f t="shared" si="129"/>
        <v>#N/A</v>
      </c>
      <c r="J1042" t="e">
        <f t="shared" si="124"/>
        <v>#N/A</v>
      </c>
      <c r="K1042" s="27" t="e">
        <f t="shared" si="125"/>
        <v>#N/A</v>
      </c>
    </row>
    <row r="1043" spans="1:11">
      <c r="A1043" s="26">
        <v>993</v>
      </c>
      <c r="B1043" s="82" t="e">
        <f t="shared" si="126"/>
        <v>#N/A</v>
      </c>
      <c r="C1043" s="58" t="e">
        <f t="shared" si="130"/>
        <v>#N/A</v>
      </c>
      <c r="D1043" s="83" t="e">
        <f t="shared" si="127"/>
        <v>#N/A</v>
      </c>
      <c r="E1043" t="e">
        <f t="shared" si="123"/>
        <v>#N/A</v>
      </c>
      <c r="G1043">
        <v>993</v>
      </c>
      <c r="H1043" s="13" t="e">
        <f t="shared" si="128"/>
        <v>#N/A</v>
      </c>
      <c r="I1043" t="e">
        <f t="shared" si="129"/>
        <v>#N/A</v>
      </c>
      <c r="J1043" t="e">
        <f t="shared" si="124"/>
        <v>#N/A</v>
      </c>
      <c r="K1043" s="27" t="e">
        <f t="shared" si="125"/>
        <v>#N/A</v>
      </c>
    </row>
    <row r="1044" spans="1:11">
      <c r="A1044" s="26">
        <v>994</v>
      </c>
      <c r="B1044" s="82" t="e">
        <f t="shared" si="126"/>
        <v>#N/A</v>
      </c>
      <c r="C1044" s="58" t="e">
        <f t="shared" si="130"/>
        <v>#N/A</v>
      </c>
      <c r="D1044" s="83" t="e">
        <f t="shared" si="127"/>
        <v>#N/A</v>
      </c>
      <c r="E1044" t="e">
        <f t="shared" si="123"/>
        <v>#N/A</v>
      </c>
      <c r="G1044">
        <v>994</v>
      </c>
      <c r="H1044" s="13" t="e">
        <f t="shared" si="128"/>
        <v>#N/A</v>
      </c>
      <c r="I1044" t="e">
        <f t="shared" si="129"/>
        <v>#N/A</v>
      </c>
      <c r="J1044" t="e">
        <f t="shared" si="124"/>
        <v>#N/A</v>
      </c>
      <c r="K1044" s="27" t="e">
        <f t="shared" si="125"/>
        <v>#N/A</v>
      </c>
    </row>
    <row r="1045" spans="1:11">
      <c r="A1045" s="26">
        <v>995</v>
      </c>
      <c r="B1045" s="82" t="e">
        <f t="shared" si="126"/>
        <v>#N/A</v>
      </c>
      <c r="C1045" s="58" t="e">
        <f t="shared" si="130"/>
        <v>#N/A</v>
      </c>
      <c r="D1045" s="83" t="e">
        <f t="shared" si="127"/>
        <v>#N/A</v>
      </c>
      <c r="E1045" t="e">
        <f t="shared" si="123"/>
        <v>#N/A</v>
      </c>
      <c r="G1045">
        <v>995</v>
      </c>
      <c r="H1045" s="13" t="e">
        <f t="shared" si="128"/>
        <v>#N/A</v>
      </c>
      <c r="I1045" t="e">
        <f t="shared" si="129"/>
        <v>#N/A</v>
      </c>
      <c r="J1045" t="e">
        <f t="shared" si="124"/>
        <v>#N/A</v>
      </c>
      <c r="K1045" s="27" t="e">
        <f t="shared" si="125"/>
        <v>#N/A</v>
      </c>
    </row>
    <row r="1046" spans="1:11">
      <c r="A1046" s="26">
        <v>996</v>
      </c>
      <c r="B1046" s="82" t="e">
        <f t="shared" si="126"/>
        <v>#N/A</v>
      </c>
      <c r="C1046" s="58" t="e">
        <f t="shared" si="130"/>
        <v>#N/A</v>
      </c>
      <c r="D1046" s="83" t="e">
        <f t="shared" si="127"/>
        <v>#N/A</v>
      </c>
      <c r="E1046" t="e">
        <f t="shared" si="123"/>
        <v>#N/A</v>
      </c>
      <c r="G1046">
        <v>996</v>
      </c>
      <c r="H1046" s="13" t="e">
        <f t="shared" si="128"/>
        <v>#N/A</v>
      </c>
      <c r="I1046" t="e">
        <f t="shared" si="129"/>
        <v>#N/A</v>
      </c>
      <c r="J1046" t="e">
        <f t="shared" si="124"/>
        <v>#N/A</v>
      </c>
      <c r="K1046" s="27" t="e">
        <f t="shared" si="125"/>
        <v>#N/A</v>
      </c>
    </row>
    <row r="1047" spans="1:11">
      <c r="A1047" s="26">
        <v>997</v>
      </c>
      <c r="B1047" s="82" t="e">
        <f t="shared" si="126"/>
        <v>#N/A</v>
      </c>
      <c r="C1047" s="58" t="e">
        <f t="shared" si="130"/>
        <v>#N/A</v>
      </c>
      <c r="D1047" s="83" t="e">
        <f t="shared" si="127"/>
        <v>#N/A</v>
      </c>
      <c r="E1047" t="e">
        <f t="shared" si="123"/>
        <v>#N/A</v>
      </c>
      <c r="G1047">
        <v>997</v>
      </c>
      <c r="H1047" s="13" t="e">
        <f t="shared" si="128"/>
        <v>#N/A</v>
      </c>
      <c r="I1047" t="e">
        <f t="shared" si="129"/>
        <v>#N/A</v>
      </c>
      <c r="J1047" t="e">
        <f t="shared" si="124"/>
        <v>#N/A</v>
      </c>
      <c r="K1047" s="27" t="e">
        <f t="shared" si="125"/>
        <v>#N/A</v>
      </c>
    </row>
    <row r="1048" spans="1:11">
      <c r="A1048" s="26">
        <v>998</v>
      </c>
      <c r="B1048" s="82" t="e">
        <f t="shared" si="126"/>
        <v>#N/A</v>
      </c>
      <c r="C1048" s="58" t="e">
        <f t="shared" si="130"/>
        <v>#N/A</v>
      </c>
      <c r="D1048" s="83" t="e">
        <f t="shared" si="127"/>
        <v>#N/A</v>
      </c>
      <c r="E1048" t="e">
        <f t="shared" si="123"/>
        <v>#N/A</v>
      </c>
      <c r="G1048">
        <v>998</v>
      </c>
      <c r="H1048" s="13" t="e">
        <f t="shared" si="128"/>
        <v>#N/A</v>
      </c>
      <c r="I1048" t="e">
        <f t="shared" si="129"/>
        <v>#N/A</v>
      </c>
      <c r="J1048" t="e">
        <f t="shared" si="124"/>
        <v>#N/A</v>
      </c>
      <c r="K1048" s="27" t="e">
        <f t="shared" si="125"/>
        <v>#N/A</v>
      </c>
    </row>
    <row r="1049" spans="1:11">
      <c r="A1049" s="26">
        <v>999</v>
      </c>
      <c r="B1049" s="82" t="e">
        <f t="shared" si="126"/>
        <v>#N/A</v>
      </c>
      <c r="C1049" s="58" t="e">
        <f t="shared" si="130"/>
        <v>#N/A</v>
      </c>
      <c r="D1049" s="83" t="e">
        <f t="shared" si="127"/>
        <v>#N/A</v>
      </c>
      <c r="E1049" t="e">
        <f t="shared" si="123"/>
        <v>#N/A</v>
      </c>
      <c r="G1049">
        <v>999</v>
      </c>
      <c r="H1049" s="13" t="e">
        <f t="shared" si="128"/>
        <v>#N/A</v>
      </c>
      <c r="I1049" t="e">
        <f t="shared" si="129"/>
        <v>#N/A</v>
      </c>
      <c r="J1049" t="e">
        <f t="shared" si="124"/>
        <v>#N/A</v>
      </c>
      <c r="K1049" s="27" t="e">
        <f t="shared" si="125"/>
        <v>#N/A</v>
      </c>
    </row>
    <row r="1050" spans="1:11">
      <c r="A1050" s="26">
        <v>1000</v>
      </c>
      <c r="B1050" s="82" t="e">
        <f t="shared" si="126"/>
        <v>#N/A</v>
      </c>
      <c r="C1050" s="58" t="e">
        <f t="shared" si="130"/>
        <v>#N/A</v>
      </c>
      <c r="D1050" s="83" t="e">
        <f t="shared" si="127"/>
        <v>#N/A</v>
      </c>
      <c r="E1050" t="e">
        <f t="shared" si="123"/>
        <v>#N/A</v>
      </c>
      <c r="G1050">
        <v>1000</v>
      </c>
      <c r="H1050" s="13" t="e">
        <f t="shared" si="128"/>
        <v>#N/A</v>
      </c>
      <c r="I1050" t="e">
        <f t="shared" si="129"/>
        <v>#N/A</v>
      </c>
      <c r="J1050" t="e">
        <f t="shared" si="124"/>
        <v>#N/A</v>
      </c>
      <c r="K1050" s="27" t="e">
        <f t="shared" si="125"/>
        <v>#N/A</v>
      </c>
    </row>
    <row r="1051" spans="1:11">
      <c r="A1051" s="26">
        <v>1001</v>
      </c>
      <c r="B1051" s="82" t="e">
        <f t="shared" si="126"/>
        <v>#N/A</v>
      </c>
      <c r="C1051" s="58" t="e">
        <f t="shared" si="130"/>
        <v>#N/A</v>
      </c>
      <c r="D1051" s="83" t="e">
        <f t="shared" si="127"/>
        <v>#N/A</v>
      </c>
      <c r="E1051" t="e">
        <f t="shared" si="123"/>
        <v>#N/A</v>
      </c>
      <c r="G1051">
        <v>1001</v>
      </c>
      <c r="H1051" s="13" t="e">
        <f t="shared" si="128"/>
        <v>#N/A</v>
      </c>
      <c r="I1051" t="e">
        <f t="shared" si="129"/>
        <v>#N/A</v>
      </c>
      <c r="J1051" t="e">
        <f t="shared" si="124"/>
        <v>#N/A</v>
      </c>
      <c r="K1051" s="27" t="e">
        <f t="shared" si="125"/>
        <v>#N/A</v>
      </c>
    </row>
    <row r="1052" spans="1:11">
      <c r="A1052" s="26">
        <v>1002</v>
      </c>
      <c r="B1052" s="82" t="e">
        <f t="shared" si="126"/>
        <v>#N/A</v>
      </c>
      <c r="C1052" s="58" t="e">
        <f t="shared" si="130"/>
        <v>#N/A</v>
      </c>
      <c r="D1052" s="83" t="e">
        <f t="shared" si="127"/>
        <v>#N/A</v>
      </c>
      <c r="E1052" t="e">
        <f t="shared" si="123"/>
        <v>#N/A</v>
      </c>
      <c r="G1052">
        <v>1002</v>
      </c>
      <c r="H1052" s="13" t="e">
        <f t="shared" si="128"/>
        <v>#N/A</v>
      </c>
      <c r="I1052" t="e">
        <f t="shared" si="129"/>
        <v>#N/A</v>
      </c>
      <c r="J1052" t="e">
        <f t="shared" si="124"/>
        <v>#N/A</v>
      </c>
      <c r="K1052" s="27" t="e">
        <f t="shared" si="125"/>
        <v>#N/A</v>
      </c>
    </row>
    <row r="1053" spans="1:11">
      <c r="A1053" s="26">
        <v>1003</v>
      </c>
      <c r="B1053" s="82" t="e">
        <f t="shared" si="126"/>
        <v>#N/A</v>
      </c>
      <c r="C1053" s="58" t="e">
        <f t="shared" si="130"/>
        <v>#N/A</v>
      </c>
      <c r="D1053" s="83" t="e">
        <f t="shared" si="127"/>
        <v>#N/A</v>
      </c>
      <c r="E1053" t="e">
        <f t="shared" si="123"/>
        <v>#N/A</v>
      </c>
      <c r="G1053">
        <v>1003</v>
      </c>
      <c r="H1053" s="13" t="e">
        <f t="shared" si="128"/>
        <v>#N/A</v>
      </c>
      <c r="I1053" t="e">
        <f t="shared" si="129"/>
        <v>#N/A</v>
      </c>
      <c r="J1053" t="e">
        <f t="shared" si="124"/>
        <v>#N/A</v>
      </c>
      <c r="K1053" s="27" t="e">
        <f t="shared" si="125"/>
        <v>#N/A</v>
      </c>
    </row>
    <row r="1054" spans="1:11">
      <c r="A1054" s="26">
        <v>1004</v>
      </c>
      <c r="B1054" s="82" t="e">
        <f t="shared" si="126"/>
        <v>#N/A</v>
      </c>
      <c r="C1054" s="58" t="e">
        <f t="shared" si="130"/>
        <v>#N/A</v>
      </c>
      <c r="D1054" s="83" t="e">
        <f t="shared" si="127"/>
        <v>#N/A</v>
      </c>
      <c r="E1054" t="e">
        <f t="shared" si="123"/>
        <v>#N/A</v>
      </c>
      <c r="G1054">
        <v>1004</v>
      </c>
      <c r="H1054" s="13" t="e">
        <f t="shared" si="128"/>
        <v>#N/A</v>
      </c>
      <c r="I1054" t="e">
        <f t="shared" si="129"/>
        <v>#N/A</v>
      </c>
      <c r="J1054" t="e">
        <f t="shared" si="124"/>
        <v>#N/A</v>
      </c>
      <c r="K1054" s="27" t="e">
        <f t="shared" si="125"/>
        <v>#N/A</v>
      </c>
    </row>
    <row r="1055" spans="1:11">
      <c r="A1055" s="26">
        <v>1005</v>
      </c>
      <c r="B1055" s="82" t="e">
        <f t="shared" si="126"/>
        <v>#N/A</v>
      </c>
      <c r="C1055" s="58" t="e">
        <f t="shared" si="130"/>
        <v>#N/A</v>
      </c>
      <c r="D1055" s="83" t="e">
        <f t="shared" si="127"/>
        <v>#N/A</v>
      </c>
      <c r="E1055" t="e">
        <f t="shared" si="123"/>
        <v>#N/A</v>
      </c>
      <c r="G1055">
        <v>1005</v>
      </c>
      <c r="H1055" s="13" t="e">
        <f t="shared" si="128"/>
        <v>#N/A</v>
      </c>
      <c r="I1055" t="e">
        <f t="shared" si="129"/>
        <v>#N/A</v>
      </c>
      <c r="J1055" t="e">
        <f t="shared" si="124"/>
        <v>#N/A</v>
      </c>
      <c r="K1055" s="27" t="e">
        <f t="shared" si="125"/>
        <v>#N/A</v>
      </c>
    </row>
    <row r="1056" spans="1:11">
      <c r="A1056" s="26">
        <v>1006</v>
      </c>
      <c r="B1056" s="82" t="e">
        <f t="shared" si="126"/>
        <v>#N/A</v>
      </c>
      <c r="C1056" s="58" t="e">
        <f t="shared" si="130"/>
        <v>#N/A</v>
      </c>
      <c r="D1056" s="83" t="e">
        <f t="shared" si="127"/>
        <v>#N/A</v>
      </c>
      <c r="E1056" t="e">
        <f t="shared" si="123"/>
        <v>#N/A</v>
      </c>
      <c r="G1056">
        <v>1006</v>
      </c>
      <c r="H1056" s="13" t="e">
        <f t="shared" si="128"/>
        <v>#N/A</v>
      </c>
      <c r="I1056" t="e">
        <f t="shared" si="129"/>
        <v>#N/A</v>
      </c>
      <c r="J1056" t="e">
        <f t="shared" si="124"/>
        <v>#N/A</v>
      </c>
      <c r="K1056" s="27" t="e">
        <f t="shared" si="125"/>
        <v>#N/A</v>
      </c>
    </row>
    <row r="1057" spans="1:11">
      <c r="A1057" s="26">
        <v>1007</v>
      </c>
      <c r="B1057" s="82" t="e">
        <f t="shared" si="126"/>
        <v>#N/A</v>
      </c>
      <c r="C1057" s="58" t="e">
        <f t="shared" si="130"/>
        <v>#N/A</v>
      </c>
      <c r="D1057" s="83" t="e">
        <f t="shared" si="127"/>
        <v>#N/A</v>
      </c>
      <c r="E1057" t="e">
        <f t="shared" si="123"/>
        <v>#N/A</v>
      </c>
      <c r="G1057">
        <v>1007</v>
      </c>
      <c r="H1057" s="13" t="e">
        <f t="shared" si="128"/>
        <v>#N/A</v>
      </c>
      <c r="I1057" t="e">
        <f t="shared" si="129"/>
        <v>#N/A</v>
      </c>
      <c r="J1057" t="e">
        <f t="shared" si="124"/>
        <v>#N/A</v>
      </c>
      <c r="K1057" s="27" t="e">
        <f t="shared" si="125"/>
        <v>#N/A</v>
      </c>
    </row>
    <row r="1058" spans="1:11">
      <c r="A1058" s="26">
        <v>1008</v>
      </c>
      <c r="B1058" s="82" t="e">
        <f t="shared" si="126"/>
        <v>#N/A</v>
      </c>
      <c r="C1058" s="58" t="e">
        <f t="shared" si="130"/>
        <v>#N/A</v>
      </c>
      <c r="D1058" s="83" t="e">
        <f t="shared" si="127"/>
        <v>#N/A</v>
      </c>
      <c r="E1058" t="e">
        <f t="shared" si="123"/>
        <v>#N/A</v>
      </c>
      <c r="G1058">
        <v>1008</v>
      </c>
      <c r="H1058" s="13" t="e">
        <f t="shared" si="128"/>
        <v>#N/A</v>
      </c>
      <c r="I1058" t="e">
        <f t="shared" si="129"/>
        <v>#N/A</v>
      </c>
      <c r="J1058" t="e">
        <f t="shared" si="124"/>
        <v>#N/A</v>
      </c>
      <c r="K1058" s="27" t="e">
        <f t="shared" si="125"/>
        <v>#N/A</v>
      </c>
    </row>
    <row r="1059" spans="1:11">
      <c r="A1059" s="26">
        <v>1009</v>
      </c>
      <c r="B1059" s="82" t="e">
        <f t="shared" si="126"/>
        <v>#N/A</v>
      </c>
      <c r="C1059" s="58" t="e">
        <f t="shared" si="130"/>
        <v>#N/A</v>
      </c>
      <c r="D1059" s="83" t="e">
        <f t="shared" si="127"/>
        <v>#N/A</v>
      </c>
      <c r="E1059" t="e">
        <f t="shared" si="123"/>
        <v>#N/A</v>
      </c>
      <c r="G1059">
        <v>1009</v>
      </c>
      <c r="H1059" s="13" t="e">
        <f t="shared" si="128"/>
        <v>#N/A</v>
      </c>
      <c r="I1059" t="e">
        <f t="shared" si="129"/>
        <v>#N/A</v>
      </c>
      <c r="J1059" t="e">
        <f t="shared" si="124"/>
        <v>#N/A</v>
      </c>
      <c r="K1059" s="27" t="e">
        <f t="shared" si="125"/>
        <v>#N/A</v>
      </c>
    </row>
    <row r="1060" spans="1:11">
      <c r="A1060" s="26">
        <v>1010</v>
      </c>
      <c r="B1060" s="82" t="e">
        <f t="shared" si="126"/>
        <v>#N/A</v>
      </c>
      <c r="C1060" s="58" t="e">
        <f t="shared" si="130"/>
        <v>#N/A</v>
      </c>
      <c r="D1060" s="83" t="e">
        <f t="shared" si="127"/>
        <v>#N/A</v>
      </c>
      <c r="E1060" t="e">
        <f t="shared" si="123"/>
        <v>#N/A</v>
      </c>
      <c r="G1060">
        <v>1010</v>
      </c>
      <c r="H1060" s="13" t="e">
        <f t="shared" si="128"/>
        <v>#N/A</v>
      </c>
      <c r="I1060" t="e">
        <f t="shared" si="129"/>
        <v>#N/A</v>
      </c>
      <c r="J1060" t="e">
        <f t="shared" si="124"/>
        <v>#N/A</v>
      </c>
      <c r="K1060" s="27" t="e">
        <f t="shared" si="125"/>
        <v>#N/A</v>
      </c>
    </row>
    <row r="1061" spans="1:11">
      <c r="A1061" s="26">
        <v>1011</v>
      </c>
      <c r="B1061" s="82" t="e">
        <f t="shared" si="126"/>
        <v>#N/A</v>
      </c>
      <c r="C1061" s="58" t="e">
        <f t="shared" si="130"/>
        <v>#N/A</v>
      </c>
      <c r="D1061" s="83" t="e">
        <f t="shared" si="127"/>
        <v>#N/A</v>
      </c>
      <c r="E1061" t="e">
        <f t="shared" si="123"/>
        <v>#N/A</v>
      </c>
      <c r="G1061">
        <v>1011</v>
      </c>
      <c r="H1061" s="13" t="e">
        <f t="shared" si="128"/>
        <v>#N/A</v>
      </c>
      <c r="I1061" t="e">
        <f t="shared" si="129"/>
        <v>#N/A</v>
      </c>
      <c r="J1061" t="e">
        <f t="shared" si="124"/>
        <v>#N/A</v>
      </c>
      <c r="K1061" s="27" t="e">
        <f t="shared" si="125"/>
        <v>#N/A</v>
      </c>
    </row>
    <row r="1062" spans="1:11">
      <c r="A1062" s="26">
        <v>1012</v>
      </c>
      <c r="B1062" s="82" t="e">
        <f t="shared" si="126"/>
        <v>#N/A</v>
      </c>
      <c r="C1062" s="58" t="e">
        <f t="shared" si="130"/>
        <v>#N/A</v>
      </c>
      <c r="D1062" s="83" t="e">
        <f t="shared" si="127"/>
        <v>#N/A</v>
      </c>
      <c r="E1062" t="e">
        <f t="shared" si="123"/>
        <v>#N/A</v>
      </c>
      <c r="G1062">
        <v>1012</v>
      </c>
      <c r="H1062" s="13" t="e">
        <f t="shared" si="128"/>
        <v>#N/A</v>
      </c>
      <c r="I1062" t="e">
        <f t="shared" si="129"/>
        <v>#N/A</v>
      </c>
      <c r="J1062" t="e">
        <f t="shared" si="124"/>
        <v>#N/A</v>
      </c>
      <c r="K1062" s="27" t="e">
        <f t="shared" si="125"/>
        <v>#N/A</v>
      </c>
    </row>
    <row r="1063" spans="1:11">
      <c r="A1063" s="26">
        <v>1013</v>
      </c>
      <c r="B1063" s="82" t="e">
        <f t="shared" si="126"/>
        <v>#N/A</v>
      </c>
      <c r="C1063" s="58" t="e">
        <f t="shared" si="130"/>
        <v>#N/A</v>
      </c>
      <c r="D1063" s="83" t="e">
        <f t="shared" si="127"/>
        <v>#N/A</v>
      </c>
      <c r="E1063" t="e">
        <f t="shared" si="123"/>
        <v>#N/A</v>
      </c>
      <c r="G1063">
        <v>1013</v>
      </c>
      <c r="H1063" s="13" t="e">
        <f t="shared" si="128"/>
        <v>#N/A</v>
      </c>
      <c r="I1063" t="e">
        <f t="shared" si="129"/>
        <v>#N/A</v>
      </c>
      <c r="J1063" t="e">
        <f t="shared" si="124"/>
        <v>#N/A</v>
      </c>
      <c r="K1063" s="27" t="e">
        <f t="shared" si="125"/>
        <v>#N/A</v>
      </c>
    </row>
    <row r="1064" spans="1:11">
      <c r="A1064" s="26">
        <v>1014</v>
      </c>
      <c r="B1064" s="82" t="e">
        <f t="shared" si="126"/>
        <v>#N/A</v>
      </c>
      <c r="C1064" s="58" t="e">
        <f t="shared" si="130"/>
        <v>#N/A</v>
      </c>
      <c r="D1064" s="83" t="e">
        <f t="shared" si="127"/>
        <v>#N/A</v>
      </c>
      <c r="E1064" t="e">
        <f t="shared" si="123"/>
        <v>#N/A</v>
      </c>
      <c r="G1064">
        <v>1014</v>
      </c>
      <c r="H1064" s="13" t="e">
        <f t="shared" si="128"/>
        <v>#N/A</v>
      </c>
      <c r="I1064" t="e">
        <f t="shared" si="129"/>
        <v>#N/A</v>
      </c>
      <c r="J1064" t="e">
        <f t="shared" si="124"/>
        <v>#N/A</v>
      </c>
      <c r="K1064" s="27" t="e">
        <f t="shared" si="125"/>
        <v>#N/A</v>
      </c>
    </row>
    <row r="1065" spans="1:11">
      <c r="A1065" s="26">
        <v>1015</v>
      </c>
      <c r="B1065" s="82" t="e">
        <f t="shared" si="126"/>
        <v>#N/A</v>
      </c>
      <c r="C1065" s="58" t="e">
        <f t="shared" si="130"/>
        <v>#N/A</v>
      </c>
      <c r="D1065" s="83" t="e">
        <f t="shared" si="127"/>
        <v>#N/A</v>
      </c>
      <c r="E1065" t="e">
        <f t="shared" si="123"/>
        <v>#N/A</v>
      </c>
      <c r="G1065">
        <v>1015</v>
      </c>
      <c r="H1065" s="13" t="e">
        <f t="shared" si="128"/>
        <v>#N/A</v>
      </c>
      <c r="I1065" t="e">
        <f t="shared" si="129"/>
        <v>#N/A</v>
      </c>
      <c r="J1065" t="e">
        <f t="shared" si="124"/>
        <v>#N/A</v>
      </c>
      <c r="K1065" s="27" t="e">
        <f t="shared" si="125"/>
        <v>#N/A</v>
      </c>
    </row>
    <row r="1066" spans="1:11">
      <c r="A1066" s="26">
        <v>1016</v>
      </c>
      <c r="B1066" s="82" t="e">
        <f t="shared" si="126"/>
        <v>#N/A</v>
      </c>
      <c r="C1066" s="58" t="e">
        <f t="shared" si="130"/>
        <v>#N/A</v>
      </c>
      <c r="D1066" s="83" t="e">
        <f t="shared" si="127"/>
        <v>#N/A</v>
      </c>
      <c r="E1066" t="e">
        <f t="shared" si="123"/>
        <v>#N/A</v>
      </c>
      <c r="G1066">
        <v>1016</v>
      </c>
      <c r="H1066" s="13" t="e">
        <f t="shared" si="128"/>
        <v>#N/A</v>
      </c>
      <c r="I1066" t="e">
        <f t="shared" si="129"/>
        <v>#N/A</v>
      </c>
      <c r="J1066" t="e">
        <f t="shared" si="124"/>
        <v>#N/A</v>
      </c>
      <c r="K1066" s="27" t="e">
        <f t="shared" si="125"/>
        <v>#N/A</v>
      </c>
    </row>
    <row r="1067" spans="1:11">
      <c r="A1067" s="26">
        <v>1017</v>
      </c>
      <c r="B1067" s="82" t="e">
        <f t="shared" si="126"/>
        <v>#N/A</v>
      </c>
      <c r="C1067" s="58" t="e">
        <f t="shared" si="130"/>
        <v>#N/A</v>
      </c>
      <c r="D1067" s="83" t="e">
        <f t="shared" si="127"/>
        <v>#N/A</v>
      </c>
      <c r="E1067" t="e">
        <f t="shared" si="123"/>
        <v>#N/A</v>
      </c>
      <c r="G1067">
        <v>1017</v>
      </c>
      <c r="H1067" s="13" t="e">
        <f t="shared" si="128"/>
        <v>#N/A</v>
      </c>
      <c r="I1067" t="e">
        <f t="shared" si="129"/>
        <v>#N/A</v>
      </c>
      <c r="J1067" t="e">
        <f t="shared" si="124"/>
        <v>#N/A</v>
      </c>
      <c r="K1067" s="27" t="e">
        <f t="shared" si="125"/>
        <v>#N/A</v>
      </c>
    </row>
    <row r="1068" spans="1:11">
      <c r="A1068" s="26">
        <v>1018</v>
      </c>
      <c r="B1068" s="82" t="e">
        <f t="shared" si="126"/>
        <v>#N/A</v>
      </c>
      <c r="C1068" s="58" t="e">
        <f t="shared" si="130"/>
        <v>#N/A</v>
      </c>
      <c r="D1068" s="83" t="e">
        <f t="shared" si="127"/>
        <v>#N/A</v>
      </c>
      <c r="E1068" t="e">
        <f t="shared" si="123"/>
        <v>#N/A</v>
      </c>
      <c r="G1068">
        <v>1018</v>
      </c>
      <c r="H1068" s="13" t="e">
        <f t="shared" si="128"/>
        <v>#N/A</v>
      </c>
      <c r="I1068" t="e">
        <f t="shared" si="129"/>
        <v>#N/A</v>
      </c>
      <c r="J1068" t="e">
        <f t="shared" si="124"/>
        <v>#N/A</v>
      </c>
      <c r="K1068" s="27" t="e">
        <f t="shared" si="125"/>
        <v>#N/A</v>
      </c>
    </row>
    <row r="1069" spans="1:11">
      <c r="A1069" s="26">
        <v>1019</v>
      </c>
      <c r="B1069" s="82" t="e">
        <f t="shared" si="126"/>
        <v>#N/A</v>
      </c>
      <c r="C1069" s="58" t="e">
        <f t="shared" si="130"/>
        <v>#N/A</v>
      </c>
      <c r="D1069" s="83" t="e">
        <f t="shared" si="127"/>
        <v>#N/A</v>
      </c>
      <c r="E1069" t="e">
        <f t="shared" si="123"/>
        <v>#N/A</v>
      </c>
      <c r="G1069">
        <v>1019</v>
      </c>
      <c r="H1069" s="13" t="e">
        <f t="shared" si="128"/>
        <v>#N/A</v>
      </c>
      <c r="I1069" t="e">
        <f t="shared" si="129"/>
        <v>#N/A</v>
      </c>
      <c r="J1069" t="e">
        <f t="shared" si="124"/>
        <v>#N/A</v>
      </c>
      <c r="K1069" s="27" t="e">
        <f t="shared" si="125"/>
        <v>#N/A</v>
      </c>
    </row>
    <row r="1070" spans="1:11">
      <c r="A1070" s="26">
        <v>1020</v>
      </c>
      <c r="B1070" s="82" t="e">
        <f t="shared" si="126"/>
        <v>#N/A</v>
      </c>
      <c r="C1070" s="58" t="e">
        <f t="shared" si="130"/>
        <v>#N/A</v>
      </c>
      <c r="D1070" s="83" t="e">
        <f t="shared" si="127"/>
        <v>#N/A</v>
      </c>
      <c r="E1070" t="e">
        <f t="shared" si="123"/>
        <v>#N/A</v>
      </c>
      <c r="G1070">
        <v>1020</v>
      </c>
      <c r="H1070" s="13" t="e">
        <f t="shared" si="128"/>
        <v>#N/A</v>
      </c>
      <c r="I1070" t="e">
        <f t="shared" si="129"/>
        <v>#N/A</v>
      </c>
      <c r="J1070" t="e">
        <f t="shared" si="124"/>
        <v>#N/A</v>
      </c>
      <c r="K1070" s="27" t="e">
        <f t="shared" si="125"/>
        <v>#N/A</v>
      </c>
    </row>
    <row r="1071" spans="1:11">
      <c r="A1071" s="26">
        <v>1021</v>
      </c>
      <c r="B1071" s="82" t="e">
        <f t="shared" si="126"/>
        <v>#N/A</v>
      </c>
      <c r="C1071" s="58" t="e">
        <f t="shared" si="130"/>
        <v>#N/A</v>
      </c>
      <c r="D1071" s="83" t="e">
        <f t="shared" si="127"/>
        <v>#N/A</v>
      </c>
      <c r="E1071" t="e">
        <f t="shared" si="123"/>
        <v>#N/A</v>
      </c>
      <c r="G1071">
        <v>1021</v>
      </c>
      <c r="H1071" s="13" t="e">
        <f t="shared" si="128"/>
        <v>#N/A</v>
      </c>
      <c r="I1071" t="e">
        <f t="shared" si="129"/>
        <v>#N/A</v>
      </c>
      <c r="J1071" t="e">
        <f t="shared" si="124"/>
        <v>#N/A</v>
      </c>
      <c r="K1071" s="27" t="e">
        <f t="shared" si="125"/>
        <v>#N/A</v>
      </c>
    </row>
    <row r="1072" spans="1:11">
      <c r="A1072" s="26">
        <v>1022</v>
      </c>
      <c r="B1072" s="82" t="e">
        <f t="shared" si="126"/>
        <v>#N/A</v>
      </c>
      <c r="C1072" s="58" t="e">
        <f t="shared" si="130"/>
        <v>#N/A</v>
      </c>
      <c r="D1072" s="83" t="e">
        <f t="shared" si="127"/>
        <v>#N/A</v>
      </c>
      <c r="E1072" t="e">
        <f t="shared" si="123"/>
        <v>#N/A</v>
      </c>
      <c r="G1072">
        <v>1022</v>
      </c>
      <c r="H1072" s="13" t="e">
        <f t="shared" si="128"/>
        <v>#N/A</v>
      </c>
      <c r="I1072" t="e">
        <f t="shared" si="129"/>
        <v>#N/A</v>
      </c>
      <c r="J1072" t="e">
        <f t="shared" si="124"/>
        <v>#N/A</v>
      </c>
      <c r="K1072" s="27" t="e">
        <f t="shared" si="125"/>
        <v>#N/A</v>
      </c>
    </row>
    <row r="1073" spans="1:11">
      <c r="A1073" s="26">
        <v>1023</v>
      </c>
      <c r="B1073" s="82" t="e">
        <f t="shared" si="126"/>
        <v>#N/A</v>
      </c>
      <c r="C1073" s="58" t="e">
        <f t="shared" si="130"/>
        <v>#N/A</v>
      </c>
      <c r="D1073" s="83" t="e">
        <f t="shared" si="127"/>
        <v>#N/A</v>
      </c>
      <c r="E1073" t="e">
        <f t="shared" si="123"/>
        <v>#N/A</v>
      </c>
      <c r="G1073">
        <v>1023</v>
      </c>
      <c r="H1073" s="13" t="e">
        <f t="shared" si="128"/>
        <v>#N/A</v>
      </c>
      <c r="I1073" t="e">
        <f t="shared" si="129"/>
        <v>#N/A</v>
      </c>
      <c r="J1073" t="e">
        <f t="shared" si="124"/>
        <v>#N/A</v>
      </c>
      <c r="K1073" s="27" t="e">
        <f t="shared" si="125"/>
        <v>#N/A</v>
      </c>
    </row>
    <row r="1074" spans="1:11">
      <c r="A1074" s="26">
        <v>1024</v>
      </c>
      <c r="B1074" s="82" t="e">
        <f t="shared" si="126"/>
        <v>#N/A</v>
      </c>
      <c r="C1074" s="58" t="e">
        <f t="shared" si="130"/>
        <v>#N/A</v>
      </c>
      <c r="D1074" s="83" t="e">
        <f t="shared" si="127"/>
        <v>#N/A</v>
      </c>
      <c r="E1074" t="e">
        <f t="shared" si="123"/>
        <v>#N/A</v>
      </c>
      <c r="G1074">
        <v>1024</v>
      </c>
      <c r="H1074" s="13" t="e">
        <f t="shared" si="128"/>
        <v>#N/A</v>
      </c>
      <c r="I1074" t="e">
        <f t="shared" si="129"/>
        <v>#N/A</v>
      </c>
      <c r="J1074" t="e">
        <f t="shared" si="124"/>
        <v>#N/A</v>
      </c>
      <c r="K1074" s="27" t="e">
        <f t="shared" si="125"/>
        <v>#N/A</v>
      </c>
    </row>
    <row r="1075" spans="1:11">
      <c r="A1075" s="26">
        <v>1025</v>
      </c>
      <c r="B1075" s="82" t="e">
        <f t="shared" si="126"/>
        <v>#N/A</v>
      </c>
      <c r="C1075" s="58" t="e">
        <f t="shared" si="130"/>
        <v>#N/A</v>
      </c>
      <c r="D1075" s="83" t="e">
        <f t="shared" si="127"/>
        <v>#N/A</v>
      </c>
      <c r="E1075" t="e">
        <f t="shared" ref="E1075:E1138" si="131">((D1075^2)+(D1075*D1076)+(D1076^2))*B1076/3</f>
        <v>#N/A</v>
      </c>
      <c r="G1075">
        <v>1025</v>
      </c>
      <c r="H1075" s="13" t="e">
        <f t="shared" si="128"/>
        <v>#N/A</v>
      </c>
      <c r="I1075" t="e">
        <f t="shared" si="129"/>
        <v>#N/A</v>
      </c>
      <c r="J1075" t="e">
        <f t="shared" ref="J1075:J1138" si="132">IF($G$28&lt;$C$14,0,((($C$11^2)-((I1075-$C$13)^2))^0.5)+$C$16)</f>
        <v>#N/A</v>
      </c>
      <c r="K1075" s="27" t="e">
        <f t="shared" ref="K1075:K1138" si="133">((J1075^2)+(J1075*J1076)+(J1076^2))*H1076/3</f>
        <v>#N/A</v>
      </c>
    </row>
    <row r="1076" spans="1:11">
      <c r="A1076" s="26">
        <v>1026</v>
      </c>
      <c r="B1076" s="82" t="e">
        <f t="shared" ref="B1076:B1139" si="134">C1076-C1075</f>
        <v>#N/A</v>
      </c>
      <c r="C1076" s="58" t="e">
        <f t="shared" si="130"/>
        <v>#N/A</v>
      </c>
      <c r="D1076" s="83" t="e">
        <f t="shared" ref="D1076:D1139" si="135">IF($G$28&lt;$C$14,0,((($C$11^2)-((C1076-$C$13)^2))^0.5)+$C$16)</f>
        <v>#N/A</v>
      </c>
      <c r="E1076" t="e">
        <f t="shared" si="131"/>
        <v>#N/A</v>
      </c>
      <c r="G1076">
        <v>1026</v>
      </c>
      <c r="H1076" s="13" t="e">
        <f t="shared" ref="H1076:H1139" si="136">I1076-I1075</f>
        <v>#N/A</v>
      </c>
      <c r="I1076" t="e">
        <f t="shared" ref="I1076:I1139" si="137">($G$27-$C$14)/2000+I1075</f>
        <v>#N/A</v>
      </c>
      <c r="J1076" t="e">
        <f t="shared" si="132"/>
        <v>#N/A</v>
      </c>
      <c r="K1076" s="27" t="e">
        <f t="shared" si="133"/>
        <v>#N/A</v>
      </c>
    </row>
    <row r="1077" spans="1:11">
      <c r="A1077" s="26">
        <v>1027</v>
      </c>
      <c r="B1077" s="82" t="e">
        <f t="shared" si="134"/>
        <v>#N/A</v>
      </c>
      <c r="C1077" s="58" t="e">
        <f t="shared" si="130"/>
        <v>#N/A</v>
      </c>
      <c r="D1077" s="83" t="e">
        <f t="shared" si="135"/>
        <v>#N/A</v>
      </c>
      <c r="E1077" t="e">
        <f t="shared" si="131"/>
        <v>#N/A</v>
      </c>
      <c r="G1077">
        <v>1027</v>
      </c>
      <c r="H1077" s="13" t="e">
        <f t="shared" si="136"/>
        <v>#N/A</v>
      </c>
      <c r="I1077" t="e">
        <f t="shared" si="137"/>
        <v>#N/A</v>
      </c>
      <c r="J1077" t="e">
        <f t="shared" si="132"/>
        <v>#N/A</v>
      </c>
      <c r="K1077" s="27" t="e">
        <f t="shared" si="133"/>
        <v>#N/A</v>
      </c>
    </row>
    <row r="1078" spans="1:11">
      <c r="A1078" s="26">
        <v>1028</v>
      </c>
      <c r="B1078" s="82" t="e">
        <f t="shared" si="134"/>
        <v>#N/A</v>
      </c>
      <c r="C1078" s="58" t="e">
        <f t="shared" si="130"/>
        <v>#N/A</v>
      </c>
      <c r="D1078" s="83" t="e">
        <f t="shared" si="135"/>
        <v>#N/A</v>
      </c>
      <c r="E1078" t="e">
        <f t="shared" si="131"/>
        <v>#N/A</v>
      </c>
      <c r="G1078">
        <v>1028</v>
      </c>
      <c r="H1078" s="13" t="e">
        <f t="shared" si="136"/>
        <v>#N/A</v>
      </c>
      <c r="I1078" t="e">
        <f t="shared" si="137"/>
        <v>#N/A</v>
      </c>
      <c r="J1078" t="e">
        <f t="shared" si="132"/>
        <v>#N/A</v>
      </c>
      <c r="K1078" s="27" t="e">
        <f t="shared" si="133"/>
        <v>#N/A</v>
      </c>
    </row>
    <row r="1079" spans="1:11">
      <c r="A1079" s="26">
        <v>1029</v>
      </c>
      <c r="B1079" s="82" t="e">
        <f t="shared" si="134"/>
        <v>#N/A</v>
      </c>
      <c r="C1079" s="58" t="e">
        <f t="shared" si="130"/>
        <v>#N/A</v>
      </c>
      <c r="D1079" s="83" t="e">
        <f t="shared" si="135"/>
        <v>#N/A</v>
      </c>
      <c r="E1079" t="e">
        <f t="shared" si="131"/>
        <v>#N/A</v>
      </c>
      <c r="G1079">
        <v>1029</v>
      </c>
      <c r="H1079" s="13" t="e">
        <f t="shared" si="136"/>
        <v>#N/A</v>
      </c>
      <c r="I1079" t="e">
        <f t="shared" si="137"/>
        <v>#N/A</v>
      </c>
      <c r="J1079" t="e">
        <f t="shared" si="132"/>
        <v>#N/A</v>
      </c>
      <c r="K1079" s="27" t="e">
        <f t="shared" si="133"/>
        <v>#N/A</v>
      </c>
    </row>
    <row r="1080" spans="1:11">
      <c r="A1080" s="26">
        <v>1030</v>
      </c>
      <c r="B1080" s="82" t="e">
        <f t="shared" si="134"/>
        <v>#N/A</v>
      </c>
      <c r="C1080" s="58" t="e">
        <f t="shared" si="130"/>
        <v>#N/A</v>
      </c>
      <c r="D1080" s="83" t="e">
        <f t="shared" si="135"/>
        <v>#N/A</v>
      </c>
      <c r="E1080" t="e">
        <f t="shared" si="131"/>
        <v>#N/A</v>
      </c>
      <c r="G1080">
        <v>1030</v>
      </c>
      <c r="H1080" s="13" t="e">
        <f t="shared" si="136"/>
        <v>#N/A</v>
      </c>
      <c r="I1080" t="e">
        <f t="shared" si="137"/>
        <v>#N/A</v>
      </c>
      <c r="J1080" t="e">
        <f t="shared" si="132"/>
        <v>#N/A</v>
      </c>
      <c r="K1080" s="27" t="e">
        <f t="shared" si="133"/>
        <v>#N/A</v>
      </c>
    </row>
    <row r="1081" spans="1:11">
      <c r="A1081" s="26">
        <v>1031</v>
      </c>
      <c r="B1081" s="82" t="e">
        <f t="shared" si="134"/>
        <v>#N/A</v>
      </c>
      <c r="C1081" s="58" t="e">
        <f t="shared" si="130"/>
        <v>#N/A</v>
      </c>
      <c r="D1081" s="83" t="e">
        <f t="shared" si="135"/>
        <v>#N/A</v>
      </c>
      <c r="E1081" t="e">
        <f t="shared" si="131"/>
        <v>#N/A</v>
      </c>
      <c r="G1081">
        <v>1031</v>
      </c>
      <c r="H1081" s="13" t="e">
        <f t="shared" si="136"/>
        <v>#N/A</v>
      </c>
      <c r="I1081" t="e">
        <f t="shared" si="137"/>
        <v>#N/A</v>
      </c>
      <c r="J1081" t="e">
        <f t="shared" si="132"/>
        <v>#N/A</v>
      </c>
      <c r="K1081" s="27" t="e">
        <f t="shared" si="133"/>
        <v>#N/A</v>
      </c>
    </row>
    <row r="1082" spans="1:11">
      <c r="A1082" s="26">
        <v>1032</v>
      </c>
      <c r="B1082" s="82" t="e">
        <f t="shared" si="134"/>
        <v>#N/A</v>
      </c>
      <c r="C1082" s="58" t="e">
        <f t="shared" si="130"/>
        <v>#N/A</v>
      </c>
      <c r="D1082" s="83" t="e">
        <f t="shared" si="135"/>
        <v>#N/A</v>
      </c>
      <c r="E1082" t="e">
        <f t="shared" si="131"/>
        <v>#N/A</v>
      </c>
      <c r="G1082">
        <v>1032</v>
      </c>
      <c r="H1082" s="13" t="e">
        <f t="shared" si="136"/>
        <v>#N/A</v>
      </c>
      <c r="I1082" t="e">
        <f t="shared" si="137"/>
        <v>#N/A</v>
      </c>
      <c r="J1082" t="e">
        <f t="shared" si="132"/>
        <v>#N/A</v>
      </c>
      <c r="K1082" s="27" t="e">
        <f t="shared" si="133"/>
        <v>#N/A</v>
      </c>
    </row>
    <row r="1083" spans="1:11">
      <c r="A1083" s="26">
        <v>1033</v>
      </c>
      <c r="B1083" s="82" t="e">
        <f t="shared" si="134"/>
        <v>#N/A</v>
      </c>
      <c r="C1083" s="58" t="e">
        <f t="shared" si="130"/>
        <v>#N/A</v>
      </c>
      <c r="D1083" s="83" t="e">
        <f t="shared" si="135"/>
        <v>#N/A</v>
      </c>
      <c r="E1083" t="e">
        <f t="shared" si="131"/>
        <v>#N/A</v>
      </c>
      <c r="G1083">
        <v>1033</v>
      </c>
      <c r="H1083" s="13" t="e">
        <f t="shared" si="136"/>
        <v>#N/A</v>
      </c>
      <c r="I1083" t="e">
        <f t="shared" si="137"/>
        <v>#N/A</v>
      </c>
      <c r="J1083" t="e">
        <f t="shared" si="132"/>
        <v>#N/A</v>
      </c>
      <c r="K1083" s="27" t="e">
        <f t="shared" si="133"/>
        <v>#N/A</v>
      </c>
    </row>
    <row r="1084" spans="1:11">
      <c r="A1084" s="26">
        <v>1034</v>
      </c>
      <c r="B1084" s="82" t="e">
        <f t="shared" si="134"/>
        <v>#N/A</v>
      </c>
      <c r="C1084" s="58" t="e">
        <f t="shared" si="130"/>
        <v>#N/A</v>
      </c>
      <c r="D1084" s="83" t="e">
        <f t="shared" si="135"/>
        <v>#N/A</v>
      </c>
      <c r="E1084" t="e">
        <f t="shared" si="131"/>
        <v>#N/A</v>
      </c>
      <c r="G1084">
        <v>1034</v>
      </c>
      <c r="H1084" s="13" t="e">
        <f t="shared" si="136"/>
        <v>#N/A</v>
      </c>
      <c r="I1084" t="e">
        <f t="shared" si="137"/>
        <v>#N/A</v>
      </c>
      <c r="J1084" t="e">
        <f t="shared" si="132"/>
        <v>#N/A</v>
      </c>
      <c r="K1084" s="27" t="e">
        <f t="shared" si="133"/>
        <v>#N/A</v>
      </c>
    </row>
    <row r="1085" spans="1:11">
      <c r="A1085" s="26">
        <v>1035</v>
      </c>
      <c r="B1085" s="82" t="e">
        <f t="shared" si="134"/>
        <v>#N/A</v>
      </c>
      <c r="C1085" s="58" t="e">
        <f t="shared" si="130"/>
        <v>#N/A</v>
      </c>
      <c r="D1085" s="83" t="e">
        <f t="shared" si="135"/>
        <v>#N/A</v>
      </c>
      <c r="E1085" t="e">
        <f t="shared" si="131"/>
        <v>#N/A</v>
      </c>
      <c r="G1085">
        <v>1035</v>
      </c>
      <c r="H1085" s="13" t="e">
        <f t="shared" si="136"/>
        <v>#N/A</v>
      </c>
      <c r="I1085" t="e">
        <f t="shared" si="137"/>
        <v>#N/A</v>
      </c>
      <c r="J1085" t="e">
        <f t="shared" si="132"/>
        <v>#N/A</v>
      </c>
      <c r="K1085" s="27" t="e">
        <f t="shared" si="133"/>
        <v>#N/A</v>
      </c>
    </row>
    <row r="1086" spans="1:11">
      <c r="A1086" s="26">
        <v>1036</v>
      </c>
      <c r="B1086" s="82" t="e">
        <f t="shared" si="134"/>
        <v>#N/A</v>
      </c>
      <c r="C1086" s="58" t="e">
        <f t="shared" si="130"/>
        <v>#N/A</v>
      </c>
      <c r="D1086" s="83" t="e">
        <f t="shared" si="135"/>
        <v>#N/A</v>
      </c>
      <c r="E1086" t="e">
        <f t="shared" si="131"/>
        <v>#N/A</v>
      </c>
      <c r="G1086">
        <v>1036</v>
      </c>
      <c r="H1086" s="13" t="e">
        <f t="shared" si="136"/>
        <v>#N/A</v>
      </c>
      <c r="I1086" t="e">
        <f t="shared" si="137"/>
        <v>#N/A</v>
      </c>
      <c r="J1086" t="e">
        <f t="shared" si="132"/>
        <v>#N/A</v>
      </c>
      <c r="K1086" s="27" t="e">
        <f t="shared" si="133"/>
        <v>#N/A</v>
      </c>
    </row>
    <row r="1087" spans="1:11">
      <c r="A1087" s="26">
        <v>1037</v>
      </c>
      <c r="B1087" s="82" t="e">
        <f t="shared" si="134"/>
        <v>#N/A</v>
      </c>
      <c r="C1087" s="58" t="e">
        <f t="shared" si="130"/>
        <v>#N/A</v>
      </c>
      <c r="D1087" s="83" t="e">
        <f t="shared" si="135"/>
        <v>#N/A</v>
      </c>
      <c r="E1087" t="e">
        <f t="shared" si="131"/>
        <v>#N/A</v>
      </c>
      <c r="G1087">
        <v>1037</v>
      </c>
      <c r="H1087" s="13" t="e">
        <f t="shared" si="136"/>
        <v>#N/A</v>
      </c>
      <c r="I1087" t="e">
        <f t="shared" si="137"/>
        <v>#N/A</v>
      </c>
      <c r="J1087" t="e">
        <f t="shared" si="132"/>
        <v>#N/A</v>
      </c>
      <c r="K1087" s="27" t="e">
        <f t="shared" si="133"/>
        <v>#N/A</v>
      </c>
    </row>
    <row r="1088" spans="1:11">
      <c r="A1088" s="26">
        <v>1038</v>
      </c>
      <c r="B1088" s="82" t="e">
        <f t="shared" si="134"/>
        <v>#N/A</v>
      </c>
      <c r="C1088" s="58" t="e">
        <f t="shared" si="130"/>
        <v>#N/A</v>
      </c>
      <c r="D1088" s="83" t="e">
        <f t="shared" si="135"/>
        <v>#N/A</v>
      </c>
      <c r="E1088" t="e">
        <f t="shared" si="131"/>
        <v>#N/A</v>
      </c>
      <c r="G1088">
        <v>1038</v>
      </c>
      <c r="H1088" s="13" t="e">
        <f t="shared" si="136"/>
        <v>#N/A</v>
      </c>
      <c r="I1088" t="e">
        <f t="shared" si="137"/>
        <v>#N/A</v>
      </c>
      <c r="J1088" t="e">
        <f t="shared" si="132"/>
        <v>#N/A</v>
      </c>
      <c r="K1088" s="27" t="e">
        <f t="shared" si="133"/>
        <v>#N/A</v>
      </c>
    </row>
    <row r="1089" spans="1:11">
      <c r="A1089" s="26">
        <v>1039</v>
      </c>
      <c r="B1089" s="82" t="e">
        <f t="shared" si="134"/>
        <v>#N/A</v>
      </c>
      <c r="C1089" s="58" t="e">
        <f t="shared" si="130"/>
        <v>#N/A</v>
      </c>
      <c r="D1089" s="83" t="e">
        <f t="shared" si="135"/>
        <v>#N/A</v>
      </c>
      <c r="E1089" t="e">
        <f t="shared" si="131"/>
        <v>#N/A</v>
      </c>
      <c r="G1089">
        <v>1039</v>
      </c>
      <c r="H1089" s="13" t="e">
        <f t="shared" si="136"/>
        <v>#N/A</v>
      </c>
      <c r="I1089" t="e">
        <f t="shared" si="137"/>
        <v>#N/A</v>
      </c>
      <c r="J1089" t="e">
        <f t="shared" si="132"/>
        <v>#N/A</v>
      </c>
      <c r="K1089" s="27" t="e">
        <f t="shared" si="133"/>
        <v>#N/A</v>
      </c>
    </row>
    <row r="1090" spans="1:11">
      <c r="A1090" s="26">
        <v>1040</v>
      </c>
      <c r="B1090" s="82" t="e">
        <f t="shared" si="134"/>
        <v>#N/A</v>
      </c>
      <c r="C1090" s="58" t="e">
        <f t="shared" si="130"/>
        <v>#N/A</v>
      </c>
      <c r="D1090" s="83" t="e">
        <f t="shared" si="135"/>
        <v>#N/A</v>
      </c>
      <c r="E1090" t="e">
        <f t="shared" si="131"/>
        <v>#N/A</v>
      </c>
      <c r="G1090">
        <v>1040</v>
      </c>
      <c r="H1090" s="13" t="e">
        <f t="shared" si="136"/>
        <v>#N/A</v>
      </c>
      <c r="I1090" t="e">
        <f t="shared" si="137"/>
        <v>#N/A</v>
      </c>
      <c r="J1090" t="e">
        <f t="shared" si="132"/>
        <v>#N/A</v>
      </c>
      <c r="K1090" s="27" t="e">
        <f t="shared" si="133"/>
        <v>#N/A</v>
      </c>
    </row>
    <row r="1091" spans="1:11">
      <c r="A1091" s="26">
        <v>1041</v>
      </c>
      <c r="B1091" s="82" t="e">
        <f t="shared" si="134"/>
        <v>#N/A</v>
      </c>
      <c r="C1091" s="58" t="e">
        <f t="shared" si="130"/>
        <v>#N/A</v>
      </c>
      <c r="D1091" s="83" t="e">
        <f t="shared" si="135"/>
        <v>#N/A</v>
      </c>
      <c r="E1091" t="e">
        <f t="shared" si="131"/>
        <v>#N/A</v>
      </c>
      <c r="G1091">
        <v>1041</v>
      </c>
      <c r="H1091" s="13" t="e">
        <f t="shared" si="136"/>
        <v>#N/A</v>
      </c>
      <c r="I1091" t="e">
        <f t="shared" si="137"/>
        <v>#N/A</v>
      </c>
      <c r="J1091" t="e">
        <f t="shared" si="132"/>
        <v>#N/A</v>
      </c>
      <c r="K1091" s="27" t="e">
        <f t="shared" si="133"/>
        <v>#N/A</v>
      </c>
    </row>
    <row r="1092" spans="1:11">
      <c r="A1092" s="26">
        <v>1042</v>
      </c>
      <c r="B1092" s="82" t="e">
        <f t="shared" si="134"/>
        <v>#N/A</v>
      </c>
      <c r="C1092" s="58" t="e">
        <f t="shared" si="130"/>
        <v>#N/A</v>
      </c>
      <c r="D1092" s="83" t="e">
        <f t="shared" si="135"/>
        <v>#N/A</v>
      </c>
      <c r="E1092" t="e">
        <f t="shared" si="131"/>
        <v>#N/A</v>
      </c>
      <c r="G1092">
        <v>1042</v>
      </c>
      <c r="H1092" s="13" t="e">
        <f t="shared" si="136"/>
        <v>#N/A</v>
      </c>
      <c r="I1092" t="e">
        <f t="shared" si="137"/>
        <v>#N/A</v>
      </c>
      <c r="J1092" t="e">
        <f t="shared" si="132"/>
        <v>#N/A</v>
      </c>
      <c r="K1092" s="27" t="e">
        <f t="shared" si="133"/>
        <v>#N/A</v>
      </c>
    </row>
    <row r="1093" spans="1:11">
      <c r="A1093" s="26">
        <v>1043</v>
      </c>
      <c r="B1093" s="82" t="e">
        <f t="shared" si="134"/>
        <v>#N/A</v>
      </c>
      <c r="C1093" s="58" t="e">
        <f t="shared" si="130"/>
        <v>#N/A</v>
      </c>
      <c r="D1093" s="83" t="e">
        <f t="shared" si="135"/>
        <v>#N/A</v>
      </c>
      <c r="E1093" t="e">
        <f t="shared" si="131"/>
        <v>#N/A</v>
      </c>
      <c r="G1093">
        <v>1043</v>
      </c>
      <c r="H1093" s="13" t="e">
        <f t="shared" si="136"/>
        <v>#N/A</v>
      </c>
      <c r="I1093" t="e">
        <f t="shared" si="137"/>
        <v>#N/A</v>
      </c>
      <c r="J1093" t="e">
        <f t="shared" si="132"/>
        <v>#N/A</v>
      </c>
      <c r="K1093" s="27" t="e">
        <f t="shared" si="133"/>
        <v>#N/A</v>
      </c>
    </row>
    <row r="1094" spans="1:11">
      <c r="A1094" s="26">
        <v>1044</v>
      </c>
      <c r="B1094" s="82" t="e">
        <f t="shared" si="134"/>
        <v>#N/A</v>
      </c>
      <c r="C1094" s="58" t="e">
        <f t="shared" si="130"/>
        <v>#N/A</v>
      </c>
      <c r="D1094" s="83" t="e">
        <f t="shared" si="135"/>
        <v>#N/A</v>
      </c>
      <c r="E1094" t="e">
        <f t="shared" si="131"/>
        <v>#N/A</v>
      </c>
      <c r="G1094">
        <v>1044</v>
      </c>
      <c r="H1094" s="13" t="e">
        <f t="shared" si="136"/>
        <v>#N/A</v>
      </c>
      <c r="I1094" t="e">
        <f t="shared" si="137"/>
        <v>#N/A</v>
      </c>
      <c r="J1094" t="e">
        <f t="shared" si="132"/>
        <v>#N/A</v>
      </c>
      <c r="K1094" s="27" t="e">
        <f t="shared" si="133"/>
        <v>#N/A</v>
      </c>
    </row>
    <row r="1095" spans="1:11">
      <c r="A1095" s="26">
        <v>1045</v>
      </c>
      <c r="B1095" s="82" t="e">
        <f t="shared" si="134"/>
        <v>#N/A</v>
      </c>
      <c r="C1095" s="58" t="e">
        <f t="shared" si="130"/>
        <v>#N/A</v>
      </c>
      <c r="D1095" s="83" t="e">
        <f t="shared" si="135"/>
        <v>#N/A</v>
      </c>
      <c r="E1095" t="e">
        <f t="shared" si="131"/>
        <v>#N/A</v>
      </c>
      <c r="G1095">
        <v>1045</v>
      </c>
      <c r="H1095" s="13" t="e">
        <f t="shared" si="136"/>
        <v>#N/A</v>
      </c>
      <c r="I1095" t="e">
        <f t="shared" si="137"/>
        <v>#N/A</v>
      </c>
      <c r="J1095" t="e">
        <f t="shared" si="132"/>
        <v>#N/A</v>
      </c>
      <c r="K1095" s="27" t="e">
        <f t="shared" si="133"/>
        <v>#N/A</v>
      </c>
    </row>
    <row r="1096" spans="1:11">
      <c r="A1096" s="26">
        <v>1046</v>
      </c>
      <c r="B1096" s="82" t="e">
        <f t="shared" si="134"/>
        <v>#N/A</v>
      </c>
      <c r="C1096" s="58" t="e">
        <f t="shared" si="130"/>
        <v>#N/A</v>
      </c>
      <c r="D1096" s="83" t="e">
        <f t="shared" si="135"/>
        <v>#N/A</v>
      </c>
      <c r="E1096" t="e">
        <f t="shared" si="131"/>
        <v>#N/A</v>
      </c>
      <c r="G1096">
        <v>1046</v>
      </c>
      <c r="H1096" s="13" t="e">
        <f t="shared" si="136"/>
        <v>#N/A</v>
      </c>
      <c r="I1096" t="e">
        <f t="shared" si="137"/>
        <v>#N/A</v>
      </c>
      <c r="J1096" t="e">
        <f t="shared" si="132"/>
        <v>#N/A</v>
      </c>
      <c r="K1096" s="27" t="e">
        <f t="shared" si="133"/>
        <v>#N/A</v>
      </c>
    </row>
    <row r="1097" spans="1:11">
      <c r="A1097" s="26">
        <v>1047</v>
      </c>
      <c r="B1097" s="82" t="e">
        <f t="shared" si="134"/>
        <v>#N/A</v>
      </c>
      <c r="C1097" s="58" t="e">
        <f t="shared" si="130"/>
        <v>#N/A</v>
      </c>
      <c r="D1097" s="83" t="e">
        <f t="shared" si="135"/>
        <v>#N/A</v>
      </c>
      <c r="E1097" t="e">
        <f t="shared" si="131"/>
        <v>#N/A</v>
      </c>
      <c r="G1097">
        <v>1047</v>
      </c>
      <c r="H1097" s="13" t="e">
        <f t="shared" si="136"/>
        <v>#N/A</v>
      </c>
      <c r="I1097" t="e">
        <f t="shared" si="137"/>
        <v>#N/A</v>
      </c>
      <c r="J1097" t="e">
        <f t="shared" si="132"/>
        <v>#N/A</v>
      </c>
      <c r="K1097" s="27" t="e">
        <f t="shared" si="133"/>
        <v>#N/A</v>
      </c>
    </row>
    <row r="1098" spans="1:11">
      <c r="A1098" s="26">
        <v>1048</v>
      </c>
      <c r="B1098" s="82" t="e">
        <f t="shared" si="134"/>
        <v>#N/A</v>
      </c>
      <c r="C1098" s="58" t="e">
        <f t="shared" si="130"/>
        <v>#N/A</v>
      </c>
      <c r="D1098" s="83" t="e">
        <f t="shared" si="135"/>
        <v>#N/A</v>
      </c>
      <c r="E1098" t="e">
        <f t="shared" si="131"/>
        <v>#N/A</v>
      </c>
      <c r="G1098">
        <v>1048</v>
      </c>
      <c r="H1098" s="13" t="e">
        <f t="shared" si="136"/>
        <v>#N/A</v>
      </c>
      <c r="I1098" t="e">
        <f t="shared" si="137"/>
        <v>#N/A</v>
      </c>
      <c r="J1098" t="e">
        <f t="shared" si="132"/>
        <v>#N/A</v>
      </c>
      <c r="K1098" s="27" t="e">
        <f t="shared" si="133"/>
        <v>#N/A</v>
      </c>
    </row>
    <row r="1099" spans="1:11">
      <c r="A1099" s="26">
        <v>1049</v>
      </c>
      <c r="B1099" s="82" t="e">
        <f t="shared" si="134"/>
        <v>#N/A</v>
      </c>
      <c r="C1099" s="58" t="e">
        <f t="shared" si="130"/>
        <v>#N/A</v>
      </c>
      <c r="D1099" s="83" t="e">
        <f t="shared" si="135"/>
        <v>#N/A</v>
      </c>
      <c r="E1099" t="e">
        <f t="shared" si="131"/>
        <v>#N/A</v>
      </c>
      <c r="G1099">
        <v>1049</v>
      </c>
      <c r="H1099" s="13" t="e">
        <f t="shared" si="136"/>
        <v>#N/A</v>
      </c>
      <c r="I1099" t="e">
        <f t="shared" si="137"/>
        <v>#N/A</v>
      </c>
      <c r="J1099" t="e">
        <f t="shared" si="132"/>
        <v>#N/A</v>
      </c>
      <c r="K1099" s="27" t="e">
        <f t="shared" si="133"/>
        <v>#N/A</v>
      </c>
    </row>
    <row r="1100" spans="1:11">
      <c r="A1100" s="26">
        <v>1050</v>
      </c>
      <c r="B1100" s="82" t="e">
        <f t="shared" si="134"/>
        <v>#N/A</v>
      </c>
      <c r="C1100" s="58" t="e">
        <f t="shared" si="130"/>
        <v>#N/A</v>
      </c>
      <c r="D1100" s="83" t="e">
        <f t="shared" si="135"/>
        <v>#N/A</v>
      </c>
      <c r="E1100" t="e">
        <f t="shared" si="131"/>
        <v>#N/A</v>
      </c>
      <c r="G1100">
        <v>1050</v>
      </c>
      <c r="H1100" s="13" t="e">
        <f t="shared" si="136"/>
        <v>#N/A</v>
      </c>
      <c r="I1100" t="e">
        <f t="shared" si="137"/>
        <v>#N/A</v>
      </c>
      <c r="J1100" t="e">
        <f t="shared" si="132"/>
        <v>#N/A</v>
      </c>
      <c r="K1100" s="27" t="e">
        <f t="shared" si="133"/>
        <v>#N/A</v>
      </c>
    </row>
    <row r="1101" spans="1:11">
      <c r="A1101" s="26">
        <v>1051</v>
      </c>
      <c r="B1101" s="82" t="e">
        <f t="shared" si="134"/>
        <v>#N/A</v>
      </c>
      <c r="C1101" s="58" t="e">
        <f t="shared" si="130"/>
        <v>#N/A</v>
      </c>
      <c r="D1101" s="83" t="e">
        <f t="shared" si="135"/>
        <v>#N/A</v>
      </c>
      <c r="E1101" t="e">
        <f t="shared" si="131"/>
        <v>#N/A</v>
      </c>
      <c r="G1101">
        <v>1051</v>
      </c>
      <c r="H1101" s="13" t="e">
        <f t="shared" si="136"/>
        <v>#N/A</v>
      </c>
      <c r="I1101" t="e">
        <f t="shared" si="137"/>
        <v>#N/A</v>
      </c>
      <c r="J1101" t="e">
        <f t="shared" si="132"/>
        <v>#N/A</v>
      </c>
      <c r="K1101" s="27" t="e">
        <f t="shared" si="133"/>
        <v>#N/A</v>
      </c>
    </row>
    <row r="1102" spans="1:11">
      <c r="A1102" s="26">
        <v>1052</v>
      </c>
      <c r="B1102" s="82" t="e">
        <f t="shared" si="134"/>
        <v>#N/A</v>
      </c>
      <c r="C1102" s="58" t="e">
        <f t="shared" si="130"/>
        <v>#N/A</v>
      </c>
      <c r="D1102" s="83" t="e">
        <f t="shared" si="135"/>
        <v>#N/A</v>
      </c>
      <c r="E1102" t="e">
        <f t="shared" si="131"/>
        <v>#N/A</v>
      </c>
      <c r="G1102">
        <v>1052</v>
      </c>
      <c r="H1102" s="13" t="e">
        <f t="shared" si="136"/>
        <v>#N/A</v>
      </c>
      <c r="I1102" t="e">
        <f t="shared" si="137"/>
        <v>#N/A</v>
      </c>
      <c r="J1102" t="e">
        <f t="shared" si="132"/>
        <v>#N/A</v>
      </c>
      <c r="K1102" s="27" t="e">
        <f t="shared" si="133"/>
        <v>#N/A</v>
      </c>
    </row>
    <row r="1103" spans="1:11">
      <c r="A1103" s="26">
        <v>1053</v>
      </c>
      <c r="B1103" s="82" t="e">
        <f t="shared" si="134"/>
        <v>#N/A</v>
      </c>
      <c r="C1103" s="58" t="e">
        <f t="shared" si="130"/>
        <v>#N/A</v>
      </c>
      <c r="D1103" s="83" t="e">
        <f t="shared" si="135"/>
        <v>#N/A</v>
      </c>
      <c r="E1103" t="e">
        <f t="shared" si="131"/>
        <v>#N/A</v>
      </c>
      <c r="G1103">
        <v>1053</v>
      </c>
      <c r="H1103" s="13" t="e">
        <f t="shared" si="136"/>
        <v>#N/A</v>
      </c>
      <c r="I1103" t="e">
        <f t="shared" si="137"/>
        <v>#N/A</v>
      </c>
      <c r="J1103" t="e">
        <f t="shared" si="132"/>
        <v>#N/A</v>
      </c>
      <c r="K1103" s="27" t="e">
        <f t="shared" si="133"/>
        <v>#N/A</v>
      </c>
    </row>
    <row r="1104" spans="1:11">
      <c r="A1104" s="26">
        <v>1054</v>
      </c>
      <c r="B1104" s="82" t="e">
        <f t="shared" si="134"/>
        <v>#N/A</v>
      </c>
      <c r="C1104" s="58" t="e">
        <f t="shared" ref="C1104:C1167" si="138">($C$37-$C$36)/2000+C1103</f>
        <v>#N/A</v>
      </c>
      <c r="D1104" s="83" t="e">
        <f t="shared" si="135"/>
        <v>#N/A</v>
      </c>
      <c r="E1104" t="e">
        <f t="shared" si="131"/>
        <v>#N/A</v>
      </c>
      <c r="G1104">
        <v>1054</v>
      </c>
      <c r="H1104" s="13" t="e">
        <f t="shared" si="136"/>
        <v>#N/A</v>
      </c>
      <c r="I1104" t="e">
        <f t="shared" si="137"/>
        <v>#N/A</v>
      </c>
      <c r="J1104" t="e">
        <f t="shared" si="132"/>
        <v>#N/A</v>
      </c>
      <c r="K1104" s="27" t="e">
        <f t="shared" si="133"/>
        <v>#N/A</v>
      </c>
    </row>
    <row r="1105" spans="1:11">
      <c r="A1105" s="26">
        <v>1055</v>
      </c>
      <c r="B1105" s="82" t="e">
        <f t="shared" si="134"/>
        <v>#N/A</v>
      </c>
      <c r="C1105" s="58" t="e">
        <f t="shared" si="138"/>
        <v>#N/A</v>
      </c>
      <c r="D1105" s="83" t="e">
        <f t="shared" si="135"/>
        <v>#N/A</v>
      </c>
      <c r="E1105" t="e">
        <f t="shared" si="131"/>
        <v>#N/A</v>
      </c>
      <c r="G1105">
        <v>1055</v>
      </c>
      <c r="H1105" s="13" t="e">
        <f t="shared" si="136"/>
        <v>#N/A</v>
      </c>
      <c r="I1105" t="e">
        <f t="shared" si="137"/>
        <v>#N/A</v>
      </c>
      <c r="J1105" t="e">
        <f t="shared" si="132"/>
        <v>#N/A</v>
      </c>
      <c r="K1105" s="27" t="e">
        <f t="shared" si="133"/>
        <v>#N/A</v>
      </c>
    </row>
    <row r="1106" spans="1:11">
      <c r="A1106" s="26">
        <v>1056</v>
      </c>
      <c r="B1106" s="82" t="e">
        <f t="shared" si="134"/>
        <v>#N/A</v>
      </c>
      <c r="C1106" s="58" t="e">
        <f t="shared" si="138"/>
        <v>#N/A</v>
      </c>
      <c r="D1106" s="83" t="e">
        <f t="shared" si="135"/>
        <v>#N/A</v>
      </c>
      <c r="E1106" t="e">
        <f t="shared" si="131"/>
        <v>#N/A</v>
      </c>
      <c r="G1106">
        <v>1056</v>
      </c>
      <c r="H1106" s="13" t="e">
        <f t="shared" si="136"/>
        <v>#N/A</v>
      </c>
      <c r="I1106" t="e">
        <f t="shared" si="137"/>
        <v>#N/A</v>
      </c>
      <c r="J1106" t="e">
        <f t="shared" si="132"/>
        <v>#N/A</v>
      </c>
      <c r="K1106" s="27" t="e">
        <f t="shared" si="133"/>
        <v>#N/A</v>
      </c>
    </row>
    <row r="1107" spans="1:11">
      <c r="A1107" s="26">
        <v>1057</v>
      </c>
      <c r="B1107" s="82" t="e">
        <f t="shared" si="134"/>
        <v>#N/A</v>
      </c>
      <c r="C1107" s="58" t="e">
        <f t="shared" si="138"/>
        <v>#N/A</v>
      </c>
      <c r="D1107" s="83" t="e">
        <f t="shared" si="135"/>
        <v>#N/A</v>
      </c>
      <c r="E1107" t="e">
        <f t="shared" si="131"/>
        <v>#N/A</v>
      </c>
      <c r="G1107">
        <v>1057</v>
      </c>
      <c r="H1107" s="13" t="e">
        <f t="shared" si="136"/>
        <v>#N/A</v>
      </c>
      <c r="I1107" t="e">
        <f t="shared" si="137"/>
        <v>#N/A</v>
      </c>
      <c r="J1107" t="e">
        <f t="shared" si="132"/>
        <v>#N/A</v>
      </c>
      <c r="K1107" s="27" t="e">
        <f t="shared" si="133"/>
        <v>#N/A</v>
      </c>
    </row>
    <row r="1108" spans="1:11">
      <c r="A1108" s="26">
        <v>1058</v>
      </c>
      <c r="B1108" s="82" t="e">
        <f t="shared" si="134"/>
        <v>#N/A</v>
      </c>
      <c r="C1108" s="58" t="e">
        <f t="shared" si="138"/>
        <v>#N/A</v>
      </c>
      <c r="D1108" s="83" t="e">
        <f t="shared" si="135"/>
        <v>#N/A</v>
      </c>
      <c r="E1108" t="e">
        <f t="shared" si="131"/>
        <v>#N/A</v>
      </c>
      <c r="G1108">
        <v>1058</v>
      </c>
      <c r="H1108" s="13" t="e">
        <f t="shared" si="136"/>
        <v>#N/A</v>
      </c>
      <c r="I1108" t="e">
        <f t="shared" si="137"/>
        <v>#N/A</v>
      </c>
      <c r="J1108" t="e">
        <f t="shared" si="132"/>
        <v>#N/A</v>
      </c>
      <c r="K1108" s="27" t="e">
        <f t="shared" si="133"/>
        <v>#N/A</v>
      </c>
    </row>
    <row r="1109" spans="1:11">
      <c r="A1109" s="26">
        <v>1059</v>
      </c>
      <c r="B1109" s="82" t="e">
        <f t="shared" si="134"/>
        <v>#N/A</v>
      </c>
      <c r="C1109" s="58" t="e">
        <f t="shared" si="138"/>
        <v>#N/A</v>
      </c>
      <c r="D1109" s="83" t="e">
        <f t="shared" si="135"/>
        <v>#N/A</v>
      </c>
      <c r="E1109" t="e">
        <f t="shared" si="131"/>
        <v>#N/A</v>
      </c>
      <c r="G1109">
        <v>1059</v>
      </c>
      <c r="H1109" s="13" t="e">
        <f t="shared" si="136"/>
        <v>#N/A</v>
      </c>
      <c r="I1109" t="e">
        <f t="shared" si="137"/>
        <v>#N/A</v>
      </c>
      <c r="J1109" t="e">
        <f t="shared" si="132"/>
        <v>#N/A</v>
      </c>
      <c r="K1109" s="27" t="e">
        <f t="shared" si="133"/>
        <v>#N/A</v>
      </c>
    </row>
    <row r="1110" spans="1:11">
      <c r="A1110" s="26">
        <v>1060</v>
      </c>
      <c r="B1110" s="82" t="e">
        <f t="shared" si="134"/>
        <v>#N/A</v>
      </c>
      <c r="C1110" s="58" t="e">
        <f t="shared" si="138"/>
        <v>#N/A</v>
      </c>
      <c r="D1110" s="83" t="e">
        <f t="shared" si="135"/>
        <v>#N/A</v>
      </c>
      <c r="E1110" t="e">
        <f t="shared" si="131"/>
        <v>#N/A</v>
      </c>
      <c r="G1110">
        <v>1060</v>
      </c>
      <c r="H1110" s="13" t="e">
        <f t="shared" si="136"/>
        <v>#N/A</v>
      </c>
      <c r="I1110" t="e">
        <f t="shared" si="137"/>
        <v>#N/A</v>
      </c>
      <c r="J1110" t="e">
        <f t="shared" si="132"/>
        <v>#N/A</v>
      </c>
      <c r="K1110" s="27" t="e">
        <f t="shared" si="133"/>
        <v>#N/A</v>
      </c>
    </row>
    <row r="1111" spans="1:11">
      <c r="A1111" s="26">
        <v>1061</v>
      </c>
      <c r="B1111" s="82" t="e">
        <f t="shared" si="134"/>
        <v>#N/A</v>
      </c>
      <c r="C1111" s="58" t="e">
        <f t="shared" si="138"/>
        <v>#N/A</v>
      </c>
      <c r="D1111" s="83" t="e">
        <f t="shared" si="135"/>
        <v>#N/A</v>
      </c>
      <c r="E1111" t="e">
        <f t="shared" si="131"/>
        <v>#N/A</v>
      </c>
      <c r="G1111">
        <v>1061</v>
      </c>
      <c r="H1111" s="13" t="e">
        <f t="shared" si="136"/>
        <v>#N/A</v>
      </c>
      <c r="I1111" t="e">
        <f t="shared" si="137"/>
        <v>#N/A</v>
      </c>
      <c r="J1111" t="e">
        <f t="shared" si="132"/>
        <v>#N/A</v>
      </c>
      <c r="K1111" s="27" t="e">
        <f t="shared" si="133"/>
        <v>#N/A</v>
      </c>
    </row>
    <row r="1112" spans="1:11">
      <c r="A1112" s="26">
        <v>1062</v>
      </c>
      <c r="B1112" s="82" t="e">
        <f t="shared" si="134"/>
        <v>#N/A</v>
      </c>
      <c r="C1112" s="58" t="e">
        <f t="shared" si="138"/>
        <v>#N/A</v>
      </c>
      <c r="D1112" s="83" t="e">
        <f t="shared" si="135"/>
        <v>#N/A</v>
      </c>
      <c r="E1112" t="e">
        <f t="shared" si="131"/>
        <v>#N/A</v>
      </c>
      <c r="G1112">
        <v>1062</v>
      </c>
      <c r="H1112" s="13" t="e">
        <f t="shared" si="136"/>
        <v>#N/A</v>
      </c>
      <c r="I1112" t="e">
        <f t="shared" si="137"/>
        <v>#N/A</v>
      </c>
      <c r="J1112" t="e">
        <f t="shared" si="132"/>
        <v>#N/A</v>
      </c>
      <c r="K1112" s="27" t="e">
        <f t="shared" si="133"/>
        <v>#N/A</v>
      </c>
    </row>
    <row r="1113" spans="1:11">
      <c r="A1113" s="26">
        <v>1063</v>
      </c>
      <c r="B1113" s="82" t="e">
        <f t="shared" si="134"/>
        <v>#N/A</v>
      </c>
      <c r="C1113" s="58" t="e">
        <f t="shared" si="138"/>
        <v>#N/A</v>
      </c>
      <c r="D1113" s="83" t="e">
        <f t="shared" si="135"/>
        <v>#N/A</v>
      </c>
      <c r="E1113" t="e">
        <f t="shared" si="131"/>
        <v>#N/A</v>
      </c>
      <c r="G1113">
        <v>1063</v>
      </c>
      <c r="H1113" s="13" t="e">
        <f t="shared" si="136"/>
        <v>#N/A</v>
      </c>
      <c r="I1113" t="e">
        <f t="shared" si="137"/>
        <v>#N/A</v>
      </c>
      <c r="J1113" t="e">
        <f t="shared" si="132"/>
        <v>#N/A</v>
      </c>
      <c r="K1113" s="27" t="e">
        <f t="shared" si="133"/>
        <v>#N/A</v>
      </c>
    </row>
    <row r="1114" spans="1:11">
      <c r="A1114" s="26">
        <v>1064</v>
      </c>
      <c r="B1114" s="82" t="e">
        <f t="shared" si="134"/>
        <v>#N/A</v>
      </c>
      <c r="C1114" s="58" t="e">
        <f t="shared" si="138"/>
        <v>#N/A</v>
      </c>
      <c r="D1114" s="83" t="e">
        <f t="shared" si="135"/>
        <v>#N/A</v>
      </c>
      <c r="E1114" t="e">
        <f t="shared" si="131"/>
        <v>#N/A</v>
      </c>
      <c r="G1114">
        <v>1064</v>
      </c>
      <c r="H1114" s="13" t="e">
        <f t="shared" si="136"/>
        <v>#N/A</v>
      </c>
      <c r="I1114" t="e">
        <f t="shared" si="137"/>
        <v>#N/A</v>
      </c>
      <c r="J1114" t="e">
        <f t="shared" si="132"/>
        <v>#N/A</v>
      </c>
      <c r="K1114" s="27" t="e">
        <f t="shared" si="133"/>
        <v>#N/A</v>
      </c>
    </row>
    <row r="1115" spans="1:11">
      <c r="A1115" s="26">
        <v>1065</v>
      </c>
      <c r="B1115" s="82" t="e">
        <f t="shared" si="134"/>
        <v>#N/A</v>
      </c>
      <c r="C1115" s="58" t="e">
        <f t="shared" si="138"/>
        <v>#N/A</v>
      </c>
      <c r="D1115" s="83" t="e">
        <f t="shared" si="135"/>
        <v>#N/A</v>
      </c>
      <c r="E1115" t="e">
        <f t="shared" si="131"/>
        <v>#N/A</v>
      </c>
      <c r="G1115">
        <v>1065</v>
      </c>
      <c r="H1115" s="13" t="e">
        <f t="shared" si="136"/>
        <v>#N/A</v>
      </c>
      <c r="I1115" t="e">
        <f t="shared" si="137"/>
        <v>#N/A</v>
      </c>
      <c r="J1115" t="e">
        <f t="shared" si="132"/>
        <v>#N/A</v>
      </c>
      <c r="K1115" s="27" t="e">
        <f t="shared" si="133"/>
        <v>#N/A</v>
      </c>
    </row>
    <row r="1116" spans="1:11">
      <c r="A1116" s="26">
        <v>1066</v>
      </c>
      <c r="B1116" s="82" t="e">
        <f t="shared" si="134"/>
        <v>#N/A</v>
      </c>
      <c r="C1116" s="58" t="e">
        <f t="shared" si="138"/>
        <v>#N/A</v>
      </c>
      <c r="D1116" s="83" t="e">
        <f t="shared" si="135"/>
        <v>#N/A</v>
      </c>
      <c r="E1116" t="e">
        <f t="shared" si="131"/>
        <v>#N/A</v>
      </c>
      <c r="G1116">
        <v>1066</v>
      </c>
      <c r="H1116" s="13" t="e">
        <f t="shared" si="136"/>
        <v>#N/A</v>
      </c>
      <c r="I1116" t="e">
        <f t="shared" si="137"/>
        <v>#N/A</v>
      </c>
      <c r="J1116" t="e">
        <f t="shared" si="132"/>
        <v>#N/A</v>
      </c>
      <c r="K1116" s="27" t="e">
        <f t="shared" si="133"/>
        <v>#N/A</v>
      </c>
    </row>
    <row r="1117" spans="1:11">
      <c r="A1117" s="26">
        <v>1067</v>
      </c>
      <c r="B1117" s="82" t="e">
        <f t="shared" si="134"/>
        <v>#N/A</v>
      </c>
      <c r="C1117" s="58" t="e">
        <f t="shared" si="138"/>
        <v>#N/A</v>
      </c>
      <c r="D1117" s="83" t="e">
        <f t="shared" si="135"/>
        <v>#N/A</v>
      </c>
      <c r="E1117" t="e">
        <f t="shared" si="131"/>
        <v>#N/A</v>
      </c>
      <c r="G1117">
        <v>1067</v>
      </c>
      <c r="H1117" s="13" t="e">
        <f t="shared" si="136"/>
        <v>#N/A</v>
      </c>
      <c r="I1117" t="e">
        <f t="shared" si="137"/>
        <v>#N/A</v>
      </c>
      <c r="J1117" t="e">
        <f t="shared" si="132"/>
        <v>#N/A</v>
      </c>
      <c r="K1117" s="27" t="e">
        <f t="shared" si="133"/>
        <v>#N/A</v>
      </c>
    </row>
    <row r="1118" spans="1:11">
      <c r="A1118" s="26">
        <v>1068</v>
      </c>
      <c r="B1118" s="82" t="e">
        <f t="shared" si="134"/>
        <v>#N/A</v>
      </c>
      <c r="C1118" s="58" t="e">
        <f t="shared" si="138"/>
        <v>#N/A</v>
      </c>
      <c r="D1118" s="83" t="e">
        <f t="shared" si="135"/>
        <v>#N/A</v>
      </c>
      <c r="E1118" t="e">
        <f t="shared" si="131"/>
        <v>#N/A</v>
      </c>
      <c r="G1118">
        <v>1068</v>
      </c>
      <c r="H1118" s="13" t="e">
        <f t="shared" si="136"/>
        <v>#N/A</v>
      </c>
      <c r="I1118" t="e">
        <f t="shared" si="137"/>
        <v>#N/A</v>
      </c>
      <c r="J1118" t="e">
        <f t="shared" si="132"/>
        <v>#N/A</v>
      </c>
      <c r="K1118" s="27" t="e">
        <f t="shared" si="133"/>
        <v>#N/A</v>
      </c>
    </row>
    <row r="1119" spans="1:11">
      <c r="A1119" s="26">
        <v>1069</v>
      </c>
      <c r="B1119" s="82" t="e">
        <f t="shared" si="134"/>
        <v>#N/A</v>
      </c>
      <c r="C1119" s="58" t="e">
        <f t="shared" si="138"/>
        <v>#N/A</v>
      </c>
      <c r="D1119" s="83" t="e">
        <f t="shared" si="135"/>
        <v>#N/A</v>
      </c>
      <c r="E1119" t="e">
        <f t="shared" si="131"/>
        <v>#N/A</v>
      </c>
      <c r="G1119">
        <v>1069</v>
      </c>
      <c r="H1119" s="13" t="e">
        <f t="shared" si="136"/>
        <v>#N/A</v>
      </c>
      <c r="I1119" t="e">
        <f t="shared" si="137"/>
        <v>#N/A</v>
      </c>
      <c r="J1119" t="e">
        <f t="shared" si="132"/>
        <v>#N/A</v>
      </c>
      <c r="K1119" s="27" t="e">
        <f t="shared" si="133"/>
        <v>#N/A</v>
      </c>
    </row>
    <row r="1120" spans="1:11">
      <c r="A1120" s="26">
        <v>1070</v>
      </c>
      <c r="B1120" s="82" t="e">
        <f t="shared" si="134"/>
        <v>#N/A</v>
      </c>
      <c r="C1120" s="58" t="e">
        <f t="shared" si="138"/>
        <v>#N/A</v>
      </c>
      <c r="D1120" s="83" t="e">
        <f t="shared" si="135"/>
        <v>#N/A</v>
      </c>
      <c r="E1120" t="e">
        <f t="shared" si="131"/>
        <v>#N/A</v>
      </c>
      <c r="G1120">
        <v>1070</v>
      </c>
      <c r="H1120" s="13" t="e">
        <f t="shared" si="136"/>
        <v>#N/A</v>
      </c>
      <c r="I1120" t="e">
        <f t="shared" si="137"/>
        <v>#N/A</v>
      </c>
      <c r="J1120" t="e">
        <f t="shared" si="132"/>
        <v>#N/A</v>
      </c>
      <c r="K1120" s="27" t="e">
        <f t="shared" si="133"/>
        <v>#N/A</v>
      </c>
    </row>
    <row r="1121" spans="1:11">
      <c r="A1121" s="26">
        <v>1071</v>
      </c>
      <c r="B1121" s="82" t="e">
        <f t="shared" si="134"/>
        <v>#N/A</v>
      </c>
      <c r="C1121" s="58" t="e">
        <f t="shared" si="138"/>
        <v>#N/A</v>
      </c>
      <c r="D1121" s="83" t="e">
        <f t="shared" si="135"/>
        <v>#N/A</v>
      </c>
      <c r="E1121" t="e">
        <f t="shared" si="131"/>
        <v>#N/A</v>
      </c>
      <c r="G1121">
        <v>1071</v>
      </c>
      <c r="H1121" s="13" t="e">
        <f t="shared" si="136"/>
        <v>#N/A</v>
      </c>
      <c r="I1121" t="e">
        <f t="shared" si="137"/>
        <v>#N/A</v>
      </c>
      <c r="J1121" t="e">
        <f t="shared" si="132"/>
        <v>#N/A</v>
      </c>
      <c r="K1121" s="27" t="e">
        <f t="shared" si="133"/>
        <v>#N/A</v>
      </c>
    </row>
    <row r="1122" spans="1:11">
      <c r="A1122" s="26">
        <v>1072</v>
      </c>
      <c r="B1122" s="82" t="e">
        <f t="shared" si="134"/>
        <v>#N/A</v>
      </c>
      <c r="C1122" s="58" t="e">
        <f t="shared" si="138"/>
        <v>#N/A</v>
      </c>
      <c r="D1122" s="83" t="e">
        <f t="shared" si="135"/>
        <v>#N/A</v>
      </c>
      <c r="E1122" t="e">
        <f t="shared" si="131"/>
        <v>#N/A</v>
      </c>
      <c r="G1122">
        <v>1072</v>
      </c>
      <c r="H1122" s="13" t="e">
        <f t="shared" si="136"/>
        <v>#N/A</v>
      </c>
      <c r="I1122" t="e">
        <f t="shared" si="137"/>
        <v>#N/A</v>
      </c>
      <c r="J1122" t="e">
        <f t="shared" si="132"/>
        <v>#N/A</v>
      </c>
      <c r="K1122" s="27" t="e">
        <f t="shared" si="133"/>
        <v>#N/A</v>
      </c>
    </row>
    <row r="1123" spans="1:11">
      <c r="A1123" s="26">
        <v>1073</v>
      </c>
      <c r="B1123" s="82" t="e">
        <f t="shared" si="134"/>
        <v>#N/A</v>
      </c>
      <c r="C1123" s="58" t="e">
        <f t="shared" si="138"/>
        <v>#N/A</v>
      </c>
      <c r="D1123" s="83" t="e">
        <f t="shared" si="135"/>
        <v>#N/A</v>
      </c>
      <c r="E1123" t="e">
        <f t="shared" si="131"/>
        <v>#N/A</v>
      </c>
      <c r="G1123">
        <v>1073</v>
      </c>
      <c r="H1123" s="13" t="e">
        <f t="shared" si="136"/>
        <v>#N/A</v>
      </c>
      <c r="I1123" t="e">
        <f t="shared" si="137"/>
        <v>#N/A</v>
      </c>
      <c r="J1123" t="e">
        <f t="shared" si="132"/>
        <v>#N/A</v>
      </c>
      <c r="K1123" s="27" t="e">
        <f t="shared" si="133"/>
        <v>#N/A</v>
      </c>
    </row>
    <row r="1124" spans="1:11">
      <c r="A1124" s="26">
        <v>1074</v>
      </c>
      <c r="B1124" s="82" t="e">
        <f t="shared" si="134"/>
        <v>#N/A</v>
      </c>
      <c r="C1124" s="58" t="e">
        <f t="shared" si="138"/>
        <v>#N/A</v>
      </c>
      <c r="D1124" s="83" t="e">
        <f t="shared" si="135"/>
        <v>#N/A</v>
      </c>
      <c r="E1124" t="e">
        <f t="shared" si="131"/>
        <v>#N/A</v>
      </c>
      <c r="G1124">
        <v>1074</v>
      </c>
      <c r="H1124" s="13" t="e">
        <f t="shared" si="136"/>
        <v>#N/A</v>
      </c>
      <c r="I1124" t="e">
        <f t="shared" si="137"/>
        <v>#N/A</v>
      </c>
      <c r="J1124" t="e">
        <f t="shared" si="132"/>
        <v>#N/A</v>
      </c>
      <c r="K1124" s="27" t="e">
        <f t="shared" si="133"/>
        <v>#N/A</v>
      </c>
    </row>
    <row r="1125" spans="1:11">
      <c r="A1125" s="26">
        <v>1075</v>
      </c>
      <c r="B1125" s="82" t="e">
        <f t="shared" si="134"/>
        <v>#N/A</v>
      </c>
      <c r="C1125" s="58" t="e">
        <f t="shared" si="138"/>
        <v>#N/A</v>
      </c>
      <c r="D1125" s="83" t="e">
        <f t="shared" si="135"/>
        <v>#N/A</v>
      </c>
      <c r="E1125" t="e">
        <f t="shared" si="131"/>
        <v>#N/A</v>
      </c>
      <c r="G1125">
        <v>1075</v>
      </c>
      <c r="H1125" s="13" t="e">
        <f t="shared" si="136"/>
        <v>#N/A</v>
      </c>
      <c r="I1125" t="e">
        <f t="shared" si="137"/>
        <v>#N/A</v>
      </c>
      <c r="J1125" t="e">
        <f t="shared" si="132"/>
        <v>#N/A</v>
      </c>
      <c r="K1125" s="27" t="e">
        <f t="shared" si="133"/>
        <v>#N/A</v>
      </c>
    </row>
    <row r="1126" spans="1:11">
      <c r="A1126" s="26">
        <v>1076</v>
      </c>
      <c r="B1126" s="82" t="e">
        <f t="shared" si="134"/>
        <v>#N/A</v>
      </c>
      <c r="C1126" s="58" t="e">
        <f t="shared" si="138"/>
        <v>#N/A</v>
      </c>
      <c r="D1126" s="83" t="e">
        <f t="shared" si="135"/>
        <v>#N/A</v>
      </c>
      <c r="E1126" t="e">
        <f t="shared" si="131"/>
        <v>#N/A</v>
      </c>
      <c r="G1126">
        <v>1076</v>
      </c>
      <c r="H1126" s="13" t="e">
        <f t="shared" si="136"/>
        <v>#N/A</v>
      </c>
      <c r="I1126" t="e">
        <f t="shared" si="137"/>
        <v>#N/A</v>
      </c>
      <c r="J1126" t="e">
        <f t="shared" si="132"/>
        <v>#N/A</v>
      </c>
      <c r="K1126" s="27" t="e">
        <f t="shared" si="133"/>
        <v>#N/A</v>
      </c>
    </row>
    <row r="1127" spans="1:11">
      <c r="A1127" s="26">
        <v>1077</v>
      </c>
      <c r="B1127" s="82" t="e">
        <f t="shared" si="134"/>
        <v>#N/A</v>
      </c>
      <c r="C1127" s="58" t="e">
        <f t="shared" si="138"/>
        <v>#N/A</v>
      </c>
      <c r="D1127" s="83" t="e">
        <f t="shared" si="135"/>
        <v>#N/A</v>
      </c>
      <c r="E1127" t="e">
        <f t="shared" si="131"/>
        <v>#N/A</v>
      </c>
      <c r="G1127">
        <v>1077</v>
      </c>
      <c r="H1127" s="13" t="e">
        <f t="shared" si="136"/>
        <v>#N/A</v>
      </c>
      <c r="I1127" t="e">
        <f t="shared" si="137"/>
        <v>#N/A</v>
      </c>
      <c r="J1127" t="e">
        <f t="shared" si="132"/>
        <v>#N/A</v>
      </c>
      <c r="K1127" s="27" t="e">
        <f t="shared" si="133"/>
        <v>#N/A</v>
      </c>
    </row>
    <row r="1128" spans="1:11">
      <c r="A1128" s="26">
        <v>1078</v>
      </c>
      <c r="B1128" s="82" t="e">
        <f t="shared" si="134"/>
        <v>#N/A</v>
      </c>
      <c r="C1128" s="58" t="e">
        <f t="shared" si="138"/>
        <v>#N/A</v>
      </c>
      <c r="D1128" s="83" t="e">
        <f t="shared" si="135"/>
        <v>#N/A</v>
      </c>
      <c r="E1128" t="e">
        <f t="shared" si="131"/>
        <v>#N/A</v>
      </c>
      <c r="G1128">
        <v>1078</v>
      </c>
      <c r="H1128" s="13" t="e">
        <f t="shared" si="136"/>
        <v>#N/A</v>
      </c>
      <c r="I1128" t="e">
        <f t="shared" si="137"/>
        <v>#N/A</v>
      </c>
      <c r="J1128" t="e">
        <f t="shared" si="132"/>
        <v>#N/A</v>
      </c>
      <c r="K1128" s="27" t="e">
        <f t="shared" si="133"/>
        <v>#N/A</v>
      </c>
    </row>
    <row r="1129" spans="1:11">
      <c r="A1129" s="26">
        <v>1079</v>
      </c>
      <c r="B1129" s="82" t="e">
        <f t="shared" si="134"/>
        <v>#N/A</v>
      </c>
      <c r="C1129" s="58" t="e">
        <f t="shared" si="138"/>
        <v>#N/A</v>
      </c>
      <c r="D1129" s="83" t="e">
        <f t="shared" si="135"/>
        <v>#N/A</v>
      </c>
      <c r="E1129" t="e">
        <f t="shared" si="131"/>
        <v>#N/A</v>
      </c>
      <c r="G1129">
        <v>1079</v>
      </c>
      <c r="H1129" s="13" t="e">
        <f t="shared" si="136"/>
        <v>#N/A</v>
      </c>
      <c r="I1129" t="e">
        <f t="shared" si="137"/>
        <v>#N/A</v>
      </c>
      <c r="J1129" t="e">
        <f t="shared" si="132"/>
        <v>#N/A</v>
      </c>
      <c r="K1129" s="27" t="e">
        <f t="shared" si="133"/>
        <v>#N/A</v>
      </c>
    </row>
    <row r="1130" spans="1:11">
      <c r="A1130" s="26">
        <v>1080</v>
      </c>
      <c r="B1130" s="82" t="e">
        <f t="shared" si="134"/>
        <v>#N/A</v>
      </c>
      <c r="C1130" s="58" t="e">
        <f t="shared" si="138"/>
        <v>#N/A</v>
      </c>
      <c r="D1130" s="83" t="e">
        <f t="shared" si="135"/>
        <v>#N/A</v>
      </c>
      <c r="E1130" t="e">
        <f t="shared" si="131"/>
        <v>#N/A</v>
      </c>
      <c r="G1130">
        <v>1080</v>
      </c>
      <c r="H1130" s="13" t="e">
        <f t="shared" si="136"/>
        <v>#N/A</v>
      </c>
      <c r="I1130" t="e">
        <f t="shared" si="137"/>
        <v>#N/A</v>
      </c>
      <c r="J1130" t="e">
        <f t="shared" si="132"/>
        <v>#N/A</v>
      </c>
      <c r="K1130" s="27" t="e">
        <f t="shared" si="133"/>
        <v>#N/A</v>
      </c>
    </row>
    <row r="1131" spans="1:11">
      <c r="A1131" s="26">
        <v>1081</v>
      </c>
      <c r="B1131" s="82" t="e">
        <f t="shared" si="134"/>
        <v>#N/A</v>
      </c>
      <c r="C1131" s="58" t="e">
        <f t="shared" si="138"/>
        <v>#N/A</v>
      </c>
      <c r="D1131" s="83" t="e">
        <f t="shared" si="135"/>
        <v>#N/A</v>
      </c>
      <c r="E1131" t="e">
        <f t="shared" si="131"/>
        <v>#N/A</v>
      </c>
      <c r="G1131">
        <v>1081</v>
      </c>
      <c r="H1131" s="13" t="e">
        <f t="shared" si="136"/>
        <v>#N/A</v>
      </c>
      <c r="I1131" t="e">
        <f t="shared" si="137"/>
        <v>#N/A</v>
      </c>
      <c r="J1131" t="e">
        <f t="shared" si="132"/>
        <v>#N/A</v>
      </c>
      <c r="K1131" s="27" t="e">
        <f t="shared" si="133"/>
        <v>#N/A</v>
      </c>
    </row>
    <row r="1132" spans="1:11">
      <c r="A1132" s="26">
        <v>1082</v>
      </c>
      <c r="B1132" s="82" t="e">
        <f t="shared" si="134"/>
        <v>#N/A</v>
      </c>
      <c r="C1132" s="58" t="e">
        <f t="shared" si="138"/>
        <v>#N/A</v>
      </c>
      <c r="D1132" s="83" t="e">
        <f t="shared" si="135"/>
        <v>#N/A</v>
      </c>
      <c r="E1132" t="e">
        <f t="shared" si="131"/>
        <v>#N/A</v>
      </c>
      <c r="G1132">
        <v>1082</v>
      </c>
      <c r="H1132" s="13" t="e">
        <f t="shared" si="136"/>
        <v>#N/A</v>
      </c>
      <c r="I1132" t="e">
        <f t="shared" si="137"/>
        <v>#N/A</v>
      </c>
      <c r="J1132" t="e">
        <f t="shared" si="132"/>
        <v>#N/A</v>
      </c>
      <c r="K1132" s="27" t="e">
        <f t="shared" si="133"/>
        <v>#N/A</v>
      </c>
    </row>
    <row r="1133" spans="1:11">
      <c r="A1133" s="26">
        <v>1083</v>
      </c>
      <c r="B1133" s="82" t="e">
        <f t="shared" si="134"/>
        <v>#N/A</v>
      </c>
      <c r="C1133" s="58" t="e">
        <f t="shared" si="138"/>
        <v>#N/A</v>
      </c>
      <c r="D1133" s="83" t="e">
        <f t="shared" si="135"/>
        <v>#N/A</v>
      </c>
      <c r="E1133" t="e">
        <f t="shared" si="131"/>
        <v>#N/A</v>
      </c>
      <c r="G1133">
        <v>1083</v>
      </c>
      <c r="H1133" s="13" t="e">
        <f t="shared" si="136"/>
        <v>#N/A</v>
      </c>
      <c r="I1133" t="e">
        <f t="shared" si="137"/>
        <v>#N/A</v>
      </c>
      <c r="J1133" t="e">
        <f t="shared" si="132"/>
        <v>#N/A</v>
      </c>
      <c r="K1133" s="27" t="e">
        <f t="shared" si="133"/>
        <v>#N/A</v>
      </c>
    </row>
    <row r="1134" spans="1:11">
      <c r="A1134" s="26">
        <v>1084</v>
      </c>
      <c r="B1134" s="82" t="e">
        <f t="shared" si="134"/>
        <v>#N/A</v>
      </c>
      <c r="C1134" s="58" t="e">
        <f t="shared" si="138"/>
        <v>#N/A</v>
      </c>
      <c r="D1134" s="83" t="e">
        <f t="shared" si="135"/>
        <v>#N/A</v>
      </c>
      <c r="E1134" t="e">
        <f t="shared" si="131"/>
        <v>#N/A</v>
      </c>
      <c r="G1134">
        <v>1084</v>
      </c>
      <c r="H1134" s="13" t="e">
        <f t="shared" si="136"/>
        <v>#N/A</v>
      </c>
      <c r="I1134" t="e">
        <f t="shared" si="137"/>
        <v>#N/A</v>
      </c>
      <c r="J1134" t="e">
        <f t="shared" si="132"/>
        <v>#N/A</v>
      </c>
      <c r="K1134" s="27" t="e">
        <f t="shared" si="133"/>
        <v>#N/A</v>
      </c>
    </row>
    <row r="1135" spans="1:11">
      <c r="A1135" s="26">
        <v>1085</v>
      </c>
      <c r="B1135" s="82" t="e">
        <f t="shared" si="134"/>
        <v>#N/A</v>
      </c>
      <c r="C1135" s="58" t="e">
        <f t="shared" si="138"/>
        <v>#N/A</v>
      </c>
      <c r="D1135" s="83" t="e">
        <f t="shared" si="135"/>
        <v>#N/A</v>
      </c>
      <c r="E1135" t="e">
        <f t="shared" si="131"/>
        <v>#N/A</v>
      </c>
      <c r="G1135">
        <v>1085</v>
      </c>
      <c r="H1135" s="13" t="e">
        <f t="shared" si="136"/>
        <v>#N/A</v>
      </c>
      <c r="I1135" t="e">
        <f t="shared" si="137"/>
        <v>#N/A</v>
      </c>
      <c r="J1135" t="e">
        <f t="shared" si="132"/>
        <v>#N/A</v>
      </c>
      <c r="K1135" s="27" t="e">
        <f t="shared" si="133"/>
        <v>#N/A</v>
      </c>
    </row>
    <row r="1136" spans="1:11">
      <c r="A1136" s="26">
        <v>1086</v>
      </c>
      <c r="B1136" s="82" t="e">
        <f t="shared" si="134"/>
        <v>#N/A</v>
      </c>
      <c r="C1136" s="58" t="e">
        <f t="shared" si="138"/>
        <v>#N/A</v>
      </c>
      <c r="D1136" s="83" t="e">
        <f t="shared" si="135"/>
        <v>#N/A</v>
      </c>
      <c r="E1136" t="e">
        <f t="shared" si="131"/>
        <v>#N/A</v>
      </c>
      <c r="G1136">
        <v>1086</v>
      </c>
      <c r="H1136" s="13" t="e">
        <f t="shared" si="136"/>
        <v>#N/A</v>
      </c>
      <c r="I1136" t="e">
        <f t="shared" si="137"/>
        <v>#N/A</v>
      </c>
      <c r="J1136" t="e">
        <f t="shared" si="132"/>
        <v>#N/A</v>
      </c>
      <c r="K1136" s="27" t="e">
        <f t="shared" si="133"/>
        <v>#N/A</v>
      </c>
    </row>
    <row r="1137" spans="1:11">
      <c r="A1137" s="26">
        <v>1087</v>
      </c>
      <c r="B1137" s="82" t="e">
        <f t="shared" si="134"/>
        <v>#N/A</v>
      </c>
      <c r="C1137" s="58" t="e">
        <f t="shared" si="138"/>
        <v>#N/A</v>
      </c>
      <c r="D1137" s="83" t="e">
        <f t="shared" si="135"/>
        <v>#N/A</v>
      </c>
      <c r="E1137" t="e">
        <f t="shared" si="131"/>
        <v>#N/A</v>
      </c>
      <c r="G1137">
        <v>1087</v>
      </c>
      <c r="H1137" s="13" t="e">
        <f t="shared" si="136"/>
        <v>#N/A</v>
      </c>
      <c r="I1137" t="e">
        <f t="shared" si="137"/>
        <v>#N/A</v>
      </c>
      <c r="J1137" t="e">
        <f t="shared" si="132"/>
        <v>#N/A</v>
      </c>
      <c r="K1137" s="27" t="e">
        <f t="shared" si="133"/>
        <v>#N/A</v>
      </c>
    </row>
    <row r="1138" spans="1:11">
      <c r="A1138" s="26">
        <v>1088</v>
      </c>
      <c r="B1138" s="82" t="e">
        <f t="shared" si="134"/>
        <v>#N/A</v>
      </c>
      <c r="C1138" s="58" t="e">
        <f t="shared" si="138"/>
        <v>#N/A</v>
      </c>
      <c r="D1138" s="83" t="e">
        <f t="shared" si="135"/>
        <v>#N/A</v>
      </c>
      <c r="E1138" t="e">
        <f t="shared" si="131"/>
        <v>#N/A</v>
      </c>
      <c r="G1138">
        <v>1088</v>
      </c>
      <c r="H1138" s="13" t="e">
        <f t="shared" si="136"/>
        <v>#N/A</v>
      </c>
      <c r="I1138" t="e">
        <f t="shared" si="137"/>
        <v>#N/A</v>
      </c>
      <c r="J1138" t="e">
        <f t="shared" si="132"/>
        <v>#N/A</v>
      </c>
      <c r="K1138" s="27" t="e">
        <f t="shared" si="133"/>
        <v>#N/A</v>
      </c>
    </row>
    <row r="1139" spans="1:11">
      <c r="A1139" s="26">
        <v>1089</v>
      </c>
      <c r="B1139" s="82" t="e">
        <f t="shared" si="134"/>
        <v>#N/A</v>
      </c>
      <c r="C1139" s="58" t="e">
        <f t="shared" si="138"/>
        <v>#N/A</v>
      </c>
      <c r="D1139" s="83" t="e">
        <f t="shared" si="135"/>
        <v>#N/A</v>
      </c>
      <c r="E1139" t="e">
        <f t="shared" ref="E1139:E1202" si="139">((D1139^2)+(D1139*D1140)+(D1140^2))*B1140/3</f>
        <v>#N/A</v>
      </c>
      <c r="G1139">
        <v>1089</v>
      </c>
      <c r="H1139" s="13" t="e">
        <f t="shared" si="136"/>
        <v>#N/A</v>
      </c>
      <c r="I1139" t="e">
        <f t="shared" si="137"/>
        <v>#N/A</v>
      </c>
      <c r="J1139" t="e">
        <f t="shared" ref="J1139:J1202" si="140">IF($G$28&lt;$C$14,0,((($C$11^2)-((I1139-$C$13)^2))^0.5)+$C$16)</f>
        <v>#N/A</v>
      </c>
      <c r="K1139" s="27" t="e">
        <f t="shared" ref="K1139:K1202" si="141">((J1139^2)+(J1139*J1140)+(J1140^2))*H1140/3</f>
        <v>#N/A</v>
      </c>
    </row>
    <row r="1140" spans="1:11">
      <c r="A1140" s="26">
        <v>1090</v>
      </c>
      <c r="B1140" s="82" t="e">
        <f t="shared" ref="B1140:B1203" si="142">C1140-C1139</f>
        <v>#N/A</v>
      </c>
      <c r="C1140" s="58" t="e">
        <f t="shared" si="138"/>
        <v>#N/A</v>
      </c>
      <c r="D1140" s="83" t="e">
        <f t="shared" ref="D1140:D1203" si="143">IF($G$28&lt;$C$14,0,((($C$11^2)-((C1140-$C$13)^2))^0.5)+$C$16)</f>
        <v>#N/A</v>
      </c>
      <c r="E1140" t="e">
        <f t="shared" si="139"/>
        <v>#N/A</v>
      </c>
      <c r="G1140">
        <v>1090</v>
      </c>
      <c r="H1140" s="13" t="e">
        <f t="shared" ref="H1140:H1203" si="144">I1140-I1139</f>
        <v>#N/A</v>
      </c>
      <c r="I1140" t="e">
        <f t="shared" ref="I1140:I1203" si="145">($G$27-$C$14)/2000+I1139</f>
        <v>#N/A</v>
      </c>
      <c r="J1140" t="e">
        <f t="shared" si="140"/>
        <v>#N/A</v>
      </c>
      <c r="K1140" s="27" t="e">
        <f t="shared" si="141"/>
        <v>#N/A</v>
      </c>
    </row>
    <row r="1141" spans="1:11">
      <c r="A1141" s="26">
        <v>1091</v>
      </c>
      <c r="B1141" s="82" t="e">
        <f t="shared" si="142"/>
        <v>#N/A</v>
      </c>
      <c r="C1141" s="58" t="e">
        <f t="shared" si="138"/>
        <v>#N/A</v>
      </c>
      <c r="D1141" s="83" t="e">
        <f t="shared" si="143"/>
        <v>#N/A</v>
      </c>
      <c r="E1141" t="e">
        <f t="shared" si="139"/>
        <v>#N/A</v>
      </c>
      <c r="G1141">
        <v>1091</v>
      </c>
      <c r="H1141" s="13" t="e">
        <f t="shared" si="144"/>
        <v>#N/A</v>
      </c>
      <c r="I1141" t="e">
        <f t="shared" si="145"/>
        <v>#N/A</v>
      </c>
      <c r="J1141" t="e">
        <f t="shared" si="140"/>
        <v>#N/A</v>
      </c>
      <c r="K1141" s="27" t="e">
        <f t="shared" si="141"/>
        <v>#N/A</v>
      </c>
    </row>
    <row r="1142" spans="1:11">
      <c r="A1142" s="26">
        <v>1092</v>
      </c>
      <c r="B1142" s="82" t="e">
        <f t="shared" si="142"/>
        <v>#N/A</v>
      </c>
      <c r="C1142" s="58" t="e">
        <f t="shared" si="138"/>
        <v>#N/A</v>
      </c>
      <c r="D1142" s="83" t="e">
        <f t="shared" si="143"/>
        <v>#N/A</v>
      </c>
      <c r="E1142" t="e">
        <f t="shared" si="139"/>
        <v>#N/A</v>
      </c>
      <c r="G1142">
        <v>1092</v>
      </c>
      <c r="H1142" s="13" t="e">
        <f t="shared" si="144"/>
        <v>#N/A</v>
      </c>
      <c r="I1142" t="e">
        <f t="shared" si="145"/>
        <v>#N/A</v>
      </c>
      <c r="J1142" t="e">
        <f t="shared" si="140"/>
        <v>#N/A</v>
      </c>
      <c r="K1142" s="27" t="e">
        <f t="shared" si="141"/>
        <v>#N/A</v>
      </c>
    </row>
    <row r="1143" spans="1:11">
      <c r="A1143" s="26">
        <v>1093</v>
      </c>
      <c r="B1143" s="82" t="e">
        <f t="shared" si="142"/>
        <v>#N/A</v>
      </c>
      <c r="C1143" s="58" t="e">
        <f t="shared" si="138"/>
        <v>#N/A</v>
      </c>
      <c r="D1143" s="83" t="e">
        <f t="shared" si="143"/>
        <v>#N/A</v>
      </c>
      <c r="E1143" t="e">
        <f t="shared" si="139"/>
        <v>#N/A</v>
      </c>
      <c r="G1143">
        <v>1093</v>
      </c>
      <c r="H1143" s="13" t="e">
        <f t="shared" si="144"/>
        <v>#N/A</v>
      </c>
      <c r="I1143" t="e">
        <f t="shared" si="145"/>
        <v>#N/A</v>
      </c>
      <c r="J1143" t="e">
        <f t="shared" si="140"/>
        <v>#N/A</v>
      </c>
      <c r="K1143" s="27" t="e">
        <f t="shared" si="141"/>
        <v>#N/A</v>
      </c>
    </row>
    <row r="1144" spans="1:11">
      <c r="A1144" s="26">
        <v>1094</v>
      </c>
      <c r="B1144" s="82" t="e">
        <f t="shared" si="142"/>
        <v>#N/A</v>
      </c>
      <c r="C1144" s="58" t="e">
        <f t="shared" si="138"/>
        <v>#N/A</v>
      </c>
      <c r="D1144" s="83" t="e">
        <f t="shared" si="143"/>
        <v>#N/A</v>
      </c>
      <c r="E1144" t="e">
        <f t="shared" si="139"/>
        <v>#N/A</v>
      </c>
      <c r="G1144">
        <v>1094</v>
      </c>
      <c r="H1144" s="13" t="e">
        <f t="shared" si="144"/>
        <v>#N/A</v>
      </c>
      <c r="I1144" t="e">
        <f t="shared" si="145"/>
        <v>#N/A</v>
      </c>
      <c r="J1144" t="e">
        <f t="shared" si="140"/>
        <v>#N/A</v>
      </c>
      <c r="K1144" s="27" t="e">
        <f t="shared" si="141"/>
        <v>#N/A</v>
      </c>
    </row>
    <row r="1145" spans="1:11">
      <c r="A1145" s="26">
        <v>1095</v>
      </c>
      <c r="B1145" s="82" t="e">
        <f t="shared" si="142"/>
        <v>#N/A</v>
      </c>
      <c r="C1145" s="58" t="e">
        <f t="shared" si="138"/>
        <v>#N/A</v>
      </c>
      <c r="D1145" s="83" t="e">
        <f t="shared" si="143"/>
        <v>#N/A</v>
      </c>
      <c r="E1145" t="e">
        <f t="shared" si="139"/>
        <v>#N/A</v>
      </c>
      <c r="G1145">
        <v>1095</v>
      </c>
      <c r="H1145" s="13" t="e">
        <f t="shared" si="144"/>
        <v>#N/A</v>
      </c>
      <c r="I1145" t="e">
        <f t="shared" si="145"/>
        <v>#N/A</v>
      </c>
      <c r="J1145" t="e">
        <f t="shared" si="140"/>
        <v>#N/A</v>
      </c>
      <c r="K1145" s="27" t="e">
        <f t="shared" si="141"/>
        <v>#N/A</v>
      </c>
    </row>
    <row r="1146" spans="1:11">
      <c r="A1146" s="26">
        <v>1096</v>
      </c>
      <c r="B1146" s="82" t="e">
        <f t="shared" si="142"/>
        <v>#N/A</v>
      </c>
      <c r="C1146" s="58" t="e">
        <f t="shared" si="138"/>
        <v>#N/A</v>
      </c>
      <c r="D1146" s="83" t="e">
        <f t="shared" si="143"/>
        <v>#N/A</v>
      </c>
      <c r="E1146" t="e">
        <f t="shared" si="139"/>
        <v>#N/A</v>
      </c>
      <c r="G1146">
        <v>1096</v>
      </c>
      <c r="H1146" s="13" t="e">
        <f t="shared" si="144"/>
        <v>#N/A</v>
      </c>
      <c r="I1146" t="e">
        <f t="shared" si="145"/>
        <v>#N/A</v>
      </c>
      <c r="J1146" t="e">
        <f t="shared" si="140"/>
        <v>#N/A</v>
      </c>
      <c r="K1146" s="27" t="e">
        <f t="shared" si="141"/>
        <v>#N/A</v>
      </c>
    </row>
    <row r="1147" spans="1:11">
      <c r="A1147" s="26">
        <v>1097</v>
      </c>
      <c r="B1147" s="82" t="e">
        <f t="shared" si="142"/>
        <v>#N/A</v>
      </c>
      <c r="C1147" s="58" t="e">
        <f t="shared" si="138"/>
        <v>#N/A</v>
      </c>
      <c r="D1147" s="83" t="e">
        <f t="shared" si="143"/>
        <v>#N/A</v>
      </c>
      <c r="E1147" t="e">
        <f t="shared" si="139"/>
        <v>#N/A</v>
      </c>
      <c r="G1147">
        <v>1097</v>
      </c>
      <c r="H1147" s="13" t="e">
        <f t="shared" si="144"/>
        <v>#N/A</v>
      </c>
      <c r="I1147" t="e">
        <f t="shared" si="145"/>
        <v>#N/A</v>
      </c>
      <c r="J1147" t="e">
        <f t="shared" si="140"/>
        <v>#N/A</v>
      </c>
      <c r="K1147" s="27" t="e">
        <f t="shared" si="141"/>
        <v>#N/A</v>
      </c>
    </row>
    <row r="1148" spans="1:11">
      <c r="A1148" s="26">
        <v>1098</v>
      </c>
      <c r="B1148" s="82" t="e">
        <f t="shared" si="142"/>
        <v>#N/A</v>
      </c>
      <c r="C1148" s="58" t="e">
        <f t="shared" si="138"/>
        <v>#N/A</v>
      </c>
      <c r="D1148" s="83" t="e">
        <f t="shared" si="143"/>
        <v>#N/A</v>
      </c>
      <c r="E1148" t="e">
        <f t="shared" si="139"/>
        <v>#N/A</v>
      </c>
      <c r="G1148">
        <v>1098</v>
      </c>
      <c r="H1148" s="13" t="e">
        <f t="shared" si="144"/>
        <v>#N/A</v>
      </c>
      <c r="I1148" t="e">
        <f t="shared" si="145"/>
        <v>#N/A</v>
      </c>
      <c r="J1148" t="e">
        <f t="shared" si="140"/>
        <v>#N/A</v>
      </c>
      <c r="K1148" s="27" t="e">
        <f t="shared" si="141"/>
        <v>#N/A</v>
      </c>
    </row>
    <row r="1149" spans="1:11">
      <c r="A1149" s="26">
        <v>1099</v>
      </c>
      <c r="B1149" s="82" t="e">
        <f t="shared" si="142"/>
        <v>#N/A</v>
      </c>
      <c r="C1149" s="58" t="e">
        <f t="shared" si="138"/>
        <v>#N/A</v>
      </c>
      <c r="D1149" s="83" t="e">
        <f t="shared" si="143"/>
        <v>#N/A</v>
      </c>
      <c r="E1149" t="e">
        <f t="shared" si="139"/>
        <v>#N/A</v>
      </c>
      <c r="G1149">
        <v>1099</v>
      </c>
      <c r="H1149" s="13" t="e">
        <f t="shared" si="144"/>
        <v>#N/A</v>
      </c>
      <c r="I1149" t="e">
        <f t="shared" si="145"/>
        <v>#N/A</v>
      </c>
      <c r="J1149" t="e">
        <f t="shared" si="140"/>
        <v>#N/A</v>
      </c>
      <c r="K1149" s="27" t="e">
        <f t="shared" si="141"/>
        <v>#N/A</v>
      </c>
    </row>
    <row r="1150" spans="1:11">
      <c r="A1150" s="26">
        <v>1100</v>
      </c>
      <c r="B1150" s="82" t="e">
        <f t="shared" si="142"/>
        <v>#N/A</v>
      </c>
      <c r="C1150" s="58" t="e">
        <f t="shared" si="138"/>
        <v>#N/A</v>
      </c>
      <c r="D1150" s="83" t="e">
        <f t="shared" si="143"/>
        <v>#N/A</v>
      </c>
      <c r="E1150" t="e">
        <f t="shared" si="139"/>
        <v>#N/A</v>
      </c>
      <c r="G1150">
        <v>1100</v>
      </c>
      <c r="H1150" s="13" t="e">
        <f t="shared" si="144"/>
        <v>#N/A</v>
      </c>
      <c r="I1150" t="e">
        <f t="shared" si="145"/>
        <v>#N/A</v>
      </c>
      <c r="J1150" t="e">
        <f t="shared" si="140"/>
        <v>#N/A</v>
      </c>
      <c r="K1150" s="27" t="e">
        <f t="shared" si="141"/>
        <v>#N/A</v>
      </c>
    </row>
    <row r="1151" spans="1:11">
      <c r="A1151" s="26">
        <v>1101</v>
      </c>
      <c r="B1151" s="82" t="e">
        <f t="shared" si="142"/>
        <v>#N/A</v>
      </c>
      <c r="C1151" s="58" t="e">
        <f t="shared" si="138"/>
        <v>#N/A</v>
      </c>
      <c r="D1151" s="83" t="e">
        <f t="shared" si="143"/>
        <v>#N/A</v>
      </c>
      <c r="E1151" t="e">
        <f t="shared" si="139"/>
        <v>#N/A</v>
      </c>
      <c r="G1151">
        <v>1101</v>
      </c>
      <c r="H1151" s="13" t="e">
        <f t="shared" si="144"/>
        <v>#N/A</v>
      </c>
      <c r="I1151" t="e">
        <f t="shared" si="145"/>
        <v>#N/A</v>
      </c>
      <c r="J1151" t="e">
        <f t="shared" si="140"/>
        <v>#N/A</v>
      </c>
      <c r="K1151" s="27" t="e">
        <f t="shared" si="141"/>
        <v>#N/A</v>
      </c>
    </row>
    <row r="1152" spans="1:11">
      <c r="A1152" s="26">
        <v>1102</v>
      </c>
      <c r="B1152" s="82" t="e">
        <f t="shared" si="142"/>
        <v>#N/A</v>
      </c>
      <c r="C1152" s="58" t="e">
        <f t="shared" si="138"/>
        <v>#N/A</v>
      </c>
      <c r="D1152" s="83" t="e">
        <f t="shared" si="143"/>
        <v>#N/A</v>
      </c>
      <c r="E1152" t="e">
        <f t="shared" si="139"/>
        <v>#N/A</v>
      </c>
      <c r="G1152">
        <v>1102</v>
      </c>
      <c r="H1152" s="13" t="e">
        <f t="shared" si="144"/>
        <v>#N/A</v>
      </c>
      <c r="I1152" t="e">
        <f t="shared" si="145"/>
        <v>#N/A</v>
      </c>
      <c r="J1152" t="e">
        <f t="shared" si="140"/>
        <v>#N/A</v>
      </c>
      <c r="K1152" s="27" t="e">
        <f t="shared" si="141"/>
        <v>#N/A</v>
      </c>
    </row>
    <row r="1153" spans="1:11">
      <c r="A1153" s="26">
        <v>1103</v>
      </c>
      <c r="B1153" s="82" t="e">
        <f t="shared" si="142"/>
        <v>#N/A</v>
      </c>
      <c r="C1153" s="58" t="e">
        <f t="shared" si="138"/>
        <v>#N/A</v>
      </c>
      <c r="D1153" s="83" t="e">
        <f t="shared" si="143"/>
        <v>#N/A</v>
      </c>
      <c r="E1153" t="e">
        <f t="shared" si="139"/>
        <v>#N/A</v>
      </c>
      <c r="G1153">
        <v>1103</v>
      </c>
      <c r="H1153" s="13" t="e">
        <f t="shared" si="144"/>
        <v>#N/A</v>
      </c>
      <c r="I1153" t="e">
        <f t="shared" si="145"/>
        <v>#N/A</v>
      </c>
      <c r="J1153" t="e">
        <f t="shared" si="140"/>
        <v>#N/A</v>
      </c>
      <c r="K1153" s="27" t="e">
        <f t="shared" si="141"/>
        <v>#N/A</v>
      </c>
    </row>
    <row r="1154" spans="1:11">
      <c r="A1154" s="26">
        <v>1104</v>
      </c>
      <c r="B1154" s="82" t="e">
        <f t="shared" si="142"/>
        <v>#N/A</v>
      </c>
      <c r="C1154" s="58" t="e">
        <f t="shared" si="138"/>
        <v>#N/A</v>
      </c>
      <c r="D1154" s="83" t="e">
        <f t="shared" si="143"/>
        <v>#N/A</v>
      </c>
      <c r="E1154" t="e">
        <f t="shared" si="139"/>
        <v>#N/A</v>
      </c>
      <c r="G1154">
        <v>1104</v>
      </c>
      <c r="H1154" s="13" t="e">
        <f t="shared" si="144"/>
        <v>#N/A</v>
      </c>
      <c r="I1154" t="e">
        <f t="shared" si="145"/>
        <v>#N/A</v>
      </c>
      <c r="J1154" t="e">
        <f t="shared" si="140"/>
        <v>#N/A</v>
      </c>
      <c r="K1154" s="27" t="e">
        <f t="shared" si="141"/>
        <v>#N/A</v>
      </c>
    </row>
    <row r="1155" spans="1:11">
      <c r="A1155" s="26">
        <v>1105</v>
      </c>
      <c r="B1155" s="82" t="e">
        <f t="shared" si="142"/>
        <v>#N/A</v>
      </c>
      <c r="C1155" s="58" t="e">
        <f t="shared" si="138"/>
        <v>#N/A</v>
      </c>
      <c r="D1155" s="83" t="e">
        <f t="shared" si="143"/>
        <v>#N/A</v>
      </c>
      <c r="E1155" t="e">
        <f t="shared" si="139"/>
        <v>#N/A</v>
      </c>
      <c r="G1155">
        <v>1105</v>
      </c>
      <c r="H1155" s="13" t="e">
        <f t="shared" si="144"/>
        <v>#N/A</v>
      </c>
      <c r="I1155" t="e">
        <f t="shared" si="145"/>
        <v>#N/A</v>
      </c>
      <c r="J1155" t="e">
        <f t="shared" si="140"/>
        <v>#N/A</v>
      </c>
      <c r="K1155" s="27" t="e">
        <f t="shared" si="141"/>
        <v>#N/A</v>
      </c>
    </row>
    <row r="1156" spans="1:11">
      <c r="A1156" s="26">
        <v>1106</v>
      </c>
      <c r="B1156" s="82" t="e">
        <f t="shared" si="142"/>
        <v>#N/A</v>
      </c>
      <c r="C1156" s="58" t="e">
        <f t="shared" si="138"/>
        <v>#N/A</v>
      </c>
      <c r="D1156" s="83" t="e">
        <f t="shared" si="143"/>
        <v>#N/A</v>
      </c>
      <c r="E1156" t="e">
        <f t="shared" si="139"/>
        <v>#N/A</v>
      </c>
      <c r="G1156">
        <v>1106</v>
      </c>
      <c r="H1156" s="13" t="e">
        <f t="shared" si="144"/>
        <v>#N/A</v>
      </c>
      <c r="I1156" t="e">
        <f t="shared" si="145"/>
        <v>#N/A</v>
      </c>
      <c r="J1156" t="e">
        <f t="shared" si="140"/>
        <v>#N/A</v>
      </c>
      <c r="K1156" s="27" t="e">
        <f t="shared" si="141"/>
        <v>#N/A</v>
      </c>
    </row>
    <row r="1157" spans="1:11">
      <c r="A1157" s="26">
        <v>1107</v>
      </c>
      <c r="B1157" s="82" t="e">
        <f t="shared" si="142"/>
        <v>#N/A</v>
      </c>
      <c r="C1157" s="58" t="e">
        <f t="shared" si="138"/>
        <v>#N/A</v>
      </c>
      <c r="D1157" s="83" t="e">
        <f t="shared" si="143"/>
        <v>#N/A</v>
      </c>
      <c r="E1157" t="e">
        <f t="shared" si="139"/>
        <v>#N/A</v>
      </c>
      <c r="G1157">
        <v>1107</v>
      </c>
      <c r="H1157" s="13" t="e">
        <f t="shared" si="144"/>
        <v>#N/A</v>
      </c>
      <c r="I1157" t="e">
        <f t="shared" si="145"/>
        <v>#N/A</v>
      </c>
      <c r="J1157" t="e">
        <f t="shared" si="140"/>
        <v>#N/A</v>
      </c>
      <c r="K1157" s="27" t="e">
        <f t="shared" si="141"/>
        <v>#N/A</v>
      </c>
    </row>
    <row r="1158" spans="1:11">
      <c r="A1158" s="26">
        <v>1108</v>
      </c>
      <c r="B1158" s="82" t="e">
        <f t="shared" si="142"/>
        <v>#N/A</v>
      </c>
      <c r="C1158" s="58" t="e">
        <f t="shared" si="138"/>
        <v>#N/A</v>
      </c>
      <c r="D1158" s="83" t="e">
        <f t="shared" si="143"/>
        <v>#N/A</v>
      </c>
      <c r="E1158" t="e">
        <f t="shared" si="139"/>
        <v>#N/A</v>
      </c>
      <c r="G1158">
        <v>1108</v>
      </c>
      <c r="H1158" s="13" t="e">
        <f t="shared" si="144"/>
        <v>#N/A</v>
      </c>
      <c r="I1158" t="e">
        <f t="shared" si="145"/>
        <v>#N/A</v>
      </c>
      <c r="J1158" t="e">
        <f t="shared" si="140"/>
        <v>#N/A</v>
      </c>
      <c r="K1158" s="27" t="e">
        <f t="shared" si="141"/>
        <v>#N/A</v>
      </c>
    </row>
    <row r="1159" spans="1:11">
      <c r="A1159" s="26">
        <v>1109</v>
      </c>
      <c r="B1159" s="82" t="e">
        <f t="shared" si="142"/>
        <v>#N/A</v>
      </c>
      <c r="C1159" s="58" t="e">
        <f t="shared" si="138"/>
        <v>#N/A</v>
      </c>
      <c r="D1159" s="83" t="e">
        <f t="shared" si="143"/>
        <v>#N/A</v>
      </c>
      <c r="E1159" t="e">
        <f t="shared" si="139"/>
        <v>#N/A</v>
      </c>
      <c r="G1159">
        <v>1109</v>
      </c>
      <c r="H1159" s="13" t="e">
        <f t="shared" si="144"/>
        <v>#N/A</v>
      </c>
      <c r="I1159" t="e">
        <f t="shared" si="145"/>
        <v>#N/A</v>
      </c>
      <c r="J1159" t="e">
        <f t="shared" si="140"/>
        <v>#N/A</v>
      </c>
      <c r="K1159" s="27" t="e">
        <f t="shared" si="141"/>
        <v>#N/A</v>
      </c>
    </row>
    <row r="1160" spans="1:11">
      <c r="A1160" s="26">
        <v>1110</v>
      </c>
      <c r="B1160" s="82" t="e">
        <f t="shared" si="142"/>
        <v>#N/A</v>
      </c>
      <c r="C1160" s="58" t="e">
        <f t="shared" si="138"/>
        <v>#N/A</v>
      </c>
      <c r="D1160" s="83" t="e">
        <f t="shared" si="143"/>
        <v>#N/A</v>
      </c>
      <c r="E1160" t="e">
        <f t="shared" si="139"/>
        <v>#N/A</v>
      </c>
      <c r="G1160">
        <v>1110</v>
      </c>
      <c r="H1160" s="13" t="e">
        <f t="shared" si="144"/>
        <v>#N/A</v>
      </c>
      <c r="I1160" t="e">
        <f t="shared" si="145"/>
        <v>#N/A</v>
      </c>
      <c r="J1160" t="e">
        <f t="shared" si="140"/>
        <v>#N/A</v>
      </c>
      <c r="K1160" s="27" t="e">
        <f t="shared" si="141"/>
        <v>#N/A</v>
      </c>
    </row>
    <row r="1161" spans="1:11">
      <c r="A1161" s="26">
        <v>1111</v>
      </c>
      <c r="B1161" s="82" t="e">
        <f t="shared" si="142"/>
        <v>#N/A</v>
      </c>
      <c r="C1161" s="58" t="e">
        <f t="shared" si="138"/>
        <v>#N/A</v>
      </c>
      <c r="D1161" s="83" t="e">
        <f t="shared" si="143"/>
        <v>#N/A</v>
      </c>
      <c r="E1161" t="e">
        <f t="shared" si="139"/>
        <v>#N/A</v>
      </c>
      <c r="G1161">
        <v>1111</v>
      </c>
      <c r="H1161" s="13" t="e">
        <f t="shared" si="144"/>
        <v>#N/A</v>
      </c>
      <c r="I1161" t="e">
        <f t="shared" si="145"/>
        <v>#N/A</v>
      </c>
      <c r="J1161" t="e">
        <f t="shared" si="140"/>
        <v>#N/A</v>
      </c>
      <c r="K1161" s="27" t="e">
        <f t="shared" si="141"/>
        <v>#N/A</v>
      </c>
    </row>
    <row r="1162" spans="1:11">
      <c r="A1162" s="26">
        <v>1112</v>
      </c>
      <c r="B1162" s="82" t="e">
        <f t="shared" si="142"/>
        <v>#N/A</v>
      </c>
      <c r="C1162" s="58" t="e">
        <f t="shared" si="138"/>
        <v>#N/A</v>
      </c>
      <c r="D1162" s="83" t="e">
        <f t="shared" si="143"/>
        <v>#N/A</v>
      </c>
      <c r="E1162" t="e">
        <f t="shared" si="139"/>
        <v>#N/A</v>
      </c>
      <c r="G1162">
        <v>1112</v>
      </c>
      <c r="H1162" s="13" t="e">
        <f t="shared" si="144"/>
        <v>#N/A</v>
      </c>
      <c r="I1162" t="e">
        <f t="shared" si="145"/>
        <v>#N/A</v>
      </c>
      <c r="J1162" t="e">
        <f t="shared" si="140"/>
        <v>#N/A</v>
      </c>
      <c r="K1162" s="27" t="e">
        <f t="shared" si="141"/>
        <v>#N/A</v>
      </c>
    </row>
    <row r="1163" spans="1:11">
      <c r="A1163" s="26">
        <v>1113</v>
      </c>
      <c r="B1163" s="82" t="e">
        <f t="shared" si="142"/>
        <v>#N/A</v>
      </c>
      <c r="C1163" s="58" t="e">
        <f t="shared" si="138"/>
        <v>#N/A</v>
      </c>
      <c r="D1163" s="83" t="e">
        <f t="shared" si="143"/>
        <v>#N/A</v>
      </c>
      <c r="E1163" t="e">
        <f t="shared" si="139"/>
        <v>#N/A</v>
      </c>
      <c r="G1163">
        <v>1113</v>
      </c>
      <c r="H1163" s="13" t="e">
        <f t="shared" si="144"/>
        <v>#N/A</v>
      </c>
      <c r="I1163" t="e">
        <f t="shared" si="145"/>
        <v>#N/A</v>
      </c>
      <c r="J1163" t="e">
        <f t="shared" si="140"/>
        <v>#N/A</v>
      </c>
      <c r="K1163" s="27" t="e">
        <f t="shared" si="141"/>
        <v>#N/A</v>
      </c>
    </row>
    <row r="1164" spans="1:11">
      <c r="A1164" s="26">
        <v>1114</v>
      </c>
      <c r="B1164" s="82" t="e">
        <f t="shared" si="142"/>
        <v>#N/A</v>
      </c>
      <c r="C1164" s="58" t="e">
        <f t="shared" si="138"/>
        <v>#N/A</v>
      </c>
      <c r="D1164" s="83" t="e">
        <f t="shared" si="143"/>
        <v>#N/A</v>
      </c>
      <c r="E1164" t="e">
        <f t="shared" si="139"/>
        <v>#N/A</v>
      </c>
      <c r="G1164">
        <v>1114</v>
      </c>
      <c r="H1164" s="13" t="e">
        <f t="shared" si="144"/>
        <v>#N/A</v>
      </c>
      <c r="I1164" t="e">
        <f t="shared" si="145"/>
        <v>#N/A</v>
      </c>
      <c r="J1164" t="e">
        <f t="shared" si="140"/>
        <v>#N/A</v>
      </c>
      <c r="K1164" s="27" t="e">
        <f t="shared" si="141"/>
        <v>#N/A</v>
      </c>
    </row>
    <row r="1165" spans="1:11">
      <c r="A1165" s="26">
        <v>1115</v>
      </c>
      <c r="B1165" s="82" t="e">
        <f t="shared" si="142"/>
        <v>#N/A</v>
      </c>
      <c r="C1165" s="58" t="e">
        <f t="shared" si="138"/>
        <v>#N/A</v>
      </c>
      <c r="D1165" s="83" t="e">
        <f t="shared" si="143"/>
        <v>#N/A</v>
      </c>
      <c r="E1165" t="e">
        <f t="shared" si="139"/>
        <v>#N/A</v>
      </c>
      <c r="G1165">
        <v>1115</v>
      </c>
      <c r="H1165" s="13" t="e">
        <f t="shared" si="144"/>
        <v>#N/A</v>
      </c>
      <c r="I1165" t="e">
        <f t="shared" si="145"/>
        <v>#N/A</v>
      </c>
      <c r="J1165" t="e">
        <f t="shared" si="140"/>
        <v>#N/A</v>
      </c>
      <c r="K1165" s="27" t="e">
        <f t="shared" si="141"/>
        <v>#N/A</v>
      </c>
    </row>
    <row r="1166" spans="1:11">
      <c r="A1166" s="26">
        <v>1116</v>
      </c>
      <c r="B1166" s="82" t="e">
        <f t="shared" si="142"/>
        <v>#N/A</v>
      </c>
      <c r="C1166" s="58" t="e">
        <f t="shared" si="138"/>
        <v>#N/A</v>
      </c>
      <c r="D1166" s="83" t="e">
        <f t="shared" si="143"/>
        <v>#N/A</v>
      </c>
      <c r="E1166" t="e">
        <f t="shared" si="139"/>
        <v>#N/A</v>
      </c>
      <c r="G1166">
        <v>1116</v>
      </c>
      <c r="H1166" s="13" t="e">
        <f t="shared" si="144"/>
        <v>#N/A</v>
      </c>
      <c r="I1166" t="e">
        <f t="shared" si="145"/>
        <v>#N/A</v>
      </c>
      <c r="J1166" t="e">
        <f t="shared" si="140"/>
        <v>#N/A</v>
      </c>
      <c r="K1166" s="27" t="e">
        <f t="shared" si="141"/>
        <v>#N/A</v>
      </c>
    </row>
    <row r="1167" spans="1:11">
      <c r="A1167" s="26">
        <v>1117</v>
      </c>
      <c r="B1167" s="82" t="e">
        <f t="shared" si="142"/>
        <v>#N/A</v>
      </c>
      <c r="C1167" s="58" t="e">
        <f t="shared" si="138"/>
        <v>#N/A</v>
      </c>
      <c r="D1167" s="83" t="e">
        <f t="shared" si="143"/>
        <v>#N/A</v>
      </c>
      <c r="E1167" t="e">
        <f t="shared" si="139"/>
        <v>#N/A</v>
      </c>
      <c r="G1167">
        <v>1117</v>
      </c>
      <c r="H1167" s="13" t="e">
        <f t="shared" si="144"/>
        <v>#N/A</v>
      </c>
      <c r="I1167" t="e">
        <f t="shared" si="145"/>
        <v>#N/A</v>
      </c>
      <c r="J1167" t="e">
        <f t="shared" si="140"/>
        <v>#N/A</v>
      </c>
      <c r="K1167" s="27" t="e">
        <f t="shared" si="141"/>
        <v>#N/A</v>
      </c>
    </row>
    <row r="1168" spans="1:11">
      <c r="A1168" s="26">
        <v>1118</v>
      </c>
      <c r="B1168" s="82" t="e">
        <f t="shared" si="142"/>
        <v>#N/A</v>
      </c>
      <c r="C1168" s="58" t="e">
        <f t="shared" ref="C1168:C1231" si="146">($C$37-$C$36)/2000+C1167</f>
        <v>#N/A</v>
      </c>
      <c r="D1168" s="83" t="e">
        <f t="shared" si="143"/>
        <v>#N/A</v>
      </c>
      <c r="E1168" t="e">
        <f t="shared" si="139"/>
        <v>#N/A</v>
      </c>
      <c r="G1168">
        <v>1118</v>
      </c>
      <c r="H1168" s="13" t="e">
        <f t="shared" si="144"/>
        <v>#N/A</v>
      </c>
      <c r="I1168" t="e">
        <f t="shared" si="145"/>
        <v>#N/A</v>
      </c>
      <c r="J1168" t="e">
        <f t="shared" si="140"/>
        <v>#N/A</v>
      </c>
      <c r="K1168" s="27" t="e">
        <f t="shared" si="141"/>
        <v>#N/A</v>
      </c>
    </row>
    <row r="1169" spans="1:11">
      <c r="A1169" s="26">
        <v>1119</v>
      </c>
      <c r="B1169" s="82" t="e">
        <f t="shared" si="142"/>
        <v>#N/A</v>
      </c>
      <c r="C1169" s="58" t="e">
        <f t="shared" si="146"/>
        <v>#N/A</v>
      </c>
      <c r="D1169" s="83" t="e">
        <f t="shared" si="143"/>
        <v>#N/A</v>
      </c>
      <c r="E1169" t="e">
        <f t="shared" si="139"/>
        <v>#N/A</v>
      </c>
      <c r="G1169">
        <v>1119</v>
      </c>
      <c r="H1169" s="13" t="e">
        <f t="shared" si="144"/>
        <v>#N/A</v>
      </c>
      <c r="I1169" t="e">
        <f t="shared" si="145"/>
        <v>#N/A</v>
      </c>
      <c r="J1169" t="e">
        <f t="shared" si="140"/>
        <v>#N/A</v>
      </c>
      <c r="K1169" s="27" t="e">
        <f t="shared" si="141"/>
        <v>#N/A</v>
      </c>
    </row>
    <row r="1170" spans="1:11">
      <c r="A1170" s="26">
        <v>1120</v>
      </c>
      <c r="B1170" s="82" t="e">
        <f t="shared" si="142"/>
        <v>#N/A</v>
      </c>
      <c r="C1170" s="58" t="e">
        <f t="shared" si="146"/>
        <v>#N/A</v>
      </c>
      <c r="D1170" s="83" t="e">
        <f t="shared" si="143"/>
        <v>#N/A</v>
      </c>
      <c r="E1170" t="e">
        <f t="shared" si="139"/>
        <v>#N/A</v>
      </c>
      <c r="G1170">
        <v>1120</v>
      </c>
      <c r="H1170" s="13" t="e">
        <f t="shared" si="144"/>
        <v>#N/A</v>
      </c>
      <c r="I1170" t="e">
        <f t="shared" si="145"/>
        <v>#N/A</v>
      </c>
      <c r="J1170" t="e">
        <f t="shared" si="140"/>
        <v>#N/A</v>
      </c>
      <c r="K1170" s="27" t="e">
        <f t="shared" si="141"/>
        <v>#N/A</v>
      </c>
    </row>
    <row r="1171" spans="1:11">
      <c r="A1171" s="26">
        <v>1121</v>
      </c>
      <c r="B1171" s="82" t="e">
        <f t="shared" si="142"/>
        <v>#N/A</v>
      </c>
      <c r="C1171" s="58" t="e">
        <f t="shared" si="146"/>
        <v>#N/A</v>
      </c>
      <c r="D1171" s="83" t="e">
        <f t="shared" si="143"/>
        <v>#N/A</v>
      </c>
      <c r="E1171" t="e">
        <f t="shared" si="139"/>
        <v>#N/A</v>
      </c>
      <c r="G1171">
        <v>1121</v>
      </c>
      <c r="H1171" s="13" t="e">
        <f t="shared" si="144"/>
        <v>#N/A</v>
      </c>
      <c r="I1171" t="e">
        <f t="shared" si="145"/>
        <v>#N/A</v>
      </c>
      <c r="J1171" t="e">
        <f t="shared" si="140"/>
        <v>#N/A</v>
      </c>
      <c r="K1171" s="27" t="e">
        <f t="shared" si="141"/>
        <v>#N/A</v>
      </c>
    </row>
    <row r="1172" spans="1:11">
      <c r="A1172" s="26">
        <v>1122</v>
      </c>
      <c r="B1172" s="82" t="e">
        <f t="shared" si="142"/>
        <v>#N/A</v>
      </c>
      <c r="C1172" s="58" t="e">
        <f t="shared" si="146"/>
        <v>#N/A</v>
      </c>
      <c r="D1172" s="83" t="e">
        <f t="shared" si="143"/>
        <v>#N/A</v>
      </c>
      <c r="E1172" t="e">
        <f t="shared" si="139"/>
        <v>#N/A</v>
      </c>
      <c r="G1172">
        <v>1122</v>
      </c>
      <c r="H1172" s="13" t="e">
        <f t="shared" si="144"/>
        <v>#N/A</v>
      </c>
      <c r="I1172" t="e">
        <f t="shared" si="145"/>
        <v>#N/A</v>
      </c>
      <c r="J1172" t="e">
        <f t="shared" si="140"/>
        <v>#N/A</v>
      </c>
      <c r="K1172" s="27" t="e">
        <f t="shared" si="141"/>
        <v>#N/A</v>
      </c>
    </row>
    <row r="1173" spans="1:11">
      <c r="A1173" s="26">
        <v>1123</v>
      </c>
      <c r="B1173" s="82" t="e">
        <f t="shared" si="142"/>
        <v>#N/A</v>
      </c>
      <c r="C1173" s="58" t="e">
        <f t="shared" si="146"/>
        <v>#N/A</v>
      </c>
      <c r="D1173" s="83" t="e">
        <f t="shared" si="143"/>
        <v>#N/A</v>
      </c>
      <c r="E1173" t="e">
        <f t="shared" si="139"/>
        <v>#N/A</v>
      </c>
      <c r="G1173">
        <v>1123</v>
      </c>
      <c r="H1173" s="13" t="e">
        <f t="shared" si="144"/>
        <v>#N/A</v>
      </c>
      <c r="I1173" t="e">
        <f t="shared" si="145"/>
        <v>#N/A</v>
      </c>
      <c r="J1173" t="e">
        <f t="shared" si="140"/>
        <v>#N/A</v>
      </c>
      <c r="K1173" s="27" t="e">
        <f t="shared" si="141"/>
        <v>#N/A</v>
      </c>
    </row>
    <row r="1174" spans="1:11">
      <c r="A1174" s="26">
        <v>1124</v>
      </c>
      <c r="B1174" s="82" t="e">
        <f t="shared" si="142"/>
        <v>#N/A</v>
      </c>
      <c r="C1174" s="58" t="e">
        <f t="shared" si="146"/>
        <v>#N/A</v>
      </c>
      <c r="D1174" s="83" t="e">
        <f t="shared" si="143"/>
        <v>#N/A</v>
      </c>
      <c r="E1174" t="e">
        <f t="shared" si="139"/>
        <v>#N/A</v>
      </c>
      <c r="G1174">
        <v>1124</v>
      </c>
      <c r="H1174" s="13" t="e">
        <f t="shared" si="144"/>
        <v>#N/A</v>
      </c>
      <c r="I1174" t="e">
        <f t="shared" si="145"/>
        <v>#N/A</v>
      </c>
      <c r="J1174" t="e">
        <f t="shared" si="140"/>
        <v>#N/A</v>
      </c>
      <c r="K1174" s="27" t="e">
        <f t="shared" si="141"/>
        <v>#N/A</v>
      </c>
    </row>
    <row r="1175" spans="1:11">
      <c r="A1175" s="26">
        <v>1125</v>
      </c>
      <c r="B1175" s="82" t="e">
        <f t="shared" si="142"/>
        <v>#N/A</v>
      </c>
      <c r="C1175" s="58" t="e">
        <f t="shared" si="146"/>
        <v>#N/A</v>
      </c>
      <c r="D1175" s="83" t="e">
        <f t="shared" si="143"/>
        <v>#N/A</v>
      </c>
      <c r="E1175" t="e">
        <f t="shared" si="139"/>
        <v>#N/A</v>
      </c>
      <c r="G1175">
        <v>1125</v>
      </c>
      <c r="H1175" s="13" t="e">
        <f t="shared" si="144"/>
        <v>#N/A</v>
      </c>
      <c r="I1175" t="e">
        <f t="shared" si="145"/>
        <v>#N/A</v>
      </c>
      <c r="J1175" t="e">
        <f t="shared" si="140"/>
        <v>#N/A</v>
      </c>
      <c r="K1175" s="27" t="e">
        <f t="shared" si="141"/>
        <v>#N/A</v>
      </c>
    </row>
    <row r="1176" spans="1:11">
      <c r="A1176" s="26">
        <v>1126</v>
      </c>
      <c r="B1176" s="82" t="e">
        <f t="shared" si="142"/>
        <v>#N/A</v>
      </c>
      <c r="C1176" s="58" t="e">
        <f t="shared" si="146"/>
        <v>#N/A</v>
      </c>
      <c r="D1176" s="83" t="e">
        <f t="shared" si="143"/>
        <v>#N/A</v>
      </c>
      <c r="E1176" t="e">
        <f t="shared" si="139"/>
        <v>#N/A</v>
      </c>
      <c r="G1176">
        <v>1126</v>
      </c>
      <c r="H1176" s="13" t="e">
        <f t="shared" si="144"/>
        <v>#N/A</v>
      </c>
      <c r="I1176" t="e">
        <f t="shared" si="145"/>
        <v>#N/A</v>
      </c>
      <c r="J1176" t="e">
        <f t="shared" si="140"/>
        <v>#N/A</v>
      </c>
      <c r="K1176" s="27" t="e">
        <f t="shared" si="141"/>
        <v>#N/A</v>
      </c>
    </row>
    <row r="1177" spans="1:11">
      <c r="A1177" s="26">
        <v>1127</v>
      </c>
      <c r="B1177" s="82" t="e">
        <f t="shared" si="142"/>
        <v>#N/A</v>
      </c>
      <c r="C1177" s="58" t="e">
        <f t="shared" si="146"/>
        <v>#N/A</v>
      </c>
      <c r="D1177" s="83" t="e">
        <f t="shared" si="143"/>
        <v>#N/A</v>
      </c>
      <c r="E1177" t="e">
        <f t="shared" si="139"/>
        <v>#N/A</v>
      </c>
      <c r="G1177">
        <v>1127</v>
      </c>
      <c r="H1177" s="13" t="e">
        <f t="shared" si="144"/>
        <v>#N/A</v>
      </c>
      <c r="I1177" t="e">
        <f t="shared" si="145"/>
        <v>#N/A</v>
      </c>
      <c r="J1177" t="e">
        <f t="shared" si="140"/>
        <v>#N/A</v>
      </c>
      <c r="K1177" s="27" t="e">
        <f t="shared" si="141"/>
        <v>#N/A</v>
      </c>
    </row>
    <row r="1178" spans="1:11">
      <c r="A1178" s="26">
        <v>1128</v>
      </c>
      <c r="B1178" s="82" t="e">
        <f t="shared" si="142"/>
        <v>#N/A</v>
      </c>
      <c r="C1178" s="58" t="e">
        <f t="shared" si="146"/>
        <v>#N/A</v>
      </c>
      <c r="D1178" s="83" t="e">
        <f t="shared" si="143"/>
        <v>#N/A</v>
      </c>
      <c r="E1178" t="e">
        <f t="shared" si="139"/>
        <v>#N/A</v>
      </c>
      <c r="G1178">
        <v>1128</v>
      </c>
      <c r="H1178" s="13" t="e">
        <f t="shared" si="144"/>
        <v>#N/A</v>
      </c>
      <c r="I1178" t="e">
        <f t="shared" si="145"/>
        <v>#N/A</v>
      </c>
      <c r="J1178" t="e">
        <f t="shared" si="140"/>
        <v>#N/A</v>
      </c>
      <c r="K1178" s="27" t="e">
        <f t="shared" si="141"/>
        <v>#N/A</v>
      </c>
    </row>
    <row r="1179" spans="1:11">
      <c r="A1179" s="26">
        <v>1129</v>
      </c>
      <c r="B1179" s="82" t="e">
        <f t="shared" si="142"/>
        <v>#N/A</v>
      </c>
      <c r="C1179" s="58" t="e">
        <f t="shared" si="146"/>
        <v>#N/A</v>
      </c>
      <c r="D1179" s="83" t="e">
        <f t="shared" si="143"/>
        <v>#N/A</v>
      </c>
      <c r="E1179" t="e">
        <f t="shared" si="139"/>
        <v>#N/A</v>
      </c>
      <c r="G1179">
        <v>1129</v>
      </c>
      <c r="H1179" s="13" t="e">
        <f t="shared" si="144"/>
        <v>#N/A</v>
      </c>
      <c r="I1179" t="e">
        <f t="shared" si="145"/>
        <v>#N/A</v>
      </c>
      <c r="J1179" t="e">
        <f t="shared" si="140"/>
        <v>#N/A</v>
      </c>
      <c r="K1179" s="27" t="e">
        <f t="shared" si="141"/>
        <v>#N/A</v>
      </c>
    </row>
    <row r="1180" spans="1:11">
      <c r="A1180" s="26">
        <v>1130</v>
      </c>
      <c r="B1180" s="82" t="e">
        <f t="shared" si="142"/>
        <v>#N/A</v>
      </c>
      <c r="C1180" s="58" t="e">
        <f t="shared" si="146"/>
        <v>#N/A</v>
      </c>
      <c r="D1180" s="83" t="e">
        <f t="shared" si="143"/>
        <v>#N/A</v>
      </c>
      <c r="E1180" t="e">
        <f t="shared" si="139"/>
        <v>#N/A</v>
      </c>
      <c r="G1180">
        <v>1130</v>
      </c>
      <c r="H1180" s="13" t="e">
        <f t="shared" si="144"/>
        <v>#N/A</v>
      </c>
      <c r="I1180" t="e">
        <f t="shared" si="145"/>
        <v>#N/A</v>
      </c>
      <c r="J1180" t="e">
        <f t="shared" si="140"/>
        <v>#N/A</v>
      </c>
      <c r="K1180" s="27" t="e">
        <f t="shared" si="141"/>
        <v>#N/A</v>
      </c>
    </row>
    <row r="1181" spans="1:11">
      <c r="A1181" s="26">
        <v>1131</v>
      </c>
      <c r="B1181" s="82" t="e">
        <f t="shared" si="142"/>
        <v>#N/A</v>
      </c>
      <c r="C1181" s="58" t="e">
        <f t="shared" si="146"/>
        <v>#N/A</v>
      </c>
      <c r="D1181" s="83" t="e">
        <f t="shared" si="143"/>
        <v>#N/A</v>
      </c>
      <c r="E1181" t="e">
        <f t="shared" si="139"/>
        <v>#N/A</v>
      </c>
      <c r="G1181">
        <v>1131</v>
      </c>
      <c r="H1181" s="13" t="e">
        <f t="shared" si="144"/>
        <v>#N/A</v>
      </c>
      <c r="I1181" t="e">
        <f t="shared" si="145"/>
        <v>#N/A</v>
      </c>
      <c r="J1181" t="e">
        <f t="shared" si="140"/>
        <v>#N/A</v>
      </c>
      <c r="K1181" s="27" t="e">
        <f t="shared" si="141"/>
        <v>#N/A</v>
      </c>
    </row>
    <row r="1182" spans="1:11">
      <c r="A1182" s="26">
        <v>1132</v>
      </c>
      <c r="B1182" s="82" t="e">
        <f t="shared" si="142"/>
        <v>#N/A</v>
      </c>
      <c r="C1182" s="58" t="e">
        <f t="shared" si="146"/>
        <v>#N/A</v>
      </c>
      <c r="D1182" s="83" t="e">
        <f t="shared" si="143"/>
        <v>#N/A</v>
      </c>
      <c r="E1182" t="e">
        <f t="shared" si="139"/>
        <v>#N/A</v>
      </c>
      <c r="G1182">
        <v>1132</v>
      </c>
      <c r="H1182" s="13" t="e">
        <f t="shared" si="144"/>
        <v>#N/A</v>
      </c>
      <c r="I1182" t="e">
        <f t="shared" si="145"/>
        <v>#N/A</v>
      </c>
      <c r="J1182" t="e">
        <f t="shared" si="140"/>
        <v>#N/A</v>
      </c>
      <c r="K1182" s="27" t="e">
        <f t="shared" si="141"/>
        <v>#N/A</v>
      </c>
    </row>
    <row r="1183" spans="1:11">
      <c r="A1183" s="26">
        <v>1133</v>
      </c>
      <c r="B1183" s="82" t="e">
        <f t="shared" si="142"/>
        <v>#N/A</v>
      </c>
      <c r="C1183" s="58" t="e">
        <f t="shared" si="146"/>
        <v>#N/A</v>
      </c>
      <c r="D1183" s="83" t="e">
        <f t="shared" si="143"/>
        <v>#N/A</v>
      </c>
      <c r="E1183" t="e">
        <f t="shared" si="139"/>
        <v>#N/A</v>
      </c>
      <c r="G1183">
        <v>1133</v>
      </c>
      <c r="H1183" s="13" t="e">
        <f t="shared" si="144"/>
        <v>#N/A</v>
      </c>
      <c r="I1183" t="e">
        <f t="shared" si="145"/>
        <v>#N/A</v>
      </c>
      <c r="J1183" t="e">
        <f t="shared" si="140"/>
        <v>#N/A</v>
      </c>
      <c r="K1183" s="27" t="e">
        <f t="shared" si="141"/>
        <v>#N/A</v>
      </c>
    </row>
    <row r="1184" spans="1:11">
      <c r="A1184" s="26">
        <v>1134</v>
      </c>
      <c r="B1184" s="82" t="e">
        <f t="shared" si="142"/>
        <v>#N/A</v>
      </c>
      <c r="C1184" s="58" t="e">
        <f t="shared" si="146"/>
        <v>#N/A</v>
      </c>
      <c r="D1184" s="83" t="e">
        <f t="shared" si="143"/>
        <v>#N/A</v>
      </c>
      <c r="E1184" t="e">
        <f t="shared" si="139"/>
        <v>#N/A</v>
      </c>
      <c r="G1184">
        <v>1134</v>
      </c>
      <c r="H1184" s="13" t="e">
        <f t="shared" si="144"/>
        <v>#N/A</v>
      </c>
      <c r="I1184" t="e">
        <f t="shared" si="145"/>
        <v>#N/A</v>
      </c>
      <c r="J1184" t="e">
        <f t="shared" si="140"/>
        <v>#N/A</v>
      </c>
      <c r="K1184" s="27" t="e">
        <f t="shared" si="141"/>
        <v>#N/A</v>
      </c>
    </row>
    <row r="1185" spans="1:11">
      <c r="A1185" s="26">
        <v>1135</v>
      </c>
      <c r="B1185" s="82" t="e">
        <f t="shared" si="142"/>
        <v>#N/A</v>
      </c>
      <c r="C1185" s="58" t="e">
        <f t="shared" si="146"/>
        <v>#N/A</v>
      </c>
      <c r="D1185" s="83" t="e">
        <f t="shared" si="143"/>
        <v>#N/A</v>
      </c>
      <c r="E1185" t="e">
        <f t="shared" si="139"/>
        <v>#N/A</v>
      </c>
      <c r="G1185">
        <v>1135</v>
      </c>
      <c r="H1185" s="13" t="e">
        <f t="shared" si="144"/>
        <v>#N/A</v>
      </c>
      <c r="I1185" t="e">
        <f t="shared" si="145"/>
        <v>#N/A</v>
      </c>
      <c r="J1185" t="e">
        <f t="shared" si="140"/>
        <v>#N/A</v>
      </c>
      <c r="K1185" s="27" t="e">
        <f t="shared" si="141"/>
        <v>#N/A</v>
      </c>
    </row>
    <row r="1186" spans="1:11">
      <c r="A1186" s="26">
        <v>1136</v>
      </c>
      <c r="B1186" s="82" t="e">
        <f t="shared" si="142"/>
        <v>#N/A</v>
      </c>
      <c r="C1186" s="58" t="e">
        <f t="shared" si="146"/>
        <v>#N/A</v>
      </c>
      <c r="D1186" s="83" t="e">
        <f t="shared" si="143"/>
        <v>#N/A</v>
      </c>
      <c r="E1186" t="e">
        <f t="shared" si="139"/>
        <v>#N/A</v>
      </c>
      <c r="G1186">
        <v>1136</v>
      </c>
      <c r="H1186" s="13" t="e">
        <f t="shared" si="144"/>
        <v>#N/A</v>
      </c>
      <c r="I1186" t="e">
        <f t="shared" si="145"/>
        <v>#N/A</v>
      </c>
      <c r="J1186" t="e">
        <f t="shared" si="140"/>
        <v>#N/A</v>
      </c>
      <c r="K1186" s="27" t="e">
        <f t="shared" si="141"/>
        <v>#N/A</v>
      </c>
    </row>
    <row r="1187" spans="1:11">
      <c r="A1187" s="26">
        <v>1137</v>
      </c>
      <c r="B1187" s="82" t="e">
        <f t="shared" si="142"/>
        <v>#N/A</v>
      </c>
      <c r="C1187" s="58" t="e">
        <f t="shared" si="146"/>
        <v>#N/A</v>
      </c>
      <c r="D1187" s="83" t="e">
        <f t="shared" si="143"/>
        <v>#N/A</v>
      </c>
      <c r="E1187" t="e">
        <f t="shared" si="139"/>
        <v>#N/A</v>
      </c>
      <c r="G1187">
        <v>1137</v>
      </c>
      <c r="H1187" s="13" t="e">
        <f t="shared" si="144"/>
        <v>#N/A</v>
      </c>
      <c r="I1187" t="e">
        <f t="shared" si="145"/>
        <v>#N/A</v>
      </c>
      <c r="J1187" t="e">
        <f t="shared" si="140"/>
        <v>#N/A</v>
      </c>
      <c r="K1187" s="27" t="e">
        <f t="shared" si="141"/>
        <v>#N/A</v>
      </c>
    </row>
    <row r="1188" spans="1:11">
      <c r="A1188" s="26">
        <v>1138</v>
      </c>
      <c r="B1188" s="82" t="e">
        <f t="shared" si="142"/>
        <v>#N/A</v>
      </c>
      <c r="C1188" s="58" t="e">
        <f t="shared" si="146"/>
        <v>#N/A</v>
      </c>
      <c r="D1188" s="83" t="e">
        <f t="shared" si="143"/>
        <v>#N/A</v>
      </c>
      <c r="E1188" t="e">
        <f t="shared" si="139"/>
        <v>#N/A</v>
      </c>
      <c r="G1188">
        <v>1138</v>
      </c>
      <c r="H1188" s="13" t="e">
        <f t="shared" si="144"/>
        <v>#N/A</v>
      </c>
      <c r="I1188" t="e">
        <f t="shared" si="145"/>
        <v>#N/A</v>
      </c>
      <c r="J1188" t="e">
        <f t="shared" si="140"/>
        <v>#N/A</v>
      </c>
      <c r="K1188" s="27" t="e">
        <f t="shared" si="141"/>
        <v>#N/A</v>
      </c>
    </row>
    <row r="1189" spans="1:11">
      <c r="A1189" s="26">
        <v>1139</v>
      </c>
      <c r="B1189" s="82" t="e">
        <f t="shared" si="142"/>
        <v>#N/A</v>
      </c>
      <c r="C1189" s="58" t="e">
        <f t="shared" si="146"/>
        <v>#N/A</v>
      </c>
      <c r="D1189" s="83" t="e">
        <f t="shared" si="143"/>
        <v>#N/A</v>
      </c>
      <c r="E1189" t="e">
        <f t="shared" si="139"/>
        <v>#N/A</v>
      </c>
      <c r="G1189">
        <v>1139</v>
      </c>
      <c r="H1189" s="13" t="e">
        <f t="shared" si="144"/>
        <v>#N/A</v>
      </c>
      <c r="I1189" t="e">
        <f t="shared" si="145"/>
        <v>#N/A</v>
      </c>
      <c r="J1189" t="e">
        <f t="shared" si="140"/>
        <v>#N/A</v>
      </c>
      <c r="K1189" s="27" t="e">
        <f t="shared" si="141"/>
        <v>#N/A</v>
      </c>
    </row>
    <row r="1190" spans="1:11">
      <c r="A1190" s="26">
        <v>1140</v>
      </c>
      <c r="B1190" s="82" t="e">
        <f t="shared" si="142"/>
        <v>#N/A</v>
      </c>
      <c r="C1190" s="58" t="e">
        <f t="shared" si="146"/>
        <v>#N/A</v>
      </c>
      <c r="D1190" s="83" t="e">
        <f t="shared" si="143"/>
        <v>#N/A</v>
      </c>
      <c r="E1190" t="e">
        <f t="shared" si="139"/>
        <v>#N/A</v>
      </c>
      <c r="G1190">
        <v>1140</v>
      </c>
      <c r="H1190" s="13" t="e">
        <f t="shared" si="144"/>
        <v>#N/A</v>
      </c>
      <c r="I1190" t="e">
        <f t="shared" si="145"/>
        <v>#N/A</v>
      </c>
      <c r="J1190" t="e">
        <f t="shared" si="140"/>
        <v>#N/A</v>
      </c>
      <c r="K1190" s="27" t="e">
        <f t="shared" si="141"/>
        <v>#N/A</v>
      </c>
    </row>
    <row r="1191" spans="1:11">
      <c r="A1191" s="26">
        <v>1141</v>
      </c>
      <c r="B1191" s="82" t="e">
        <f t="shared" si="142"/>
        <v>#N/A</v>
      </c>
      <c r="C1191" s="58" t="e">
        <f t="shared" si="146"/>
        <v>#N/A</v>
      </c>
      <c r="D1191" s="83" t="e">
        <f t="shared" si="143"/>
        <v>#N/A</v>
      </c>
      <c r="E1191" t="e">
        <f t="shared" si="139"/>
        <v>#N/A</v>
      </c>
      <c r="G1191">
        <v>1141</v>
      </c>
      <c r="H1191" s="13" t="e">
        <f t="shared" si="144"/>
        <v>#N/A</v>
      </c>
      <c r="I1191" t="e">
        <f t="shared" si="145"/>
        <v>#N/A</v>
      </c>
      <c r="J1191" t="e">
        <f t="shared" si="140"/>
        <v>#N/A</v>
      </c>
      <c r="K1191" s="27" t="e">
        <f t="shared" si="141"/>
        <v>#N/A</v>
      </c>
    </row>
    <row r="1192" spans="1:11">
      <c r="A1192" s="26">
        <v>1142</v>
      </c>
      <c r="B1192" s="82" t="e">
        <f t="shared" si="142"/>
        <v>#N/A</v>
      </c>
      <c r="C1192" s="58" t="e">
        <f t="shared" si="146"/>
        <v>#N/A</v>
      </c>
      <c r="D1192" s="83" t="e">
        <f t="shared" si="143"/>
        <v>#N/A</v>
      </c>
      <c r="E1192" t="e">
        <f t="shared" si="139"/>
        <v>#N/A</v>
      </c>
      <c r="G1192">
        <v>1142</v>
      </c>
      <c r="H1192" s="13" t="e">
        <f t="shared" si="144"/>
        <v>#N/A</v>
      </c>
      <c r="I1192" t="e">
        <f t="shared" si="145"/>
        <v>#N/A</v>
      </c>
      <c r="J1192" t="e">
        <f t="shared" si="140"/>
        <v>#N/A</v>
      </c>
      <c r="K1192" s="27" t="e">
        <f t="shared" si="141"/>
        <v>#N/A</v>
      </c>
    </row>
    <row r="1193" spans="1:11">
      <c r="A1193" s="26">
        <v>1143</v>
      </c>
      <c r="B1193" s="82" t="e">
        <f t="shared" si="142"/>
        <v>#N/A</v>
      </c>
      <c r="C1193" s="58" t="e">
        <f t="shared" si="146"/>
        <v>#N/A</v>
      </c>
      <c r="D1193" s="83" t="e">
        <f t="shared" si="143"/>
        <v>#N/A</v>
      </c>
      <c r="E1193" t="e">
        <f t="shared" si="139"/>
        <v>#N/A</v>
      </c>
      <c r="G1193">
        <v>1143</v>
      </c>
      <c r="H1193" s="13" t="e">
        <f t="shared" si="144"/>
        <v>#N/A</v>
      </c>
      <c r="I1193" t="e">
        <f t="shared" si="145"/>
        <v>#N/A</v>
      </c>
      <c r="J1193" t="e">
        <f t="shared" si="140"/>
        <v>#N/A</v>
      </c>
      <c r="K1193" s="27" t="e">
        <f t="shared" si="141"/>
        <v>#N/A</v>
      </c>
    </row>
    <row r="1194" spans="1:11">
      <c r="A1194" s="26">
        <v>1144</v>
      </c>
      <c r="B1194" s="82" t="e">
        <f t="shared" si="142"/>
        <v>#N/A</v>
      </c>
      <c r="C1194" s="58" t="e">
        <f t="shared" si="146"/>
        <v>#N/A</v>
      </c>
      <c r="D1194" s="83" t="e">
        <f t="shared" si="143"/>
        <v>#N/A</v>
      </c>
      <c r="E1194" t="e">
        <f t="shared" si="139"/>
        <v>#N/A</v>
      </c>
      <c r="G1194">
        <v>1144</v>
      </c>
      <c r="H1194" s="13" t="e">
        <f t="shared" si="144"/>
        <v>#N/A</v>
      </c>
      <c r="I1194" t="e">
        <f t="shared" si="145"/>
        <v>#N/A</v>
      </c>
      <c r="J1194" t="e">
        <f t="shared" si="140"/>
        <v>#N/A</v>
      </c>
      <c r="K1194" s="27" t="e">
        <f t="shared" si="141"/>
        <v>#N/A</v>
      </c>
    </row>
    <row r="1195" spans="1:11">
      <c r="A1195" s="26">
        <v>1145</v>
      </c>
      <c r="B1195" s="82" t="e">
        <f t="shared" si="142"/>
        <v>#N/A</v>
      </c>
      <c r="C1195" s="58" t="e">
        <f t="shared" si="146"/>
        <v>#N/A</v>
      </c>
      <c r="D1195" s="83" t="e">
        <f t="shared" si="143"/>
        <v>#N/A</v>
      </c>
      <c r="E1195" t="e">
        <f t="shared" si="139"/>
        <v>#N/A</v>
      </c>
      <c r="G1195">
        <v>1145</v>
      </c>
      <c r="H1195" s="13" t="e">
        <f t="shared" si="144"/>
        <v>#N/A</v>
      </c>
      <c r="I1195" t="e">
        <f t="shared" si="145"/>
        <v>#N/A</v>
      </c>
      <c r="J1195" t="e">
        <f t="shared" si="140"/>
        <v>#N/A</v>
      </c>
      <c r="K1195" s="27" t="e">
        <f t="shared" si="141"/>
        <v>#N/A</v>
      </c>
    </row>
    <row r="1196" spans="1:11">
      <c r="A1196" s="26">
        <v>1146</v>
      </c>
      <c r="B1196" s="82" t="e">
        <f t="shared" si="142"/>
        <v>#N/A</v>
      </c>
      <c r="C1196" s="58" t="e">
        <f t="shared" si="146"/>
        <v>#N/A</v>
      </c>
      <c r="D1196" s="83" t="e">
        <f t="shared" si="143"/>
        <v>#N/A</v>
      </c>
      <c r="E1196" t="e">
        <f t="shared" si="139"/>
        <v>#N/A</v>
      </c>
      <c r="G1196">
        <v>1146</v>
      </c>
      <c r="H1196" s="13" t="e">
        <f t="shared" si="144"/>
        <v>#N/A</v>
      </c>
      <c r="I1196" t="e">
        <f t="shared" si="145"/>
        <v>#N/A</v>
      </c>
      <c r="J1196" t="e">
        <f t="shared" si="140"/>
        <v>#N/A</v>
      </c>
      <c r="K1196" s="27" t="e">
        <f t="shared" si="141"/>
        <v>#N/A</v>
      </c>
    </row>
    <row r="1197" spans="1:11">
      <c r="A1197" s="26">
        <v>1147</v>
      </c>
      <c r="B1197" s="82" t="e">
        <f t="shared" si="142"/>
        <v>#N/A</v>
      </c>
      <c r="C1197" s="58" t="e">
        <f t="shared" si="146"/>
        <v>#N/A</v>
      </c>
      <c r="D1197" s="83" t="e">
        <f t="shared" si="143"/>
        <v>#N/A</v>
      </c>
      <c r="E1197" t="e">
        <f t="shared" si="139"/>
        <v>#N/A</v>
      </c>
      <c r="G1197">
        <v>1147</v>
      </c>
      <c r="H1197" s="13" t="e">
        <f t="shared" si="144"/>
        <v>#N/A</v>
      </c>
      <c r="I1197" t="e">
        <f t="shared" si="145"/>
        <v>#N/A</v>
      </c>
      <c r="J1197" t="e">
        <f t="shared" si="140"/>
        <v>#N/A</v>
      </c>
      <c r="K1197" s="27" t="e">
        <f t="shared" si="141"/>
        <v>#N/A</v>
      </c>
    </row>
    <row r="1198" spans="1:11">
      <c r="A1198" s="26">
        <v>1148</v>
      </c>
      <c r="B1198" s="82" t="e">
        <f t="shared" si="142"/>
        <v>#N/A</v>
      </c>
      <c r="C1198" s="58" t="e">
        <f t="shared" si="146"/>
        <v>#N/A</v>
      </c>
      <c r="D1198" s="83" t="e">
        <f t="shared" si="143"/>
        <v>#N/A</v>
      </c>
      <c r="E1198" t="e">
        <f t="shared" si="139"/>
        <v>#N/A</v>
      </c>
      <c r="G1198">
        <v>1148</v>
      </c>
      <c r="H1198" s="13" t="e">
        <f t="shared" si="144"/>
        <v>#N/A</v>
      </c>
      <c r="I1198" t="e">
        <f t="shared" si="145"/>
        <v>#N/A</v>
      </c>
      <c r="J1198" t="e">
        <f t="shared" si="140"/>
        <v>#N/A</v>
      </c>
      <c r="K1198" s="27" t="e">
        <f t="shared" si="141"/>
        <v>#N/A</v>
      </c>
    </row>
    <row r="1199" spans="1:11">
      <c r="A1199" s="26">
        <v>1149</v>
      </c>
      <c r="B1199" s="82" t="e">
        <f t="shared" si="142"/>
        <v>#N/A</v>
      </c>
      <c r="C1199" s="58" t="e">
        <f t="shared" si="146"/>
        <v>#N/A</v>
      </c>
      <c r="D1199" s="83" t="e">
        <f t="shared" si="143"/>
        <v>#N/A</v>
      </c>
      <c r="E1199" t="e">
        <f t="shared" si="139"/>
        <v>#N/A</v>
      </c>
      <c r="G1199">
        <v>1149</v>
      </c>
      <c r="H1199" s="13" t="e">
        <f t="shared" si="144"/>
        <v>#N/A</v>
      </c>
      <c r="I1199" t="e">
        <f t="shared" si="145"/>
        <v>#N/A</v>
      </c>
      <c r="J1199" t="e">
        <f t="shared" si="140"/>
        <v>#N/A</v>
      </c>
      <c r="K1199" s="27" t="e">
        <f t="shared" si="141"/>
        <v>#N/A</v>
      </c>
    </row>
    <row r="1200" spans="1:11">
      <c r="A1200" s="26">
        <v>1150</v>
      </c>
      <c r="B1200" s="82" t="e">
        <f t="shared" si="142"/>
        <v>#N/A</v>
      </c>
      <c r="C1200" s="58" t="e">
        <f t="shared" si="146"/>
        <v>#N/A</v>
      </c>
      <c r="D1200" s="83" t="e">
        <f t="shared" si="143"/>
        <v>#N/A</v>
      </c>
      <c r="E1200" t="e">
        <f t="shared" si="139"/>
        <v>#N/A</v>
      </c>
      <c r="G1200">
        <v>1150</v>
      </c>
      <c r="H1200" s="13" t="e">
        <f t="shared" si="144"/>
        <v>#N/A</v>
      </c>
      <c r="I1200" t="e">
        <f t="shared" si="145"/>
        <v>#N/A</v>
      </c>
      <c r="J1200" t="e">
        <f t="shared" si="140"/>
        <v>#N/A</v>
      </c>
      <c r="K1200" s="27" t="e">
        <f t="shared" si="141"/>
        <v>#N/A</v>
      </c>
    </row>
    <row r="1201" spans="1:11">
      <c r="A1201" s="26">
        <v>1151</v>
      </c>
      <c r="B1201" s="82" t="e">
        <f t="shared" si="142"/>
        <v>#N/A</v>
      </c>
      <c r="C1201" s="58" t="e">
        <f t="shared" si="146"/>
        <v>#N/A</v>
      </c>
      <c r="D1201" s="83" t="e">
        <f t="shared" si="143"/>
        <v>#N/A</v>
      </c>
      <c r="E1201" t="e">
        <f t="shared" si="139"/>
        <v>#N/A</v>
      </c>
      <c r="G1201">
        <v>1151</v>
      </c>
      <c r="H1201" s="13" t="e">
        <f t="shared" si="144"/>
        <v>#N/A</v>
      </c>
      <c r="I1201" t="e">
        <f t="shared" si="145"/>
        <v>#N/A</v>
      </c>
      <c r="J1201" t="e">
        <f t="shared" si="140"/>
        <v>#N/A</v>
      </c>
      <c r="K1201" s="27" t="e">
        <f t="shared" si="141"/>
        <v>#N/A</v>
      </c>
    </row>
    <row r="1202" spans="1:11">
      <c r="A1202" s="26">
        <v>1152</v>
      </c>
      <c r="B1202" s="82" t="e">
        <f t="shared" si="142"/>
        <v>#N/A</v>
      </c>
      <c r="C1202" s="58" t="e">
        <f t="shared" si="146"/>
        <v>#N/A</v>
      </c>
      <c r="D1202" s="83" t="e">
        <f t="shared" si="143"/>
        <v>#N/A</v>
      </c>
      <c r="E1202" t="e">
        <f t="shared" si="139"/>
        <v>#N/A</v>
      </c>
      <c r="G1202">
        <v>1152</v>
      </c>
      <c r="H1202" s="13" t="e">
        <f t="shared" si="144"/>
        <v>#N/A</v>
      </c>
      <c r="I1202" t="e">
        <f t="shared" si="145"/>
        <v>#N/A</v>
      </c>
      <c r="J1202" t="e">
        <f t="shared" si="140"/>
        <v>#N/A</v>
      </c>
      <c r="K1202" s="27" t="e">
        <f t="shared" si="141"/>
        <v>#N/A</v>
      </c>
    </row>
    <row r="1203" spans="1:11">
      <c r="A1203" s="26">
        <v>1153</v>
      </c>
      <c r="B1203" s="82" t="e">
        <f t="shared" si="142"/>
        <v>#N/A</v>
      </c>
      <c r="C1203" s="58" t="e">
        <f t="shared" si="146"/>
        <v>#N/A</v>
      </c>
      <c r="D1203" s="83" t="e">
        <f t="shared" si="143"/>
        <v>#N/A</v>
      </c>
      <c r="E1203" t="e">
        <f t="shared" ref="E1203:E1266" si="147">((D1203^2)+(D1203*D1204)+(D1204^2))*B1204/3</f>
        <v>#N/A</v>
      </c>
      <c r="G1203">
        <v>1153</v>
      </c>
      <c r="H1203" s="13" t="e">
        <f t="shared" si="144"/>
        <v>#N/A</v>
      </c>
      <c r="I1203" t="e">
        <f t="shared" si="145"/>
        <v>#N/A</v>
      </c>
      <c r="J1203" t="e">
        <f t="shared" ref="J1203:J1266" si="148">IF($G$28&lt;$C$14,0,((($C$11^2)-((I1203-$C$13)^2))^0.5)+$C$16)</f>
        <v>#N/A</v>
      </c>
      <c r="K1203" s="27" t="e">
        <f t="shared" ref="K1203:K1266" si="149">((J1203^2)+(J1203*J1204)+(J1204^2))*H1204/3</f>
        <v>#N/A</v>
      </c>
    </row>
    <row r="1204" spans="1:11">
      <c r="A1204" s="26">
        <v>1154</v>
      </c>
      <c r="B1204" s="82" t="e">
        <f t="shared" ref="B1204:B1267" si="150">C1204-C1203</f>
        <v>#N/A</v>
      </c>
      <c r="C1204" s="58" t="e">
        <f t="shared" si="146"/>
        <v>#N/A</v>
      </c>
      <c r="D1204" s="83" t="e">
        <f t="shared" ref="D1204:D1267" si="151">IF($G$28&lt;$C$14,0,((($C$11^2)-((C1204-$C$13)^2))^0.5)+$C$16)</f>
        <v>#N/A</v>
      </c>
      <c r="E1204" t="e">
        <f t="shared" si="147"/>
        <v>#N/A</v>
      </c>
      <c r="G1204">
        <v>1154</v>
      </c>
      <c r="H1204" s="13" t="e">
        <f t="shared" ref="H1204:H1267" si="152">I1204-I1203</f>
        <v>#N/A</v>
      </c>
      <c r="I1204" t="e">
        <f t="shared" ref="I1204:I1267" si="153">($G$27-$C$14)/2000+I1203</f>
        <v>#N/A</v>
      </c>
      <c r="J1204" t="e">
        <f t="shared" si="148"/>
        <v>#N/A</v>
      </c>
      <c r="K1204" s="27" t="e">
        <f t="shared" si="149"/>
        <v>#N/A</v>
      </c>
    </row>
    <row r="1205" spans="1:11">
      <c r="A1205" s="26">
        <v>1155</v>
      </c>
      <c r="B1205" s="82" t="e">
        <f t="shared" si="150"/>
        <v>#N/A</v>
      </c>
      <c r="C1205" s="58" t="e">
        <f t="shared" si="146"/>
        <v>#N/A</v>
      </c>
      <c r="D1205" s="83" t="e">
        <f t="shared" si="151"/>
        <v>#N/A</v>
      </c>
      <c r="E1205" t="e">
        <f t="shared" si="147"/>
        <v>#N/A</v>
      </c>
      <c r="G1205">
        <v>1155</v>
      </c>
      <c r="H1205" s="13" t="e">
        <f t="shared" si="152"/>
        <v>#N/A</v>
      </c>
      <c r="I1205" t="e">
        <f t="shared" si="153"/>
        <v>#N/A</v>
      </c>
      <c r="J1205" t="e">
        <f t="shared" si="148"/>
        <v>#N/A</v>
      </c>
      <c r="K1205" s="27" t="e">
        <f t="shared" si="149"/>
        <v>#N/A</v>
      </c>
    </row>
    <row r="1206" spans="1:11">
      <c r="A1206" s="26">
        <v>1156</v>
      </c>
      <c r="B1206" s="82" t="e">
        <f t="shared" si="150"/>
        <v>#N/A</v>
      </c>
      <c r="C1206" s="58" t="e">
        <f t="shared" si="146"/>
        <v>#N/A</v>
      </c>
      <c r="D1206" s="83" t="e">
        <f t="shared" si="151"/>
        <v>#N/A</v>
      </c>
      <c r="E1206" t="e">
        <f t="shared" si="147"/>
        <v>#N/A</v>
      </c>
      <c r="G1206">
        <v>1156</v>
      </c>
      <c r="H1206" s="13" t="e">
        <f t="shared" si="152"/>
        <v>#N/A</v>
      </c>
      <c r="I1206" t="e">
        <f t="shared" si="153"/>
        <v>#N/A</v>
      </c>
      <c r="J1206" t="e">
        <f t="shared" si="148"/>
        <v>#N/A</v>
      </c>
      <c r="K1206" s="27" t="e">
        <f t="shared" si="149"/>
        <v>#N/A</v>
      </c>
    </row>
    <row r="1207" spans="1:11">
      <c r="A1207" s="26">
        <v>1157</v>
      </c>
      <c r="B1207" s="82" t="e">
        <f t="shared" si="150"/>
        <v>#N/A</v>
      </c>
      <c r="C1207" s="58" t="e">
        <f t="shared" si="146"/>
        <v>#N/A</v>
      </c>
      <c r="D1207" s="83" t="e">
        <f t="shared" si="151"/>
        <v>#N/A</v>
      </c>
      <c r="E1207" t="e">
        <f t="shared" si="147"/>
        <v>#N/A</v>
      </c>
      <c r="G1207">
        <v>1157</v>
      </c>
      <c r="H1207" s="13" t="e">
        <f t="shared" si="152"/>
        <v>#N/A</v>
      </c>
      <c r="I1207" t="e">
        <f t="shared" si="153"/>
        <v>#N/A</v>
      </c>
      <c r="J1207" t="e">
        <f t="shared" si="148"/>
        <v>#N/A</v>
      </c>
      <c r="K1207" s="27" t="e">
        <f t="shared" si="149"/>
        <v>#N/A</v>
      </c>
    </row>
    <row r="1208" spans="1:11">
      <c r="A1208" s="26">
        <v>1158</v>
      </c>
      <c r="B1208" s="82" t="e">
        <f t="shared" si="150"/>
        <v>#N/A</v>
      </c>
      <c r="C1208" s="58" t="e">
        <f t="shared" si="146"/>
        <v>#N/A</v>
      </c>
      <c r="D1208" s="83" t="e">
        <f t="shared" si="151"/>
        <v>#N/A</v>
      </c>
      <c r="E1208" t="e">
        <f t="shared" si="147"/>
        <v>#N/A</v>
      </c>
      <c r="G1208">
        <v>1158</v>
      </c>
      <c r="H1208" s="13" t="e">
        <f t="shared" si="152"/>
        <v>#N/A</v>
      </c>
      <c r="I1208" t="e">
        <f t="shared" si="153"/>
        <v>#N/A</v>
      </c>
      <c r="J1208" t="e">
        <f t="shared" si="148"/>
        <v>#N/A</v>
      </c>
      <c r="K1208" s="27" t="e">
        <f t="shared" si="149"/>
        <v>#N/A</v>
      </c>
    </row>
    <row r="1209" spans="1:11">
      <c r="A1209" s="26">
        <v>1159</v>
      </c>
      <c r="B1209" s="82" t="e">
        <f t="shared" si="150"/>
        <v>#N/A</v>
      </c>
      <c r="C1209" s="58" t="e">
        <f t="shared" si="146"/>
        <v>#N/A</v>
      </c>
      <c r="D1209" s="83" t="e">
        <f t="shared" si="151"/>
        <v>#N/A</v>
      </c>
      <c r="E1209" t="e">
        <f t="shared" si="147"/>
        <v>#N/A</v>
      </c>
      <c r="G1209">
        <v>1159</v>
      </c>
      <c r="H1209" s="13" t="e">
        <f t="shared" si="152"/>
        <v>#N/A</v>
      </c>
      <c r="I1209" t="e">
        <f t="shared" si="153"/>
        <v>#N/A</v>
      </c>
      <c r="J1209" t="e">
        <f t="shared" si="148"/>
        <v>#N/A</v>
      </c>
      <c r="K1209" s="27" t="e">
        <f t="shared" si="149"/>
        <v>#N/A</v>
      </c>
    </row>
    <row r="1210" spans="1:11">
      <c r="A1210" s="26">
        <v>1160</v>
      </c>
      <c r="B1210" s="82" t="e">
        <f t="shared" si="150"/>
        <v>#N/A</v>
      </c>
      <c r="C1210" s="58" t="e">
        <f t="shared" si="146"/>
        <v>#N/A</v>
      </c>
      <c r="D1210" s="83" t="e">
        <f t="shared" si="151"/>
        <v>#N/A</v>
      </c>
      <c r="E1210" t="e">
        <f t="shared" si="147"/>
        <v>#N/A</v>
      </c>
      <c r="G1210">
        <v>1160</v>
      </c>
      <c r="H1210" s="13" t="e">
        <f t="shared" si="152"/>
        <v>#N/A</v>
      </c>
      <c r="I1210" t="e">
        <f t="shared" si="153"/>
        <v>#N/A</v>
      </c>
      <c r="J1210" t="e">
        <f t="shared" si="148"/>
        <v>#N/A</v>
      </c>
      <c r="K1210" s="27" t="e">
        <f t="shared" si="149"/>
        <v>#N/A</v>
      </c>
    </row>
    <row r="1211" spans="1:11">
      <c r="A1211" s="26">
        <v>1161</v>
      </c>
      <c r="B1211" s="82" t="e">
        <f t="shared" si="150"/>
        <v>#N/A</v>
      </c>
      <c r="C1211" s="58" t="e">
        <f t="shared" si="146"/>
        <v>#N/A</v>
      </c>
      <c r="D1211" s="83" t="e">
        <f t="shared" si="151"/>
        <v>#N/A</v>
      </c>
      <c r="E1211" t="e">
        <f t="shared" si="147"/>
        <v>#N/A</v>
      </c>
      <c r="G1211">
        <v>1161</v>
      </c>
      <c r="H1211" s="13" t="e">
        <f t="shared" si="152"/>
        <v>#N/A</v>
      </c>
      <c r="I1211" t="e">
        <f t="shared" si="153"/>
        <v>#N/A</v>
      </c>
      <c r="J1211" t="e">
        <f t="shared" si="148"/>
        <v>#N/A</v>
      </c>
      <c r="K1211" s="27" t="e">
        <f t="shared" si="149"/>
        <v>#N/A</v>
      </c>
    </row>
    <row r="1212" spans="1:11">
      <c r="A1212" s="26">
        <v>1162</v>
      </c>
      <c r="B1212" s="82" t="e">
        <f t="shared" si="150"/>
        <v>#N/A</v>
      </c>
      <c r="C1212" s="58" t="e">
        <f t="shared" si="146"/>
        <v>#N/A</v>
      </c>
      <c r="D1212" s="83" t="e">
        <f t="shared" si="151"/>
        <v>#N/A</v>
      </c>
      <c r="E1212" t="e">
        <f t="shared" si="147"/>
        <v>#N/A</v>
      </c>
      <c r="G1212">
        <v>1162</v>
      </c>
      <c r="H1212" s="13" t="e">
        <f t="shared" si="152"/>
        <v>#N/A</v>
      </c>
      <c r="I1212" t="e">
        <f t="shared" si="153"/>
        <v>#N/A</v>
      </c>
      <c r="J1212" t="e">
        <f t="shared" si="148"/>
        <v>#N/A</v>
      </c>
      <c r="K1212" s="27" t="e">
        <f t="shared" si="149"/>
        <v>#N/A</v>
      </c>
    </row>
    <row r="1213" spans="1:11">
      <c r="A1213" s="26">
        <v>1163</v>
      </c>
      <c r="B1213" s="82" t="e">
        <f t="shared" si="150"/>
        <v>#N/A</v>
      </c>
      <c r="C1213" s="58" t="e">
        <f t="shared" si="146"/>
        <v>#N/A</v>
      </c>
      <c r="D1213" s="83" t="e">
        <f t="shared" si="151"/>
        <v>#N/A</v>
      </c>
      <c r="E1213" t="e">
        <f t="shared" si="147"/>
        <v>#N/A</v>
      </c>
      <c r="G1213">
        <v>1163</v>
      </c>
      <c r="H1213" s="13" t="e">
        <f t="shared" si="152"/>
        <v>#N/A</v>
      </c>
      <c r="I1213" t="e">
        <f t="shared" si="153"/>
        <v>#N/A</v>
      </c>
      <c r="J1213" t="e">
        <f t="shared" si="148"/>
        <v>#N/A</v>
      </c>
      <c r="K1213" s="27" t="e">
        <f t="shared" si="149"/>
        <v>#N/A</v>
      </c>
    </row>
    <row r="1214" spans="1:11">
      <c r="A1214" s="26">
        <v>1164</v>
      </c>
      <c r="B1214" s="82" t="e">
        <f t="shared" si="150"/>
        <v>#N/A</v>
      </c>
      <c r="C1214" s="58" t="e">
        <f t="shared" si="146"/>
        <v>#N/A</v>
      </c>
      <c r="D1214" s="83" t="e">
        <f t="shared" si="151"/>
        <v>#N/A</v>
      </c>
      <c r="E1214" t="e">
        <f t="shared" si="147"/>
        <v>#N/A</v>
      </c>
      <c r="G1214">
        <v>1164</v>
      </c>
      <c r="H1214" s="13" t="e">
        <f t="shared" si="152"/>
        <v>#N/A</v>
      </c>
      <c r="I1214" t="e">
        <f t="shared" si="153"/>
        <v>#N/A</v>
      </c>
      <c r="J1214" t="e">
        <f t="shared" si="148"/>
        <v>#N/A</v>
      </c>
      <c r="K1214" s="27" t="e">
        <f t="shared" si="149"/>
        <v>#N/A</v>
      </c>
    </row>
    <row r="1215" spans="1:11">
      <c r="A1215" s="26">
        <v>1165</v>
      </c>
      <c r="B1215" s="82" t="e">
        <f t="shared" si="150"/>
        <v>#N/A</v>
      </c>
      <c r="C1215" s="58" t="e">
        <f t="shared" si="146"/>
        <v>#N/A</v>
      </c>
      <c r="D1215" s="83" t="e">
        <f t="shared" si="151"/>
        <v>#N/A</v>
      </c>
      <c r="E1215" t="e">
        <f t="shared" si="147"/>
        <v>#N/A</v>
      </c>
      <c r="G1215">
        <v>1165</v>
      </c>
      <c r="H1215" s="13" t="e">
        <f t="shared" si="152"/>
        <v>#N/A</v>
      </c>
      <c r="I1215" t="e">
        <f t="shared" si="153"/>
        <v>#N/A</v>
      </c>
      <c r="J1215" t="e">
        <f t="shared" si="148"/>
        <v>#N/A</v>
      </c>
      <c r="K1215" s="27" t="e">
        <f t="shared" si="149"/>
        <v>#N/A</v>
      </c>
    </row>
    <row r="1216" spans="1:11">
      <c r="A1216" s="26">
        <v>1166</v>
      </c>
      <c r="B1216" s="82" t="e">
        <f t="shared" si="150"/>
        <v>#N/A</v>
      </c>
      <c r="C1216" s="58" t="e">
        <f t="shared" si="146"/>
        <v>#N/A</v>
      </c>
      <c r="D1216" s="83" t="e">
        <f t="shared" si="151"/>
        <v>#N/A</v>
      </c>
      <c r="E1216" t="e">
        <f t="shared" si="147"/>
        <v>#N/A</v>
      </c>
      <c r="G1216">
        <v>1166</v>
      </c>
      <c r="H1216" s="13" t="e">
        <f t="shared" si="152"/>
        <v>#N/A</v>
      </c>
      <c r="I1216" t="e">
        <f t="shared" si="153"/>
        <v>#N/A</v>
      </c>
      <c r="J1216" t="e">
        <f t="shared" si="148"/>
        <v>#N/A</v>
      </c>
      <c r="K1216" s="27" t="e">
        <f t="shared" si="149"/>
        <v>#N/A</v>
      </c>
    </row>
    <row r="1217" spans="1:11">
      <c r="A1217" s="26">
        <v>1167</v>
      </c>
      <c r="B1217" s="82" t="e">
        <f t="shared" si="150"/>
        <v>#N/A</v>
      </c>
      <c r="C1217" s="58" t="e">
        <f t="shared" si="146"/>
        <v>#N/A</v>
      </c>
      <c r="D1217" s="83" t="e">
        <f t="shared" si="151"/>
        <v>#N/A</v>
      </c>
      <c r="E1217" t="e">
        <f t="shared" si="147"/>
        <v>#N/A</v>
      </c>
      <c r="G1217">
        <v>1167</v>
      </c>
      <c r="H1217" s="13" t="e">
        <f t="shared" si="152"/>
        <v>#N/A</v>
      </c>
      <c r="I1217" t="e">
        <f t="shared" si="153"/>
        <v>#N/A</v>
      </c>
      <c r="J1217" t="e">
        <f t="shared" si="148"/>
        <v>#N/A</v>
      </c>
      <c r="K1217" s="27" t="e">
        <f t="shared" si="149"/>
        <v>#N/A</v>
      </c>
    </row>
    <row r="1218" spans="1:11">
      <c r="A1218" s="26">
        <v>1168</v>
      </c>
      <c r="B1218" s="82" t="e">
        <f t="shared" si="150"/>
        <v>#N/A</v>
      </c>
      <c r="C1218" s="58" t="e">
        <f t="shared" si="146"/>
        <v>#N/A</v>
      </c>
      <c r="D1218" s="83" t="e">
        <f t="shared" si="151"/>
        <v>#N/A</v>
      </c>
      <c r="E1218" t="e">
        <f t="shared" si="147"/>
        <v>#N/A</v>
      </c>
      <c r="G1218">
        <v>1168</v>
      </c>
      <c r="H1218" s="13" t="e">
        <f t="shared" si="152"/>
        <v>#N/A</v>
      </c>
      <c r="I1218" t="e">
        <f t="shared" si="153"/>
        <v>#N/A</v>
      </c>
      <c r="J1218" t="e">
        <f t="shared" si="148"/>
        <v>#N/A</v>
      </c>
      <c r="K1218" s="27" t="e">
        <f t="shared" si="149"/>
        <v>#N/A</v>
      </c>
    </row>
    <row r="1219" spans="1:11">
      <c r="A1219" s="26">
        <v>1169</v>
      </c>
      <c r="B1219" s="82" t="e">
        <f t="shared" si="150"/>
        <v>#N/A</v>
      </c>
      <c r="C1219" s="58" t="e">
        <f t="shared" si="146"/>
        <v>#N/A</v>
      </c>
      <c r="D1219" s="83" t="e">
        <f t="shared" si="151"/>
        <v>#N/A</v>
      </c>
      <c r="E1219" t="e">
        <f t="shared" si="147"/>
        <v>#N/A</v>
      </c>
      <c r="G1219">
        <v>1169</v>
      </c>
      <c r="H1219" s="13" t="e">
        <f t="shared" si="152"/>
        <v>#N/A</v>
      </c>
      <c r="I1219" t="e">
        <f t="shared" si="153"/>
        <v>#N/A</v>
      </c>
      <c r="J1219" t="e">
        <f t="shared" si="148"/>
        <v>#N/A</v>
      </c>
      <c r="K1219" s="27" t="e">
        <f t="shared" si="149"/>
        <v>#N/A</v>
      </c>
    </row>
    <row r="1220" spans="1:11">
      <c r="A1220" s="26">
        <v>1170</v>
      </c>
      <c r="B1220" s="82" t="e">
        <f t="shared" si="150"/>
        <v>#N/A</v>
      </c>
      <c r="C1220" s="58" t="e">
        <f t="shared" si="146"/>
        <v>#N/A</v>
      </c>
      <c r="D1220" s="83" t="e">
        <f t="shared" si="151"/>
        <v>#N/A</v>
      </c>
      <c r="E1220" t="e">
        <f t="shared" si="147"/>
        <v>#N/A</v>
      </c>
      <c r="G1220">
        <v>1170</v>
      </c>
      <c r="H1220" s="13" t="e">
        <f t="shared" si="152"/>
        <v>#N/A</v>
      </c>
      <c r="I1220" t="e">
        <f t="shared" si="153"/>
        <v>#N/A</v>
      </c>
      <c r="J1220" t="e">
        <f t="shared" si="148"/>
        <v>#N/A</v>
      </c>
      <c r="K1220" s="27" t="e">
        <f t="shared" si="149"/>
        <v>#N/A</v>
      </c>
    </row>
    <row r="1221" spans="1:11">
      <c r="A1221" s="26">
        <v>1171</v>
      </c>
      <c r="B1221" s="82" t="e">
        <f t="shared" si="150"/>
        <v>#N/A</v>
      </c>
      <c r="C1221" s="58" t="e">
        <f t="shared" si="146"/>
        <v>#N/A</v>
      </c>
      <c r="D1221" s="83" t="e">
        <f t="shared" si="151"/>
        <v>#N/A</v>
      </c>
      <c r="E1221" t="e">
        <f t="shared" si="147"/>
        <v>#N/A</v>
      </c>
      <c r="G1221">
        <v>1171</v>
      </c>
      <c r="H1221" s="13" t="e">
        <f t="shared" si="152"/>
        <v>#N/A</v>
      </c>
      <c r="I1221" t="e">
        <f t="shared" si="153"/>
        <v>#N/A</v>
      </c>
      <c r="J1221" t="e">
        <f t="shared" si="148"/>
        <v>#N/A</v>
      </c>
      <c r="K1221" s="27" t="e">
        <f t="shared" si="149"/>
        <v>#N/A</v>
      </c>
    </row>
    <row r="1222" spans="1:11">
      <c r="A1222" s="26">
        <v>1172</v>
      </c>
      <c r="B1222" s="82" t="e">
        <f t="shared" si="150"/>
        <v>#N/A</v>
      </c>
      <c r="C1222" s="58" t="e">
        <f t="shared" si="146"/>
        <v>#N/A</v>
      </c>
      <c r="D1222" s="83" t="e">
        <f t="shared" si="151"/>
        <v>#N/A</v>
      </c>
      <c r="E1222" t="e">
        <f t="shared" si="147"/>
        <v>#N/A</v>
      </c>
      <c r="G1222">
        <v>1172</v>
      </c>
      <c r="H1222" s="13" t="e">
        <f t="shared" si="152"/>
        <v>#N/A</v>
      </c>
      <c r="I1222" t="e">
        <f t="shared" si="153"/>
        <v>#N/A</v>
      </c>
      <c r="J1222" t="e">
        <f t="shared" si="148"/>
        <v>#N/A</v>
      </c>
      <c r="K1222" s="27" t="e">
        <f t="shared" si="149"/>
        <v>#N/A</v>
      </c>
    </row>
    <row r="1223" spans="1:11">
      <c r="A1223" s="26">
        <v>1173</v>
      </c>
      <c r="B1223" s="82" t="e">
        <f t="shared" si="150"/>
        <v>#N/A</v>
      </c>
      <c r="C1223" s="58" t="e">
        <f t="shared" si="146"/>
        <v>#N/A</v>
      </c>
      <c r="D1223" s="83" t="e">
        <f t="shared" si="151"/>
        <v>#N/A</v>
      </c>
      <c r="E1223" t="e">
        <f t="shared" si="147"/>
        <v>#N/A</v>
      </c>
      <c r="G1223">
        <v>1173</v>
      </c>
      <c r="H1223" s="13" t="e">
        <f t="shared" si="152"/>
        <v>#N/A</v>
      </c>
      <c r="I1223" t="e">
        <f t="shared" si="153"/>
        <v>#N/A</v>
      </c>
      <c r="J1223" t="e">
        <f t="shared" si="148"/>
        <v>#N/A</v>
      </c>
      <c r="K1223" s="27" t="e">
        <f t="shared" si="149"/>
        <v>#N/A</v>
      </c>
    </row>
    <row r="1224" spans="1:11">
      <c r="A1224" s="26">
        <v>1174</v>
      </c>
      <c r="B1224" s="82" t="e">
        <f t="shared" si="150"/>
        <v>#N/A</v>
      </c>
      <c r="C1224" s="58" t="e">
        <f t="shared" si="146"/>
        <v>#N/A</v>
      </c>
      <c r="D1224" s="83" t="e">
        <f t="shared" si="151"/>
        <v>#N/A</v>
      </c>
      <c r="E1224" t="e">
        <f t="shared" si="147"/>
        <v>#N/A</v>
      </c>
      <c r="G1224">
        <v>1174</v>
      </c>
      <c r="H1224" s="13" t="e">
        <f t="shared" si="152"/>
        <v>#N/A</v>
      </c>
      <c r="I1224" t="e">
        <f t="shared" si="153"/>
        <v>#N/A</v>
      </c>
      <c r="J1224" t="e">
        <f t="shared" si="148"/>
        <v>#N/A</v>
      </c>
      <c r="K1224" s="27" t="e">
        <f t="shared" si="149"/>
        <v>#N/A</v>
      </c>
    </row>
    <row r="1225" spans="1:11">
      <c r="A1225" s="26">
        <v>1175</v>
      </c>
      <c r="B1225" s="82" t="e">
        <f t="shared" si="150"/>
        <v>#N/A</v>
      </c>
      <c r="C1225" s="58" t="e">
        <f t="shared" si="146"/>
        <v>#N/A</v>
      </c>
      <c r="D1225" s="83" t="e">
        <f t="shared" si="151"/>
        <v>#N/A</v>
      </c>
      <c r="E1225" t="e">
        <f t="shared" si="147"/>
        <v>#N/A</v>
      </c>
      <c r="G1225">
        <v>1175</v>
      </c>
      <c r="H1225" s="13" t="e">
        <f t="shared" si="152"/>
        <v>#N/A</v>
      </c>
      <c r="I1225" t="e">
        <f t="shared" si="153"/>
        <v>#N/A</v>
      </c>
      <c r="J1225" t="e">
        <f t="shared" si="148"/>
        <v>#N/A</v>
      </c>
      <c r="K1225" s="27" t="e">
        <f t="shared" si="149"/>
        <v>#N/A</v>
      </c>
    </row>
    <row r="1226" spans="1:11">
      <c r="A1226" s="26">
        <v>1176</v>
      </c>
      <c r="B1226" s="82" t="e">
        <f t="shared" si="150"/>
        <v>#N/A</v>
      </c>
      <c r="C1226" s="58" t="e">
        <f t="shared" si="146"/>
        <v>#N/A</v>
      </c>
      <c r="D1226" s="83" t="e">
        <f t="shared" si="151"/>
        <v>#N/A</v>
      </c>
      <c r="E1226" t="e">
        <f t="shared" si="147"/>
        <v>#N/A</v>
      </c>
      <c r="G1226">
        <v>1176</v>
      </c>
      <c r="H1226" s="13" t="e">
        <f t="shared" si="152"/>
        <v>#N/A</v>
      </c>
      <c r="I1226" t="e">
        <f t="shared" si="153"/>
        <v>#N/A</v>
      </c>
      <c r="J1226" t="e">
        <f t="shared" si="148"/>
        <v>#N/A</v>
      </c>
      <c r="K1226" s="27" t="e">
        <f t="shared" si="149"/>
        <v>#N/A</v>
      </c>
    </row>
    <row r="1227" spans="1:11">
      <c r="A1227" s="26">
        <v>1177</v>
      </c>
      <c r="B1227" s="82" t="e">
        <f t="shared" si="150"/>
        <v>#N/A</v>
      </c>
      <c r="C1227" s="58" t="e">
        <f t="shared" si="146"/>
        <v>#N/A</v>
      </c>
      <c r="D1227" s="83" t="e">
        <f t="shared" si="151"/>
        <v>#N/A</v>
      </c>
      <c r="E1227" t="e">
        <f t="shared" si="147"/>
        <v>#N/A</v>
      </c>
      <c r="G1227">
        <v>1177</v>
      </c>
      <c r="H1227" s="13" t="e">
        <f t="shared" si="152"/>
        <v>#N/A</v>
      </c>
      <c r="I1227" t="e">
        <f t="shared" si="153"/>
        <v>#N/A</v>
      </c>
      <c r="J1227" t="e">
        <f t="shared" si="148"/>
        <v>#N/A</v>
      </c>
      <c r="K1227" s="27" t="e">
        <f t="shared" si="149"/>
        <v>#N/A</v>
      </c>
    </row>
    <row r="1228" spans="1:11">
      <c r="A1228" s="26">
        <v>1178</v>
      </c>
      <c r="B1228" s="82" t="e">
        <f t="shared" si="150"/>
        <v>#N/A</v>
      </c>
      <c r="C1228" s="58" t="e">
        <f t="shared" si="146"/>
        <v>#N/A</v>
      </c>
      <c r="D1228" s="83" t="e">
        <f t="shared" si="151"/>
        <v>#N/A</v>
      </c>
      <c r="E1228" t="e">
        <f t="shared" si="147"/>
        <v>#N/A</v>
      </c>
      <c r="G1228">
        <v>1178</v>
      </c>
      <c r="H1228" s="13" t="e">
        <f t="shared" si="152"/>
        <v>#N/A</v>
      </c>
      <c r="I1228" t="e">
        <f t="shared" si="153"/>
        <v>#N/A</v>
      </c>
      <c r="J1228" t="e">
        <f t="shared" si="148"/>
        <v>#N/A</v>
      </c>
      <c r="K1228" s="27" t="e">
        <f t="shared" si="149"/>
        <v>#N/A</v>
      </c>
    </row>
    <row r="1229" spans="1:11">
      <c r="A1229" s="26">
        <v>1179</v>
      </c>
      <c r="B1229" s="82" t="e">
        <f t="shared" si="150"/>
        <v>#N/A</v>
      </c>
      <c r="C1229" s="58" t="e">
        <f t="shared" si="146"/>
        <v>#N/A</v>
      </c>
      <c r="D1229" s="83" t="e">
        <f t="shared" si="151"/>
        <v>#N/A</v>
      </c>
      <c r="E1229" t="e">
        <f t="shared" si="147"/>
        <v>#N/A</v>
      </c>
      <c r="G1229">
        <v>1179</v>
      </c>
      <c r="H1229" s="13" t="e">
        <f t="shared" si="152"/>
        <v>#N/A</v>
      </c>
      <c r="I1229" t="e">
        <f t="shared" si="153"/>
        <v>#N/A</v>
      </c>
      <c r="J1229" t="e">
        <f t="shared" si="148"/>
        <v>#N/A</v>
      </c>
      <c r="K1229" s="27" t="e">
        <f t="shared" si="149"/>
        <v>#N/A</v>
      </c>
    </row>
    <row r="1230" spans="1:11">
      <c r="A1230" s="26">
        <v>1180</v>
      </c>
      <c r="B1230" s="82" t="e">
        <f t="shared" si="150"/>
        <v>#N/A</v>
      </c>
      <c r="C1230" s="58" t="e">
        <f t="shared" si="146"/>
        <v>#N/A</v>
      </c>
      <c r="D1230" s="83" t="e">
        <f t="shared" si="151"/>
        <v>#N/A</v>
      </c>
      <c r="E1230" t="e">
        <f t="shared" si="147"/>
        <v>#N/A</v>
      </c>
      <c r="G1230">
        <v>1180</v>
      </c>
      <c r="H1230" s="13" t="e">
        <f t="shared" si="152"/>
        <v>#N/A</v>
      </c>
      <c r="I1230" t="e">
        <f t="shared" si="153"/>
        <v>#N/A</v>
      </c>
      <c r="J1230" t="e">
        <f t="shared" si="148"/>
        <v>#N/A</v>
      </c>
      <c r="K1230" s="27" t="e">
        <f t="shared" si="149"/>
        <v>#N/A</v>
      </c>
    </row>
    <row r="1231" spans="1:11">
      <c r="A1231" s="26">
        <v>1181</v>
      </c>
      <c r="B1231" s="82" t="e">
        <f t="shared" si="150"/>
        <v>#N/A</v>
      </c>
      <c r="C1231" s="58" t="e">
        <f t="shared" si="146"/>
        <v>#N/A</v>
      </c>
      <c r="D1231" s="83" t="e">
        <f t="shared" si="151"/>
        <v>#N/A</v>
      </c>
      <c r="E1231" t="e">
        <f t="shared" si="147"/>
        <v>#N/A</v>
      </c>
      <c r="G1231">
        <v>1181</v>
      </c>
      <c r="H1231" s="13" t="e">
        <f t="shared" si="152"/>
        <v>#N/A</v>
      </c>
      <c r="I1231" t="e">
        <f t="shared" si="153"/>
        <v>#N/A</v>
      </c>
      <c r="J1231" t="e">
        <f t="shared" si="148"/>
        <v>#N/A</v>
      </c>
      <c r="K1231" s="27" t="e">
        <f t="shared" si="149"/>
        <v>#N/A</v>
      </c>
    </row>
    <row r="1232" spans="1:11">
      <c r="A1232" s="26">
        <v>1182</v>
      </c>
      <c r="B1232" s="82" t="e">
        <f t="shared" si="150"/>
        <v>#N/A</v>
      </c>
      <c r="C1232" s="58" t="e">
        <f t="shared" ref="C1232:C1295" si="154">($C$37-$C$36)/2000+C1231</f>
        <v>#N/A</v>
      </c>
      <c r="D1232" s="83" t="e">
        <f t="shared" si="151"/>
        <v>#N/A</v>
      </c>
      <c r="E1232" t="e">
        <f t="shared" si="147"/>
        <v>#N/A</v>
      </c>
      <c r="G1232">
        <v>1182</v>
      </c>
      <c r="H1232" s="13" t="e">
        <f t="shared" si="152"/>
        <v>#N/A</v>
      </c>
      <c r="I1232" t="e">
        <f t="shared" si="153"/>
        <v>#N/A</v>
      </c>
      <c r="J1232" t="e">
        <f t="shared" si="148"/>
        <v>#N/A</v>
      </c>
      <c r="K1232" s="27" t="e">
        <f t="shared" si="149"/>
        <v>#N/A</v>
      </c>
    </row>
    <row r="1233" spans="1:11">
      <c r="A1233" s="26">
        <v>1183</v>
      </c>
      <c r="B1233" s="82" t="e">
        <f t="shared" si="150"/>
        <v>#N/A</v>
      </c>
      <c r="C1233" s="58" t="e">
        <f t="shared" si="154"/>
        <v>#N/A</v>
      </c>
      <c r="D1233" s="83" t="e">
        <f t="shared" si="151"/>
        <v>#N/A</v>
      </c>
      <c r="E1233" t="e">
        <f t="shared" si="147"/>
        <v>#N/A</v>
      </c>
      <c r="G1233">
        <v>1183</v>
      </c>
      <c r="H1233" s="13" t="e">
        <f t="shared" si="152"/>
        <v>#N/A</v>
      </c>
      <c r="I1233" t="e">
        <f t="shared" si="153"/>
        <v>#N/A</v>
      </c>
      <c r="J1233" t="e">
        <f t="shared" si="148"/>
        <v>#N/A</v>
      </c>
      <c r="K1233" s="27" t="e">
        <f t="shared" si="149"/>
        <v>#N/A</v>
      </c>
    </row>
    <row r="1234" spans="1:11">
      <c r="A1234" s="26">
        <v>1184</v>
      </c>
      <c r="B1234" s="82" t="e">
        <f t="shared" si="150"/>
        <v>#N/A</v>
      </c>
      <c r="C1234" s="58" t="e">
        <f t="shared" si="154"/>
        <v>#N/A</v>
      </c>
      <c r="D1234" s="83" t="e">
        <f t="shared" si="151"/>
        <v>#N/A</v>
      </c>
      <c r="E1234" t="e">
        <f t="shared" si="147"/>
        <v>#N/A</v>
      </c>
      <c r="G1234">
        <v>1184</v>
      </c>
      <c r="H1234" s="13" t="e">
        <f t="shared" si="152"/>
        <v>#N/A</v>
      </c>
      <c r="I1234" t="e">
        <f t="shared" si="153"/>
        <v>#N/A</v>
      </c>
      <c r="J1234" t="e">
        <f t="shared" si="148"/>
        <v>#N/A</v>
      </c>
      <c r="K1234" s="27" t="e">
        <f t="shared" si="149"/>
        <v>#N/A</v>
      </c>
    </row>
    <row r="1235" spans="1:11">
      <c r="A1235" s="26">
        <v>1185</v>
      </c>
      <c r="B1235" s="82" t="e">
        <f t="shared" si="150"/>
        <v>#N/A</v>
      </c>
      <c r="C1235" s="58" t="e">
        <f t="shared" si="154"/>
        <v>#N/A</v>
      </c>
      <c r="D1235" s="83" t="e">
        <f t="shared" si="151"/>
        <v>#N/A</v>
      </c>
      <c r="E1235" t="e">
        <f t="shared" si="147"/>
        <v>#N/A</v>
      </c>
      <c r="G1235">
        <v>1185</v>
      </c>
      <c r="H1235" s="13" t="e">
        <f t="shared" si="152"/>
        <v>#N/A</v>
      </c>
      <c r="I1235" t="e">
        <f t="shared" si="153"/>
        <v>#N/A</v>
      </c>
      <c r="J1235" t="e">
        <f t="shared" si="148"/>
        <v>#N/A</v>
      </c>
      <c r="K1235" s="27" t="e">
        <f t="shared" si="149"/>
        <v>#N/A</v>
      </c>
    </row>
    <row r="1236" spans="1:11">
      <c r="A1236" s="26">
        <v>1186</v>
      </c>
      <c r="B1236" s="82" t="e">
        <f t="shared" si="150"/>
        <v>#N/A</v>
      </c>
      <c r="C1236" s="58" t="e">
        <f t="shared" si="154"/>
        <v>#N/A</v>
      </c>
      <c r="D1236" s="83" t="e">
        <f t="shared" si="151"/>
        <v>#N/A</v>
      </c>
      <c r="E1236" t="e">
        <f t="shared" si="147"/>
        <v>#N/A</v>
      </c>
      <c r="G1236">
        <v>1186</v>
      </c>
      <c r="H1236" s="13" t="e">
        <f t="shared" si="152"/>
        <v>#N/A</v>
      </c>
      <c r="I1236" t="e">
        <f t="shared" si="153"/>
        <v>#N/A</v>
      </c>
      <c r="J1236" t="e">
        <f t="shared" si="148"/>
        <v>#N/A</v>
      </c>
      <c r="K1236" s="27" t="e">
        <f t="shared" si="149"/>
        <v>#N/A</v>
      </c>
    </row>
    <row r="1237" spans="1:11">
      <c r="A1237" s="26">
        <v>1187</v>
      </c>
      <c r="B1237" s="82" t="e">
        <f t="shared" si="150"/>
        <v>#N/A</v>
      </c>
      <c r="C1237" s="58" t="e">
        <f t="shared" si="154"/>
        <v>#N/A</v>
      </c>
      <c r="D1237" s="83" t="e">
        <f t="shared" si="151"/>
        <v>#N/A</v>
      </c>
      <c r="E1237" t="e">
        <f t="shared" si="147"/>
        <v>#N/A</v>
      </c>
      <c r="G1237">
        <v>1187</v>
      </c>
      <c r="H1237" s="13" t="e">
        <f t="shared" si="152"/>
        <v>#N/A</v>
      </c>
      <c r="I1237" t="e">
        <f t="shared" si="153"/>
        <v>#N/A</v>
      </c>
      <c r="J1237" t="e">
        <f t="shared" si="148"/>
        <v>#N/A</v>
      </c>
      <c r="K1237" s="27" t="e">
        <f t="shared" si="149"/>
        <v>#N/A</v>
      </c>
    </row>
    <row r="1238" spans="1:11">
      <c r="A1238" s="26">
        <v>1188</v>
      </c>
      <c r="B1238" s="82" t="e">
        <f t="shared" si="150"/>
        <v>#N/A</v>
      </c>
      <c r="C1238" s="58" t="e">
        <f t="shared" si="154"/>
        <v>#N/A</v>
      </c>
      <c r="D1238" s="83" t="e">
        <f t="shared" si="151"/>
        <v>#N/A</v>
      </c>
      <c r="E1238" t="e">
        <f t="shared" si="147"/>
        <v>#N/A</v>
      </c>
      <c r="G1238">
        <v>1188</v>
      </c>
      <c r="H1238" s="13" t="e">
        <f t="shared" si="152"/>
        <v>#N/A</v>
      </c>
      <c r="I1238" t="e">
        <f t="shared" si="153"/>
        <v>#N/A</v>
      </c>
      <c r="J1238" t="e">
        <f t="shared" si="148"/>
        <v>#N/A</v>
      </c>
      <c r="K1238" s="27" t="e">
        <f t="shared" si="149"/>
        <v>#N/A</v>
      </c>
    </row>
    <row r="1239" spans="1:11">
      <c r="A1239" s="26">
        <v>1189</v>
      </c>
      <c r="B1239" s="82" t="e">
        <f t="shared" si="150"/>
        <v>#N/A</v>
      </c>
      <c r="C1239" s="58" t="e">
        <f t="shared" si="154"/>
        <v>#N/A</v>
      </c>
      <c r="D1239" s="83" t="e">
        <f t="shared" si="151"/>
        <v>#N/A</v>
      </c>
      <c r="E1239" t="e">
        <f t="shared" si="147"/>
        <v>#N/A</v>
      </c>
      <c r="G1239">
        <v>1189</v>
      </c>
      <c r="H1239" s="13" t="e">
        <f t="shared" si="152"/>
        <v>#N/A</v>
      </c>
      <c r="I1239" t="e">
        <f t="shared" si="153"/>
        <v>#N/A</v>
      </c>
      <c r="J1239" t="e">
        <f t="shared" si="148"/>
        <v>#N/A</v>
      </c>
      <c r="K1239" s="27" t="e">
        <f t="shared" si="149"/>
        <v>#N/A</v>
      </c>
    </row>
    <row r="1240" spans="1:11">
      <c r="A1240" s="26">
        <v>1190</v>
      </c>
      <c r="B1240" s="82" t="e">
        <f t="shared" si="150"/>
        <v>#N/A</v>
      </c>
      <c r="C1240" s="58" t="e">
        <f t="shared" si="154"/>
        <v>#N/A</v>
      </c>
      <c r="D1240" s="83" t="e">
        <f t="shared" si="151"/>
        <v>#N/A</v>
      </c>
      <c r="E1240" t="e">
        <f t="shared" si="147"/>
        <v>#N/A</v>
      </c>
      <c r="G1240">
        <v>1190</v>
      </c>
      <c r="H1240" s="13" t="e">
        <f t="shared" si="152"/>
        <v>#N/A</v>
      </c>
      <c r="I1240" t="e">
        <f t="shared" si="153"/>
        <v>#N/A</v>
      </c>
      <c r="J1240" t="e">
        <f t="shared" si="148"/>
        <v>#N/A</v>
      </c>
      <c r="K1240" s="27" t="e">
        <f t="shared" si="149"/>
        <v>#N/A</v>
      </c>
    </row>
    <row r="1241" spans="1:11">
      <c r="A1241" s="26">
        <v>1191</v>
      </c>
      <c r="B1241" s="82" t="e">
        <f t="shared" si="150"/>
        <v>#N/A</v>
      </c>
      <c r="C1241" s="58" t="e">
        <f t="shared" si="154"/>
        <v>#N/A</v>
      </c>
      <c r="D1241" s="83" t="e">
        <f t="shared" si="151"/>
        <v>#N/A</v>
      </c>
      <c r="E1241" t="e">
        <f t="shared" si="147"/>
        <v>#N/A</v>
      </c>
      <c r="G1241">
        <v>1191</v>
      </c>
      <c r="H1241" s="13" t="e">
        <f t="shared" si="152"/>
        <v>#N/A</v>
      </c>
      <c r="I1241" t="e">
        <f t="shared" si="153"/>
        <v>#N/A</v>
      </c>
      <c r="J1241" t="e">
        <f t="shared" si="148"/>
        <v>#N/A</v>
      </c>
      <c r="K1241" s="27" t="e">
        <f t="shared" si="149"/>
        <v>#N/A</v>
      </c>
    </row>
    <row r="1242" spans="1:11">
      <c r="A1242" s="26">
        <v>1192</v>
      </c>
      <c r="B1242" s="82" t="e">
        <f t="shared" si="150"/>
        <v>#N/A</v>
      </c>
      <c r="C1242" s="58" t="e">
        <f t="shared" si="154"/>
        <v>#N/A</v>
      </c>
      <c r="D1242" s="83" t="e">
        <f t="shared" si="151"/>
        <v>#N/A</v>
      </c>
      <c r="E1242" t="e">
        <f t="shared" si="147"/>
        <v>#N/A</v>
      </c>
      <c r="G1242">
        <v>1192</v>
      </c>
      <c r="H1242" s="13" t="e">
        <f t="shared" si="152"/>
        <v>#N/A</v>
      </c>
      <c r="I1242" t="e">
        <f t="shared" si="153"/>
        <v>#N/A</v>
      </c>
      <c r="J1242" t="e">
        <f t="shared" si="148"/>
        <v>#N/A</v>
      </c>
      <c r="K1242" s="27" t="e">
        <f t="shared" si="149"/>
        <v>#N/A</v>
      </c>
    </row>
    <row r="1243" spans="1:11">
      <c r="A1243" s="26">
        <v>1193</v>
      </c>
      <c r="B1243" s="82" t="e">
        <f t="shared" si="150"/>
        <v>#N/A</v>
      </c>
      <c r="C1243" s="58" t="e">
        <f t="shared" si="154"/>
        <v>#N/A</v>
      </c>
      <c r="D1243" s="83" t="e">
        <f t="shared" si="151"/>
        <v>#N/A</v>
      </c>
      <c r="E1243" t="e">
        <f t="shared" si="147"/>
        <v>#N/A</v>
      </c>
      <c r="G1243">
        <v>1193</v>
      </c>
      <c r="H1243" s="13" t="e">
        <f t="shared" si="152"/>
        <v>#N/A</v>
      </c>
      <c r="I1243" t="e">
        <f t="shared" si="153"/>
        <v>#N/A</v>
      </c>
      <c r="J1243" t="e">
        <f t="shared" si="148"/>
        <v>#N/A</v>
      </c>
      <c r="K1243" s="27" t="e">
        <f t="shared" si="149"/>
        <v>#N/A</v>
      </c>
    </row>
    <row r="1244" spans="1:11">
      <c r="A1244" s="26">
        <v>1194</v>
      </c>
      <c r="B1244" s="82" t="e">
        <f t="shared" si="150"/>
        <v>#N/A</v>
      </c>
      <c r="C1244" s="58" t="e">
        <f t="shared" si="154"/>
        <v>#N/A</v>
      </c>
      <c r="D1244" s="83" t="e">
        <f t="shared" si="151"/>
        <v>#N/A</v>
      </c>
      <c r="E1244" t="e">
        <f t="shared" si="147"/>
        <v>#N/A</v>
      </c>
      <c r="G1244">
        <v>1194</v>
      </c>
      <c r="H1244" s="13" t="e">
        <f t="shared" si="152"/>
        <v>#N/A</v>
      </c>
      <c r="I1244" t="e">
        <f t="shared" si="153"/>
        <v>#N/A</v>
      </c>
      <c r="J1244" t="e">
        <f t="shared" si="148"/>
        <v>#N/A</v>
      </c>
      <c r="K1244" s="27" t="e">
        <f t="shared" si="149"/>
        <v>#N/A</v>
      </c>
    </row>
    <row r="1245" spans="1:11">
      <c r="A1245" s="26">
        <v>1195</v>
      </c>
      <c r="B1245" s="82" t="e">
        <f t="shared" si="150"/>
        <v>#N/A</v>
      </c>
      <c r="C1245" s="58" t="e">
        <f t="shared" si="154"/>
        <v>#N/A</v>
      </c>
      <c r="D1245" s="83" t="e">
        <f t="shared" si="151"/>
        <v>#N/A</v>
      </c>
      <c r="E1245" t="e">
        <f t="shared" si="147"/>
        <v>#N/A</v>
      </c>
      <c r="G1245">
        <v>1195</v>
      </c>
      <c r="H1245" s="13" t="e">
        <f t="shared" si="152"/>
        <v>#N/A</v>
      </c>
      <c r="I1245" t="e">
        <f t="shared" si="153"/>
        <v>#N/A</v>
      </c>
      <c r="J1245" t="e">
        <f t="shared" si="148"/>
        <v>#N/A</v>
      </c>
      <c r="K1245" s="27" t="e">
        <f t="shared" si="149"/>
        <v>#N/A</v>
      </c>
    </row>
    <row r="1246" spans="1:11">
      <c r="A1246" s="26">
        <v>1196</v>
      </c>
      <c r="B1246" s="82" t="e">
        <f t="shared" si="150"/>
        <v>#N/A</v>
      </c>
      <c r="C1246" s="58" t="e">
        <f t="shared" si="154"/>
        <v>#N/A</v>
      </c>
      <c r="D1246" s="83" t="e">
        <f t="shared" si="151"/>
        <v>#N/A</v>
      </c>
      <c r="E1246" t="e">
        <f t="shared" si="147"/>
        <v>#N/A</v>
      </c>
      <c r="G1246">
        <v>1196</v>
      </c>
      <c r="H1246" s="13" t="e">
        <f t="shared" si="152"/>
        <v>#N/A</v>
      </c>
      <c r="I1246" t="e">
        <f t="shared" si="153"/>
        <v>#N/A</v>
      </c>
      <c r="J1246" t="e">
        <f t="shared" si="148"/>
        <v>#N/A</v>
      </c>
      <c r="K1246" s="27" t="e">
        <f t="shared" si="149"/>
        <v>#N/A</v>
      </c>
    </row>
    <row r="1247" spans="1:11">
      <c r="A1247" s="26">
        <v>1197</v>
      </c>
      <c r="B1247" s="82" t="e">
        <f t="shared" si="150"/>
        <v>#N/A</v>
      </c>
      <c r="C1247" s="58" t="e">
        <f t="shared" si="154"/>
        <v>#N/A</v>
      </c>
      <c r="D1247" s="83" t="e">
        <f t="shared" si="151"/>
        <v>#N/A</v>
      </c>
      <c r="E1247" t="e">
        <f t="shared" si="147"/>
        <v>#N/A</v>
      </c>
      <c r="G1247">
        <v>1197</v>
      </c>
      <c r="H1247" s="13" t="e">
        <f t="shared" si="152"/>
        <v>#N/A</v>
      </c>
      <c r="I1247" t="e">
        <f t="shared" si="153"/>
        <v>#N/A</v>
      </c>
      <c r="J1247" t="e">
        <f t="shared" si="148"/>
        <v>#N/A</v>
      </c>
      <c r="K1247" s="27" t="e">
        <f t="shared" si="149"/>
        <v>#N/A</v>
      </c>
    </row>
    <row r="1248" spans="1:11">
      <c r="A1248" s="26">
        <v>1198</v>
      </c>
      <c r="B1248" s="82" t="e">
        <f t="shared" si="150"/>
        <v>#N/A</v>
      </c>
      <c r="C1248" s="58" t="e">
        <f t="shared" si="154"/>
        <v>#N/A</v>
      </c>
      <c r="D1248" s="83" t="e">
        <f t="shared" si="151"/>
        <v>#N/A</v>
      </c>
      <c r="E1248" t="e">
        <f t="shared" si="147"/>
        <v>#N/A</v>
      </c>
      <c r="G1248">
        <v>1198</v>
      </c>
      <c r="H1248" s="13" t="e">
        <f t="shared" si="152"/>
        <v>#N/A</v>
      </c>
      <c r="I1248" t="e">
        <f t="shared" si="153"/>
        <v>#N/A</v>
      </c>
      <c r="J1248" t="e">
        <f t="shared" si="148"/>
        <v>#N/A</v>
      </c>
      <c r="K1248" s="27" t="e">
        <f t="shared" si="149"/>
        <v>#N/A</v>
      </c>
    </row>
    <row r="1249" spans="1:11">
      <c r="A1249" s="26">
        <v>1199</v>
      </c>
      <c r="B1249" s="82" t="e">
        <f t="shared" si="150"/>
        <v>#N/A</v>
      </c>
      <c r="C1249" s="58" t="e">
        <f t="shared" si="154"/>
        <v>#N/A</v>
      </c>
      <c r="D1249" s="83" t="e">
        <f t="shared" si="151"/>
        <v>#N/A</v>
      </c>
      <c r="E1249" t="e">
        <f t="shared" si="147"/>
        <v>#N/A</v>
      </c>
      <c r="G1249">
        <v>1199</v>
      </c>
      <c r="H1249" s="13" t="e">
        <f t="shared" si="152"/>
        <v>#N/A</v>
      </c>
      <c r="I1249" t="e">
        <f t="shared" si="153"/>
        <v>#N/A</v>
      </c>
      <c r="J1249" t="e">
        <f t="shared" si="148"/>
        <v>#N/A</v>
      </c>
      <c r="K1249" s="27" t="e">
        <f t="shared" si="149"/>
        <v>#N/A</v>
      </c>
    </row>
    <row r="1250" spans="1:11">
      <c r="A1250" s="26">
        <v>1200</v>
      </c>
      <c r="B1250" s="82" t="e">
        <f t="shared" si="150"/>
        <v>#N/A</v>
      </c>
      <c r="C1250" s="58" t="e">
        <f t="shared" si="154"/>
        <v>#N/A</v>
      </c>
      <c r="D1250" s="83" t="e">
        <f t="shared" si="151"/>
        <v>#N/A</v>
      </c>
      <c r="E1250" t="e">
        <f t="shared" si="147"/>
        <v>#N/A</v>
      </c>
      <c r="G1250">
        <v>1200</v>
      </c>
      <c r="H1250" s="13" t="e">
        <f t="shared" si="152"/>
        <v>#N/A</v>
      </c>
      <c r="I1250" t="e">
        <f t="shared" si="153"/>
        <v>#N/A</v>
      </c>
      <c r="J1250" t="e">
        <f t="shared" si="148"/>
        <v>#N/A</v>
      </c>
      <c r="K1250" s="27" t="e">
        <f t="shared" si="149"/>
        <v>#N/A</v>
      </c>
    </row>
    <row r="1251" spans="1:11">
      <c r="A1251" s="26">
        <v>1201</v>
      </c>
      <c r="B1251" s="82" t="e">
        <f t="shared" si="150"/>
        <v>#N/A</v>
      </c>
      <c r="C1251" s="58" t="e">
        <f t="shared" si="154"/>
        <v>#N/A</v>
      </c>
      <c r="D1251" s="83" t="e">
        <f t="shared" si="151"/>
        <v>#N/A</v>
      </c>
      <c r="E1251" t="e">
        <f t="shared" si="147"/>
        <v>#N/A</v>
      </c>
      <c r="G1251">
        <v>1201</v>
      </c>
      <c r="H1251" s="13" t="e">
        <f t="shared" si="152"/>
        <v>#N/A</v>
      </c>
      <c r="I1251" t="e">
        <f t="shared" si="153"/>
        <v>#N/A</v>
      </c>
      <c r="J1251" t="e">
        <f t="shared" si="148"/>
        <v>#N/A</v>
      </c>
      <c r="K1251" s="27" t="e">
        <f t="shared" si="149"/>
        <v>#N/A</v>
      </c>
    </row>
    <row r="1252" spans="1:11">
      <c r="A1252" s="26">
        <v>1202</v>
      </c>
      <c r="B1252" s="82" t="e">
        <f t="shared" si="150"/>
        <v>#N/A</v>
      </c>
      <c r="C1252" s="58" t="e">
        <f t="shared" si="154"/>
        <v>#N/A</v>
      </c>
      <c r="D1252" s="83" t="e">
        <f t="shared" si="151"/>
        <v>#N/A</v>
      </c>
      <c r="E1252" t="e">
        <f t="shared" si="147"/>
        <v>#N/A</v>
      </c>
      <c r="G1252">
        <v>1202</v>
      </c>
      <c r="H1252" s="13" t="e">
        <f t="shared" si="152"/>
        <v>#N/A</v>
      </c>
      <c r="I1252" t="e">
        <f t="shared" si="153"/>
        <v>#N/A</v>
      </c>
      <c r="J1252" t="e">
        <f t="shared" si="148"/>
        <v>#N/A</v>
      </c>
      <c r="K1252" s="27" t="e">
        <f t="shared" si="149"/>
        <v>#N/A</v>
      </c>
    </row>
    <row r="1253" spans="1:11">
      <c r="A1253" s="26">
        <v>1203</v>
      </c>
      <c r="B1253" s="82" t="e">
        <f t="shared" si="150"/>
        <v>#N/A</v>
      </c>
      <c r="C1253" s="58" t="e">
        <f t="shared" si="154"/>
        <v>#N/A</v>
      </c>
      <c r="D1253" s="83" t="e">
        <f t="shared" si="151"/>
        <v>#N/A</v>
      </c>
      <c r="E1253" t="e">
        <f t="shared" si="147"/>
        <v>#N/A</v>
      </c>
      <c r="G1253">
        <v>1203</v>
      </c>
      <c r="H1253" s="13" t="e">
        <f t="shared" si="152"/>
        <v>#N/A</v>
      </c>
      <c r="I1253" t="e">
        <f t="shared" si="153"/>
        <v>#N/A</v>
      </c>
      <c r="J1253" t="e">
        <f t="shared" si="148"/>
        <v>#N/A</v>
      </c>
      <c r="K1253" s="27" t="e">
        <f t="shared" si="149"/>
        <v>#N/A</v>
      </c>
    </row>
    <row r="1254" spans="1:11">
      <c r="A1254" s="26">
        <v>1204</v>
      </c>
      <c r="B1254" s="82" t="e">
        <f t="shared" si="150"/>
        <v>#N/A</v>
      </c>
      <c r="C1254" s="58" t="e">
        <f t="shared" si="154"/>
        <v>#N/A</v>
      </c>
      <c r="D1254" s="83" t="e">
        <f t="shared" si="151"/>
        <v>#N/A</v>
      </c>
      <c r="E1254" t="e">
        <f t="shared" si="147"/>
        <v>#N/A</v>
      </c>
      <c r="G1254">
        <v>1204</v>
      </c>
      <c r="H1254" s="13" t="e">
        <f t="shared" si="152"/>
        <v>#N/A</v>
      </c>
      <c r="I1254" t="e">
        <f t="shared" si="153"/>
        <v>#N/A</v>
      </c>
      <c r="J1254" t="e">
        <f t="shared" si="148"/>
        <v>#N/A</v>
      </c>
      <c r="K1254" s="27" t="e">
        <f t="shared" si="149"/>
        <v>#N/A</v>
      </c>
    </row>
    <row r="1255" spans="1:11">
      <c r="A1255" s="26">
        <v>1205</v>
      </c>
      <c r="B1255" s="82" t="e">
        <f t="shared" si="150"/>
        <v>#N/A</v>
      </c>
      <c r="C1255" s="58" t="e">
        <f t="shared" si="154"/>
        <v>#N/A</v>
      </c>
      <c r="D1255" s="83" t="e">
        <f t="shared" si="151"/>
        <v>#N/A</v>
      </c>
      <c r="E1255" t="e">
        <f t="shared" si="147"/>
        <v>#N/A</v>
      </c>
      <c r="G1255">
        <v>1205</v>
      </c>
      <c r="H1255" s="13" t="e">
        <f t="shared" si="152"/>
        <v>#N/A</v>
      </c>
      <c r="I1255" t="e">
        <f t="shared" si="153"/>
        <v>#N/A</v>
      </c>
      <c r="J1255" t="e">
        <f t="shared" si="148"/>
        <v>#N/A</v>
      </c>
      <c r="K1255" s="27" t="e">
        <f t="shared" si="149"/>
        <v>#N/A</v>
      </c>
    </row>
    <row r="1256" spans="1:11">
      <c r="A1256" s="26">
        <v>1206</v>
      </c>
      <c r="B1256" s="82" t="e">
        <f t="shared" si="150"/>
        <v>#N/A</v>
      </c>
      <c r="C1256" s="58" t="e">
        <f t="shared" si="154"/>
        <v>#N/A</v>
      </c>
      <c r="D1256" s="83" t="e">
        <f t="shared" si="151"/>
        <v>#N/A</v>
      </c>
      <c r="E1256" t="e">
        <f t="shared" si="147"/>
        <v>#N/A</v>
      </c>
      <c r="G1256">
        <v>1206</v>
      </c>
      <c r="H1256" s="13" t="e">
        <f t="shared" si="152"/>
        <v>#N/A</v>
      </c>
      <c r="I1256" t="e">
        <f t="shared" si="153"/>
        <v>#N/A</v>
      </c>
      <c r="J1256" t="e">
        <f t="shared" si="148"/>
        <v>#N/A</v>
      </c>
      <c r="K1256" s="27" t="e">
        <f t="shared" si="149"/>
        <v>#N/A</v>
      </c>
    </row>
    <row r="1257" spans="1:11">
      <c r="A1257" s="26">
        <v>1207</v>
      </c>
      <c r="B1257" s="82" t="e">
        <f t="shared" si="150"/>
        <v>#N/A</v>
      </c>
      <c r="C1257" s="58" t="e">
        <f t="shared" si="154"/>
        <v>#N/A</v>
      </c>
      <c r="D1257" s="83" t="e">
        <f t="shared" si="151"/>
        <v>#N/A</v>
      </c>
      <c r="E1257" t="e">
        <f t="shared" si="147"/>
        <v>#N/A</v>
      </c>
      <c r="G1257">
        <v>1207</v>
      </c>
      <c r="H1257" s="13" t="e">
        <f t="shared" si="152"/>
        <v>#N/A</v>
      </c>
      <c r="I1257" t="e">
        <f t="shared" si="153"/>
        <v>#N/A</v>
      </c>
      <c r="J1257" t="e">
        <f t="shared" si="148"/>
        <v>#N/A</v>
      </c>
      <c r="K1257" s="27" t="e">
        <f t="shared" si="149"/>
        <v>#N/A</v>
      </c>
    </row>
    <row r="1258" spans="1:11">
      <c r="A1258" s="26">
        <v>1208</v>
      </c>
      <c r="B1258" s="82" t="e">
        <f t="shared" si="150"/>
        <v>#N/A</v>
      </c>
      <c r="C1258" s="58" t="e">
        <f t="shared" si="154"/>
        <v>#N/A</v>
      </c>
      <c r="D1258" s="83" t="e">
        <f t="shared" si="151"/>
        <v>#N/A</v>
      </c>
      <c r="E1258" t="e">
        <f t="shared" si="147"/>
        <v>#N/A</v>
      </c>
      <c r="G1258">
        <v>1208</v>
      </c>
      <c r="H1258" s="13" t="e">
        <f t="shared" si="152"/>
        <v>#N/A</v>
      </c>
      <c r="I1258" t="e">
        <f t="shared" si="153"/>
        <v>#N/A</v>
      </c>
      <c r="J1258" t="e">
        <f t="shared" si="148"/>
        <v>#N/A</v>
      </c>
      <c r="K1258" s="27" t="e">
        <f t="shared" si="149"/>
        <v>#N/A</v>
      </c>
    </row>
    <row r="1259" spans="1:11">
      <c r="A1259" s="26">
        <v>1209</v>
      </c>
      <c r="B1259" s="82" t="e">
        <f t="shared" si="150"/>
        <v>#N/A</v>
      </c>
      <c r="C1259" s="58" t="e">
        <f t="shared" si="154"/>
        <v>#N/A</v>
      </c>
      <c r="D1259" s="83" t="e">
        <f t="shared" si="151"/>
        <v>#N/A</v>
      </c>
      <c r="E1259" t="e">
        <f t="shared" si="147"/>
        <v>#N/A</v>
      </c>
      <c r="G1259">
        <v>1209</v>
      </c>
      <c r="H1259" s="13" t="e">
        <f t="shared" si="152"/>
        <v>#N/A</v>
      </c>
      <c r="I1259" t="e">
        <f t="shared" si="153"/>
        <v>#N/A</v>
      </c>
      <c r="J1259" t="e">
        <f t="shared" si="148"/>
        <v>#N/A</v>
      </c>
      <c r="K1259" s="27" t="e">
        <f t="shared" si="149"/>
        <v>#N/A</v>
      </c>
    </row>
    <row r="1260" spans="1:11">
      <c r="A1260" s="26">
        <v>1210</v>
      </c>
      <c r="B1260" s="82" t="e">
        <f t="shared" si="150"/>
        <v>#N/A</v>
      </c>
      <c r="C1260" s="58" t="e">
        <f t="shared" si="154"/>
        <v>#N/A</v>
      </c>
      <c r="D1260" s="83" t="e">
        <f t="shared" si="151"/>
        <v>#N/A</v>
      </c>
      <c r="E1260" t="e">
        <f t="shared" si="147"/>
        <v>#N/A</v>
      </c>
      <c r="G1260">
        <v>1210</v>
      </c>
      <c r="H1260" s="13" t="e">
        <f t="shared" si="152"/>
        <v>#N/A</v>
      </c>
      <c r="I1260" t="e">
        <f t="shared" si="153"/>
        <v>#N/A</v>
      </c>
      <c r="J1260" t="e">
        <f t="shared" si="148"/>
        <v>#N/A</v>
      </c>
      <c r="K1260" s="27" t="e">
        <f t="shared" si="149"/>
        <v>#N/A</v>
      </c>
    </row>
    <row r="1261" spans="1:11">
      <c r="A1261" s="26">
        <v>1211</v>
      </c>
      <c r="B1261" s="82" t="e">
        <f t="shared" si="150"/>
        <v>#N/A</v>
      </c>
      <c r="C1261" s="58" t="e">
        <f t="shared" si="154"/>
        <v>#N/A</v>
      </c>
      <c r="D1261" s="83" t="e">
        <f t="shared" si="151"/>
        <v>#N/A</v>
      </c>
      <c r="E1261" t="e">
        <f t="shared" si="147"/>
        <v>#N/A</v>
      </c>
      <c r="G1261">
        <v>1211</v>
      </c>
      <c r="H1261" s="13" t="e">
        <f t="shared" si="152"/>
        <v>#N/A</v>
      </c>
      <c r="I1261" t="e">
        <f t="shared" si="153"/>
        <v>#N/A</v>
      </c>
      <c r="J1261" t="e">
        <f t="shared" si="148"/>
        <v>#N/A</v>
      </c>
      <c r="K1261" s="27" t="e">
        <f t="shared" si="149"/>
        <v>#N/A</v>
      </c>
    </row>
    <row r="1262" spans="1:11">
      <c r="A1262" s="26">
        <v>1212</v>
      </c>
      <c r="B1262" s="82" t="e">
        <f t="shared" si="150"/>
        <v>#N/A</v>
      </c>
      <c r="C1262" s="58" t="e">
        <f t="shared" si="154"/>
        <v>#N/A</v>
      </c>
      <c r="D1262" s="83" t="e">
        <f t="shared" si="151"/>
        <v>#N/A</v>
      </c>
      <c r="E1262" t="e">
        <f t="shared" si="147"/>
        <v>#N/A</v>
      </c>
      <c r="G1262">
        <v>1212</v>
      </c>
      <c r="H1262" s="13" t="e">
        <f t="shared" si="152"/>
        <v>#N/A</v>
      </c>
      <c r="I1262" t="e">
        <f t="shared" si="153"/>
        <v>#N/A</v>
      </c>
      <c r="J1262" t="e">
        <f t="shared" si="148"/>
        <v>#N/A</v>
      </c>
      <c r="K1262" s="27" t="e">
        <f t="shared" si="149"/>
        <v>#N/A</v>
      </c>
    </row>
    <row r="1263" spans="1:11">
      <c r="A1263" s="26">
        <v>1213</v>
      </c>
      <c r="B1263" s="82" t="e">
        <f t="shared" si="150"/>
        <v>#N/A</v>
      </c>
      <c r="C1263" s="58" t="e">
        <f t="shared" si="154"/>
        <v>#N/A</v>
      </c>
      <c r="D1263" s="83" t="e">
        <f t="shared" si="151"/>
        <v>#N/A</v>
      </c>
      <c r="E1263" t="e">
        <f t="shared" si="147"/>
        <v>#N/A</v>
      </c>
      <c r="G1263">
        <v>1213</v>
      </c>
      <c r="H1263" s="13" t="e">
        <f t="shared" si="152"/>
        <v>#N/A</v>
      </c>
      <c r="I1263" t="e">
        <f t="shared" si="153"/>
        <v>#N/A</v>
      </c>
      <c r="J1263" t="e">
        <f t="shared" si="148"/>
        <v>#N/A</v>
      </c>
      <c r="K1263" s="27" t="e">
        <f t="shared" si="149"/>
        <v>#N/A</v>
      </c>
    </row>
    <row r="1264" spans="1:11">
      <c r="A1264" s="26">
        <v>1214</v>
      </c>
      <c r="B1264" s="82" t="e">
        <f t="shared" si="150"/>
        <v>#N/A</v>
      </c>
      <c r="C1264" s="58" t="e">
        <f t="shared" si="154"/>
        <v>#N/A</v>
      </c>
      <c r="D1264" s="83" t="e">
        <f t="shared" si="151"/>
        <v>#N/A</v>
      </c>
      <c r="E1264" t="e">
        <f t="shared" si="147"/>
        <v>#N/A</v>
      </c>
      <c r="G1264">
        <v>1214</v>
      </c>
      <c r="H1264" s="13" t="e">
        <f t="shared" si="152"/>
        <v>#N/A</v>
      </c>
      <c r="I1264" t="e">
        <f t="shared" si="153"/>
        <v>#N/A</v>
      </c>
      <c r="J1264" t="e">
        <f t="shared" si="148"/>
        <v>#N/A</v>
      </c>
      <c r="K1264" s="27" t="e">
        <f t="shared" si="149"/>
        <v>#N/A</v>
      </c>
    </row>
    <row r="1265" spans="1:11">
      <c r="A1265" s="26">
        <v>1215</v>
      </c>
      <c r="B1265" s="82" t="e">
        <f t="shared" si="150"/>
        <v>#N/A</v>
      </c>
      <c r="C1265" s="58" t="e">
        <f t="shared" si="154"/>
        <v>#N/A</v>
      </c>
      <c r="D1265" s="83" t="e">
        <f t="shared" si="151"/>
        <v>#N/A</v>
      </c>
      <c r="E1265" t="e">
        <f t="shared" si="147"/>
        <v>#N/A</v>
      </c>
      <c r="G1265">
        <v>1215</v>
      </c>
      <c r="H1265" s="13" t="e">
        <f t="shared" si="152"/>
        <v>#N/A</v>
      </c>
      <c r="I1265" t="e">
        <f t="shared" si="153"/>
        <v>#N/A</v>
      </c>
      <c r="J1265" t="e">
        <f t="shared" si="148"/>
        <v>#N/A</v>
      </c>
      <c r="K1265" s="27" t="e">
        <f t="shared" si="149"/>
        <v>#N/A</v>
      </c>
    </row>
    <row r="1266" spans="1:11">
      <c r="A1266" s="26">
        <v>1216</v>
      </c>
      <c r="B1266" s="82" t="e">
        <f t="shared" si="150"/>
        <v>#N/A</v>
      </c>
      <c r="C1266" s="58" t="e">
        <f t="shared" si="154"/>
        <v>#N/A</v>
      </c>
      <c r="D1266" s="83" t="e">
        <f t="shared" si="151"/>
        <v>#N/A</v>
      </c>
      <c r="E1266" t="e">
        <f t="shared" si="147"/>
        <v>#N/A</v>
      </c>
      <c r="G1266">
        <v>1216</v>
      </c>
      <c r="H1266" s="13" t="e">
        <f t="shared" si="152"/>
        <v>#N/A</v>
      </c>
      <c r="I1266" t="e">
        <f t="shared" si="153"/>
        <v>#N/A</v>
      </c>
      <c r="J1266" t="e">
        <f t="shared" si="148"/>
        <v>#N/A</v>
      </c>
      <c r="K1266" s="27" t="e">
        <f t="shared" si="149"/>
        <v>#N/A</v>
      </c>
    </row>
    <row r="1267" spans="1:11">
      <c r="A1267" s="26">
        <v>1217</v>
      </c>
      <c r="B1267" s="82" t="e">
        <f t="shared" si="150"/>
        <v>#N/A</v>
      </c>
      <c r="C1267" s="58" t="e">
        <f t="shared" si="154"/>
        <v>#N/A</v>
      </c>
      <c r="D1267" s="83" t="e">
        <f t="shared" si="151"/>
        <v>#N/A</v>
      </c>
      <c r="E1267" t="e">
        <f t="shared" ref="E1267:E1330" si="155">((D1267^2)+(D1267*D1268)+(D1268^2))*B1268/3</f>
        <v>#N/A</v>
      </c>
      <c r="G1267">
        <v>1217</v>
      </c>
      <c r="H1267" s="13" t="e">
        <f t="shared" si="152"/>
        <v>#N/A</v>
      </c>
      <c r="I1267" t="e">
        <f t="shared" si="153"/>
        <v>#N/A</v>
      </c>
      <c r="J1267" t="e">
        <f t="shared" ref="J1267:J1330" si="156">IF($G$28&lt;$C$14,0,((($C$11^2)-((I1267-$C$13)^2))^0.5)+$C$16)</f>
        <v>#N/A</v>
      </c>
      <c r="K1267" s="27" t="e">
        <f t="shared" ref="K1267:K1330" si="157">((J1267^2)+(J1267*J1268)+(J1268^2))*H1268/3</f>
        <v>#N/A</v>
      </c>
    </row>
    <row r="1268" spans="1:11">
      <c r="A1268" s="26">
        <v>1218</v>
      </c>
      <c r="B1268" s="82" t="e">
        <f t="shared" ref="B1268:B1331" si="158">C1268-C1267</f>
        <v>#N/A</v>
      </c>
      <c r="C1268" s="58" t="e">
        <f t="shared" si="154"/>
        <v>#N/A</v>
      </c>
      <c r="D1268" s="83" t="e">
        <f t="shared" ref="D1268:D1331" si="159">IF($G$28&lt;$C$14,0,((($C$11^2)-((C1268-$C$13)^2))^0.5)+$C$16)</f>
        <v>#N/A</v>
      </c>
      <c r="E1268" t="e">
        <f t="shared" si="155"/>
        <v>#N/A</v>
      </c>
      <c r="G1268">
        <v>1218</v>
      </c>
      <c r="H1268" s="13" t="e">
        <f t="shared" ref="H1268:H1331" si="160">I1268-I1267</f>
        <v>#N/A</v>
      </c>
      <c r="I1268" t="e">
        <f t="shared" ref="I1268:I1331" si="161">($G$27-$C$14)/2000+I1267</f>
        <v>#N/A</v>
      </c>
      <c r="J1268" t="e">
        <f t="shared" si="156"/>
        <v>#N/A</v>
      </c>
      <c r="K1268" s="27" t="e">
        <f t="shared" si="157"/>
        <v>#N/A</v>
      </c>
    </row>
    <row r="1269" spans="1:11">
      <c r="A1269" s="26">
        <v>1219</v>
      </c>
      <c r="B1269" s="82" t="e">
        <f t="shared" si="158"/>
        <v>#N/A</v>
      </c>
      <c r="C1269" s="58" t="e">
        <f t="shared" si="154"/>
        <v>#N/A</v>
      </c>
      <c r="D1269" s="83" t="e">
        <f t="shared" si="159"/>
        <v>#N/A</v>
      </c>
      <c r="E1269" t="e">
        <f t="shared" si="155"/>
        <v>#N/A</v>
      </c>
      <c r="G1269">
        <v>1219</v>
      </c>
      <c r="H1269" s="13" t="e">
        <f t="shared" si="160"/>
        <v>#N/A</v>
      </c>
      <c r="I1269" t="e">
        <f t="shared" si="161"/>
        <v>#N/A</v>
      </c>
      <c r="J1269" t="e">
        <f t="shared" si="156"/>
        <v>#N/A</v>
      </c>
      <c r="K1269" s="27" t="e">
        <f t="shared" si="157"/>
        <v>#N/A</v>
      </c>
    </row>
    <row r="1270" spans="1:11">
      <c r="A1270" s="26">
        <v>1220</v>
      </c>
      <c r="B1270" s="82" t="e">
        <f t="shared" si="158"/>
        <v>#N/A</v>
      </c>
      <c r="C1270" s="58" t="e">
        <f t="shared" si="154"/>
        <v>#N/A</v>
      </c>
      <c r="D1270" s="83" t="e">
        <f t="shared" si="159"/>
        <v>#N/A</v>
      </c>
      <c r="E1270" t="e">
        <f t="shared" si="155"/>
        <v>#N/A</v>
      </c>
      <c r="G1270">
        <v>1220</v>
      </c>
      <c r="H1270" s="13" t="e">
        <f t="shared" si="160"/>
        <v>#N/A</v>
      </c>
      <c r="I1270" t="e">
        <f t="shared" si="161"/>
        <v>#N/A</v>
      </c>
      <c r="J1270" t="e">
        <f t="shared" si="156"/>
        <v>#N/A</v>
      </c>
      <c r="K1270" s="27" t="e">
        <f t="shared" si="157"/>
        <v>#N/A</v>
      </c>
    </row>
    <row r="1271" spans="1:11">
      <c r="A1271" s="26">
        <v>1221</v>
      </c>
      <c r="B1271" s="82" t="e">
        <f t="shared" si="158"/>
        <v>#N/A</v>
      </c>
      <c r="C1271" s="58" t="e">
        <f t="shared" si="154"/>
        <v>#N/A</v>
      </c>
      <c r="D1271" s="83" t="e">
        <f t="shared" si="159"/>
        <v>#N/A</v>
      </c>
      <c r="E1271" t="e">
        <f t="shared" si="155"/>
        <v>#N/A</v>
      </c>
      <c r="G1271">
        <v>1221</v>
      </c>
      <c r="H1271" s="13" t="e">
        <f t="shared" si="160"/>
        <v>#N/A</v>
      </c>
      <c r="I1271" t="e">
        <f t="shared" si="161"/>
        <v>#N/A</v>
      </c>
      <c r="J1271" t="e">
        <f t="shared" si="156"/>
        <v>#N/A</v>
      </c>
      <c r="K1271" s="27" t="e">
        <f t="shared" si="157"/>
        <v>#N/A</v>
      </c>
    </row>
    <row r="1272" spans="1:11">
      <c r="A1272" s="26">
        <v>1222</v>
      </c>
      <c r="B1272" s="82" t="e">
        <f t="shared" si="158"/>
        <v>#N/A</v>
      </c>
      <c r="C1272" s="58" t="e">
        <f t="shared" si="154"/>
        <v>#N/A</v>
      </c>
      <c r="D1272" s="83" t="e">
        <f t="shared" si="159"/>
        <v>#N/A</v>
      </c>
      <c r="E1272" t="e">
        <f t="shared" si="155"/>
        <v>#N/A</v>
      </c>
      <c r="G1272">
        <v>1222</v>
      </c>
      <c r="H1272" s="13" t="e">
        <f t="shared" si="160"/>
        <v>#N/A</v>
      </c>
      <c r="I1272" t="e">
        <f t="shared" si="161"/>
        <v>#N/A</v>
      </c>
      <c r="J1272" t="e">
        <f t="shared" si="156"/>
        <v>#N/A</v>
      </c>
      <c r="K1272" s="27" t="e">
        <f t="shared" si="157"/>
        <v>#N/A</v>
      </c>
    </row>
    <row r="1273" spans="1:11">
      <c r="A1273" s="26">
        <v>1223</v>
      </c>
      <c r="B1273" s="82" t="e">
        <f t="shared" si="158"/>
        <v>#N/A</v>
      </c>
      <c r="C1273" s="58" t="e">
        <f t="shared" si="154"/>
        <v>#N/A</v>
      </c>
      <c r="D1273" s="83" t="e">
        <f t="shared" si="159"/>
        <v>#N/A</v>
      </c>
      <c r="E1273" t="e">
        <f t="shared" si="155"/>
        <v>#N/A</v>
      </c>
      <c r="G1273">
        <v>1223</v>
      </c>
      <c r="H1273" s="13" t="e">
        <f t="shared" si="160"/>
        <v>#N/A</v>
      </c>
      <c r="I1273" t="e">
        <f t="shared" si="161"/>
        <v>#N/A</v>
      </c>
      <c r="J1273" t="e">
        <f t="shared" si="156"/>
        <v>#N/A</v>
      </c>
      <c r="K1273" s="27" t="e">
        <f t="shared" si="157"/>
        <v>#N/A</v>
      </c>
    </row>
    <row r="1274" spans="1:11">
      <c r="A1274" s="26">
        <v>1224</v>
      </c>
      <c r="B1274" s="82" t="e">
        <f t="shared" si="158"/>
        <v>#N/A</v>
      </c>
      <c r="C1274" s="58" t="e">
        <f t="shared" si="154"/>
        <v>#N/A</v>
      </c>
      <c r="D1274" s="83" t="e">
        <f t="shared" si="159"/>
        <v>#N/A</v>
      </c>
      <c r="E1274" t="e">
        <f t="shared" si="155"/>
        <v>#N/A</v>
      </c>
      <c r="G1274">
        <v>1224</v>
      </c>
      <c r="H1274" s="13" t="e">
        <f t="shared" si="160"/>
        <v>#N/A</v>
      </c>
      <c r="I1274" t="e">
        <f t="shared" si="161"/>
        <v>#N/A</v>
      </c>
      <c r="J1274" t="e">
        <f t="shared" si="156"/>
        <v>#N/A</v>
      </c>
      <c r="K1274" s="27" t="e">
        <f t="shared" si="157"/>
        <v>#N/A</v>
      </c>
    </row>
    <row r="1275" spans="1:11">
      <c r="A1275" s="26">
        <v>1225</v>
      </c>
      <c r="B1275" s="82" t="e">
        <f t="shared" si="158"/>
        <v>#N/A</v>
      </c>
      <c r="C1275" s="58" t="e">
        <f t="shared" si="154"/>
        <v>#N/A</v>
      </c>
      <c r="D1275" s="83" t="e">
        <f t="shared" si="159"/>
        <v>#N/A</v>
      </c>
      <c r="E1275" t="e">
        <f t="shared" si="155"/>
        <v>#N/A</v>
      </c>
      <c r="G1275">
        <v>1225</v>
      </c>
      <c r="H1275" s="13" t="e">
        <f t="shared" si="160"/>
        <v>#N/A</v>
      </c>
      <c r="I1275" t="e">
        <f t="shared" si="161"/>
        <v>#N/A</v>
      </c>
      <c r="J1275" t="e">
        <f t="shared" si="156"/>
        <v>#N/A</v>
      </c>
      <c r="K1275" s="27" t="e">
        <f t="shared" si="157"/>
        <v>#N/A</v>
      </c>
    </row>
    <row r="1276" spans="1:11">
      <c r="A1276" s="26">
        <v>1226</v>
      </c>
      <c r="B1276" s="82" t="e">
        <f t="shared" si="158"/>
        <v>#N/A</v>
      </c>
      <c r="C1276" s="58" t="e">
        <f t="shared" si="154"/>
        <v>#N/A</v>
      </c>
      <c r="D1276" s="83" t="e">
        <f t="shared" si="159"/>
        <v>#N/A</v>
      </c>
      <c r="E1276" t="e">
        <f t="shared" si="155"/>
        <v>#N/A</v>
      </c>
      <c r="G1276">
        <v>1226</v>
      </c>
      <c r="H1276" s="13" t="e">
        <f t="shared" si="160"/>
        <v>#N/A</v>
      </c>
      <c r="I1276" t="e">
        <f t="shared" si="161"/>
        <v>#N/A</v>
      </c>
      <c r="J1276" t="e">
        <f t="shared" si="156"/>
        <v>#N/A</v>
      </c>
      <c r="K1276" s="27" t="e">
        <f t="shared" si="157"/>
        <v>#N/A</v>
      </c>
    </row>
    <row r="1277" spans="1:11">
      <c r="A1277" s="26">
        <v>1227</v>
      </c>
      <c r="B1277" s="82" t="e">
        <f t="shared" si="158"/>
        <v>#N/A</v>
      </c>
      <c r="C1277" s="58" t="e">
        <f t="shared" si="154"/>
        <v>#N/A</v>
      </c>
      <c r="D1277" s="83" t="e">
        <f t="shared" si="159"/>
        <v>#N/A</v>
      </c>
      <c r="E1277" t="e">
        <f t="shared" si="155"/>
        <v>#N/A</v>
      </c>
      <c r="G1277">
        <v>1227</v>
      </c>
      <c r="H1277" s="13" t="e">
        <f t="shared" si="160"/>
        <v>#N/A</v>
      </c>
      <c r="I1277" t="e">
        <f t="shared" si="161"/>
        <v>#N/A</v>
      </c>
      <c r="J1277" t="e">
        <f t="shared" si="156"/>
        <v>#N/A</v>
      </c>
      <c r="K1277" s="27" t="e">
        <f t="shared" si="157"/>
        <v>#N/A</v>
      </c>
    </row>
    <row r="1278" spans="1:11">
      <c r="A1278" s="26">
        <v>1228</v>
      </c>
      <c r="B1278" s="82" t="e">
        <f t="shared" si="158"/>
        <v>#N/A</v>
      </c>
      <c r="C1278" s="58" t="e">
        <f t="shared" si="154"/>
        <v>#N/A</v>
      </c>
      <c r="D1278" s="83" t="e">
        <f t="shared" si="159"/>
        <v>#N/A</v>
      </c>
      <c r="E1278" t="e">
        <f t="shared" si="155"/>
        <v>#N/A</v>
      </c>
      <c r="G1278">
        <v>1228</v>
      </c>
      <c r="H1278" s="13" t="e">
        <f t="shared" si="160"/>
        <v>#N/A</v>
      </c>
      <c r="I1278" t="e">
        <f t="shared" si="161"/>
        <v>#N/A</v>
      </c>
      <c r="J1278" t="e">
        <f t="shared" si="156"/>
        <v>#N/A</v>
      </c>
      <c r="K1278" s="27" t="e">
        <f t="shared" si="157"/>
        <v>#N/A</v>
      </c>
    </row>
    <row r="1279" spans="1:11">
      <c r="A1279" s="26">
        <v>1229</v>
      </c>
      <c r="B1279" s="82" t="e">
        <f t="shared" si="158"/>
        <v>#N/A</v>
      </c>
      <c r="C1279" s="58" t="e">
        <f t="shared" si="154"/>
        <v>#N/A</v>
      </c>
      <c r="D1279" s="83" t="e">
        <f t="shared" si="159"/>
        <v>#N/A</v>
      </c>
      <c r="E1279" t="e">
        <f t="shared" si="155"/>
        <v>#N/A</v>
      </c>
      <c r="G1279">
        <v>1229</v>
      </c>
      <c r="H1279" s="13" t="e">
        <f t="shared" si="160"/>
        <v>#N/A</v>
      </c>
      <c r="I1279" t="e">
        <f t="shared" si="161"/>
        <v>#N/A</v>
      </c>
      <c r="J1279" t="e">
        <f t="shared" si="156"/>
        <v>#N/A</v>
      </c>
      <c r="K1279" s="27" t="e">
        <f t="shared" si="157"/>
        <v>#N/A</v>
      </c>
    </row>
    <row r="1280" spans="1:11">
      <c r="A1280" s="26">
        <v>1230</v>
      </c>
      <c r="B1280" s="82" t="e">
        <f t="shared" si="158"/>
        <v>#N/A</v>
      </c>
      <c r="C1280" s="58" t="e">
        <f t="shared" si="154"/>
        <v>#N/A</v>
      </c>
      <c r="D1280" s="83" t="e">
        <f t="shared" si="159"/>
        <v>#N/A</v>
      </c>
      <c r="E1280" t="e">
        <f t="shared" si="155"/>
        <v>#N/A</v>
      </c>
      <c r="G1280">
        <v>1230</v>
      </c>
      <c r="H1280" s="13" t="e">
        <f t="shared" si="160"/>
        <v>#N/A</v>
      </c>
      <c r="I1280" t="e">
        <f t="shared" si="161"/>
        <v>#N/A</v>
      </c>
      <c r="J1280" t="e">
        <f t="shared" si="156"/>
        <v>#N/A</v>
      </c>
      <c r="K1280" s="27" t="e">
        <f t="shared" si="157"/>
        <v>#N/A</v>
      </c>
    </row>
    <row r="1281" spans="1:11">
      <c r="A1281" s="26">
        <v>1231</v>
      </c>
      <c r="B1281" s="82" t="e">
        <f t="shared" si="158"/>
        <v>#N/A</v>
      </c>
      <c r="C1281" s="58" t="e">
        <f t="shared" si="154"/>
        <v>#N/A</v>
      </c>
      <c r="D1281" s="83" t="e">
        <f t="shared" si="159"/>
        <v>#N/A</v>
      </c>
      <c r="E1281" t="e">
        <f t="shared" si="155"/>
        <v>#N/A</v>
      </c>
      <c r="G1281">
        <v>1231</v>
      </c>
      <c r="H1281" s="13" t="e">
        <f t="shared" si="160"/>
        <v>#N/A</v>
      </c>
      <c r="I1281" t="e">
        <f t="shared" si="161"/>
        <v>#N/A</v>
      </c>
      <c r="J1281" t="e">
        <f t="shared" si="156"/>
        <v>#N/A</v>
      </c>
      <c r="K1281" s="27" t="e">
        <f t="shared" si="157"/>
        <v>#N/A</v>
      </c>
    </row>
    <row r="1282" spans="1:11">
      <c r="A1282" s="26">
        <v>1232</v>
      </c>
      <c r="B1282" s="82" t="e">
        <f t="shared" si="158"/>
        <v>#N/A</v>
      </c>
      <c r="C1282" s="58" t="e">
        <f t="shared" si="154"/>
        <v>#N/A</v>
      </c>
      <c r="D1282" s="83" t="e">
        <f t="shared" si="159"/>
        <v>#N/A</v>
      </c>
      <c r="E1282" t="e">
        <f t="shared" si="155"/>
        <v>#N/A</v>
      </c>
      <c r="G1282">
        <v>1232</v>
      </c>
      <c r="H1282" s="13" t="e">
        <f t="shared" si="160"/>
        <v>#N/A</v>
      </c>
      <c r="I1282" t="e">
        <f t="shared" si="161"/>
        <v>#N/A</v>
      </c>
      <c r="J1282" t="e">
        <f t="shared" si="156"/>
        <v>#N/A</v>
      </c>
      <c r="K1282" s="27" t="e">
        <f t="shared" si="157"/>
        <v>#N/A</v>
      </c>
    </row>
    <row r="1283" spans="1:11">
      <c r="A1283" s="26">
        <v>1233</v>
      </c>
      <c r="B1283" s="82" t="e">
        <f t="shared" si="158"/>
        <v>#N/A</v>
      </c>
      <c r="C1283" s="58" t="e">
        <f t="shared" si="154"/>
        <v>#N/A</v>
      </c>
      <c r="D1283" s="83" t="e">
        <f t="shared" si="159"/>
        <v>#N/A</v>
      </c>
      <c r="E1283" t="e">
        <f t="shared" si="155"/>
        <v>#N/A</v>
      </c>
      <c r="G1283">
        <v>1233</v>
      </c>
      <c r="H1283" s="13" t="e">
        <f t="shared" si="160"/>
        <v>#N/A</v>
      </c>
      <c r="I1283" t="e">
        <f t="shared" si="161"/>
        <v>#N/A</v>
      </c>
      <c r="J1283" t="e">
        <f t="shared" si="156"/>
        <v>#N/A</v>
      </c>
      <c r="K1283" s="27" t="e">
        <f t="shared" si="157"/>
        <v>#N/A</v>
      </c>
    </row>
    <row r="1284" spans="1:11">
      <c r="A1284" s="26">
        <v>1234</v>
      </c>
      <c r="B1284" s="82" t="e">
        <f t="shared" si="158"/>
        <v>#N/A</v>
      </c>
      <c r="C1284" s="58" t="e">
        <f t="shared" si="154"/>
        <v>#N/A</v>
      </c>
      <c r="D1284" s="83" t="e">
        <f t="shared" si="159"/>
        <v>#N/A</v>
      </c>
      <c r="E1284" t="e">
        <f t="shared" si="155"/>
        <v>#N/A</v>
      </c>
      <c r="G1284">
        <v>1234</v>
      </c>
      <c r="H1284" s="13" t="e">
        <f t="shared" si="160"/>
        <v>#N/A</v>
      </c>
      <c r="I1284" t="e">
        <f t="shared" si="161"/>
        <v>#N/A</v>
      </c>
      <c r="J1284" t="e">
        <f t="shared" si="156"/>
        <v>#N/A</v>
      </c>
      <c r="K1284" s="27" t="e">
        <f t="shared" si="157"/>
        <v>#N/A</v>
      </c>
    </row>
    <row r="1285" spans="1:11">
      <c r="A1285" s="26">
        <v>1235</v>
      </c>
      <c r="B1285" s="82" t="e">
        <f t="shared" si="158"/>
        <v>#N/A</v>
      </c>
      <c r="C1285" s="58" t="e">
        <f t="shared" si="154"/>
        <v>#N/A</v>
      </c>
      <c r="D1285" s="83" t="e">
        <f t="shared" si="159"/>
        <v>#N/A</v>
      </c>
      <c r="E1285" t="e">
        <f t="shared" si="155"/>
        <v>#N/A</v>
      </c>
      <c r="G1285">
        <v>1235</v>
      </c>
      <c r="H1285" s="13" t="e">
        <f t="shared" si="160"/>
        <v>#N/A</v>
      </c>
      <c r="I1285" t="e">
        <f t="shared" si="161"/>
        <v>#N/A</v>
      </c>
      <c r="J1285" t="e">
        <f t="shared" si="156"/>
        <v>#N/A</v>
      </c>
      <c r="K1285" s="27" t="e">
        <f t="shared" si="157"/>
        <v>#N/A</v>
      </c>
    </row>
    <row r="1286" spans="1:11">
      <c r="A1286" s="26">
        <v>1236</v>
      </c>
      <c r="B1286" s="82" t="e">
        <f t="shared" si="158"/>
        <v>#N/A</v>
      </c>
      <c r="C1286" s="58" t="e">
        <f t="shared" si="154"/>
        <v>#N/A</v>
      </c>
      <c r="D1286" s="83" t="e">
        <f t="shared" si="159"/>
        <v>#N/A</v>
      </c>
      <c r="E1286" t="e">
        <f t="shared" si="155"/>
        <v>#N/A</v>
      </c>
      <c r="G1286">
        <v>1236</v>
      </c>
      <c r="H1286" s="13" t="e">
        <f t="shared" si="160"/>
        <v>#N/A</v>
      </c>
      <c r="I1286" t="e">
        <f t="shared" si="161"/>
        <v>#N/A</v>
      </c>
      <c r="J1286" t="e">
        <f t="shared" si="156"/>
        <v>#N/A</v>
      </c>
      <c r="K1286" s="27" t="e">
        <f t="shared" si="157"/>
        <v>#N/A</v>
      </c>
    </row>
    <row r="1287" spans="1:11">
      <c r="A1287" s="26">
        <v>1237</v>
      </c>
      <c r="B1287" s="82" t="e">
        <f t="shared" si="158"/>
        <v>#N/A</v>
      </c>
      <c r="C1287" s="58" t="e">
        <f t="shared" si="154"/>
        <v>#N/A</v>
      </c>
      <c r="D1287" s="83" t="e">
        <f t="shared" si="159"/>
        <v>#N/A</v>
      </c>
      <c r="E1287" t="e">
        <f t="shared" si="155"/>
        <v>#N/A</v>
      </c>
      <c r="G1287">
        <v>1237</v>
      </c>
      <c r="H1287" s="13" t="e">
        <f t="shared" si="160"/>
        <v>#N/A</v>
      </c>
      <c r="I1287" t="e">
        <f t="shared" si="161"/>
        <v>#N/A</v>
      </c>
      <c r="J1287" t="e">
        <f t="shared" si="156"/>
        <v>#N/A</v>
      </c>
      <c r="K1287" s="27" t="e">
        <f t="shared" si="157"/>
        <v>#N/A</v>
      </c>
    </row>
    <row r="1288" spans="1:11">
      <c r="A1288" s="26">
        <v>1238</v>
      </c>
      <c r="B1288" s="82" t="e">
        <f t="shared" si="158"/>
        <v>#N/A</v>
      </c>
      <c r="C1288" s="58" t="e">
        <f t="shared" si="154"/>
        <v>#N/A</v>
      </c>
      <c r="D1288" s="83" t="e">
        <f t="shared" si="159"/>
        <v>#N/A</v>
      </c>
      <c r="E1288" t="e">
        <f t="shared" si="155"/>
        <v>#N/A</v>
      </c>
      <c r="G1288">
        <v>1238</v>
      </c>
      <c r="H1288" s="13" t="e">
        <f t="shared" si="160"/>
        <v>#N/A</v>
      </c>
      <c r="I1288" t="e">
        <f t="shared" si="161"/>
        <v>#N/A</v>
      </c>
      <c r="J1288" t="e">
        <f t="shared" si="156"/>
        <v>#N/A</v>
      </c>
      <c r="K1288" s="27" t="e">
        <f t="shared" si="157"/>
        <v>#N/A</v>
      </c>
    </row>
    <row r="1289" spans="1:11">
      <c r="A1289" s="26">
        <v>1239</v>
      </c>
      <c r="B1289" s="82" t="e">
        <f t="shared" si="158"/>
        <v>#N/A</v>
      </c>
      <c r="C1289" s="58" t="e">
        <f t="shared" si="154"/>
        <v>#N/A</v>
      </c>
      <c r="D1289" s="83" t="e">
        <f t="shared" si="159"/>
        <v>#N/A</v>
      </c>
      <c r="E1289" t="e">
        <f t="shared" si="155"/>
        <v>#N/A</v>
      </c>
      <c r="G1289">
        <v>1239</v>
      </c>
      <c r="H1289" s="13" t="e">
        <f t="shared" si="160"/>
        <v>#N/A</v>
      </c>
      <c r="I1289" t="e">
        <f t="shared" si="161"/>
        <v>#N/A</v>
      </c>
      <c r="J1289" t="e">
        <f t="shared" si="156"/>
        <v>#N/A</v>
      </c>
      <c r="K1289" s="27" t="e">
        <f t="shared" si="157"/>
        <v>#N/A</v>
      </c>
    </row>
    <row r="1290" spans="1:11">
      <c r="A1290" s="26">
        <v>1240</v>
      </c>
      <c r="B1290" s="82" t="e">
        <f t="shared" si="158"/>
        <v>#N/A</v>
      </c>
      <c r="C1290" s="58" t="e">
        <f t="shared" si="154"/>
        <v>#N/A</v>
      </c>
      <c r="D1290" s="83" t="e">
        <f t="shared" si="159"/>
        <v>#N/A</v>
      </c>
      <c r="E1290" t="e">
        <f t="shared" si="155"/>
        <v>#N/A</v>
      </c>
      <c r="G1290">
        <v>1240</v>
      </c>
      <c r="H1290" s="13" t="e">
        <f t="shared" si="160"/>
        <v>#N/A</v>
      </c>
      <c r="I1290" t="e">
        <f t="shared" si="161"/>
        <v>#N/A</v>
      </c>
      <c r="J1290" t="e">
        <f t="shared" si="156"/>
        <v>#N/A</v>
      </c>
      <c r="K1290" s="27" t="e">
        <f t="shared" si="157"/>
        <v>#N/A</v>
      </c>
    </row>
    <row r="1291" spans="1:11">
      <c r="A1291" s="26">
        <v>1241</v>
      </c>
      <c r="B1291" s="82" t="e">
        <f t="shared" si="158"/>
        <v>#N/A</v>
      </c>
      <c r="C1291" s="58" t="e">
        <f t="shared" si="154"/>
        <v>#N/A</v>
      </c>
      <c r="D1291" s="83" t="e">
        <f t="shared" si="159"/>
        <v>#N/A</v>
      </c>
      <c r="E1291" t="e">
        <f t="shared" si="155"/>
        <v>#N/A</v>
      </c>
      <c r="G1291">
        <v>1241</v>
      </c>
      <c r="H1291" s="13" t="e">
        <f t="shared" si="160"/>
        <v>#N/A</v>
      </c>
      <c r="I1291" t="e">
        <f t="shared" si="161"/>
        <v>#N/A</v>
      </c>
      <c r="J1291" t="e">
        <f t="shared" si="156"/>
        <v>#N/A</v>
      </c>
      <c r="K1291" s="27" t="e">
        <f t="shared" si="157"/>
        <v>#N/A</v>
      </c>
    </row>
    <row r="1292" spans="1:11">
      <c r="A1292" s="26">
        <v>1242</v>
      </c>
      <c r="B1292" s="82" t="e">
        <f t="shared" si="158"/>
        <v>#N/A</v>
      </c>
      <c r="C1292" s="58" t="e">
        <f t="shared" si="154"/>
        <v>#N/A</v>
      </c>
      <c r="D1292" s="83" t="e">
        <f t="shared" si="159"/>
        <v>#N/A</v>
      </c>
      <c r="E1292" t="e">
        <f t="shared" si="155"/>
        <v>#N/A</v>
      </c>
      <c r="G1292">
        <v>1242</v>
      </c>
      <c r="H1292" s="13" t="e">
        <f t="shared" si="160"/>
        <v>#N/A</v>
      </c>
      <c r="I1292" t="e">
        <f t="shared" si="161"/>
        <v>#N/A</v>
      </c>
      <c r="J1292" t="e">
        <f t="shared" si="156"/>
        <v>#N/A</v>
      </c>
      <c r="K1292" s="27" t="e">
        <f t="shared" si="157"/>
        <v>#N/A</v>
      </c>
    </row>
    <row r="1293" spans="1:11">
      <c r="A1293" s="26">
        <v>1243</v>
      </c>
      <c r="B1293" s="82" t="e">
        <f t="shared" si="158"/>
        <v>#N/A</v>
      </c>
      <c r="C1293" s="58" t="e">
        <f t="shared" si="154"/>
        <v>#N/A</v>
      </c>
      <c r="D1293" s="83" t="e">
        <f t="shared" si="159"/>
        <v>#N/A</v>
      </c>
      <c r="E1293" t="e">
        <f t="shared" si="155"/>
        <v>#N/A</v>
      </c>
      <c r="G1293">
        <v>1243</v>
      </c>
      <c r="H1293" s="13" t="e">
        <f t="shared" si="160"/>
        <v>#N/A</v>
      </c>
      <c r="I1293" t="e">
        <f t="shared" si="161"/>
        <v>#N/A</v>
      </c>
      <c r="J1293" t="e">
        <f t="shared" si="156"/>
        <v>#N/A</v>
      </c>
      <c r="K1293" s="27" t="e">
        <f t="shared" si="157"/>
        <v>#N/A</v>
      </c>
    </row>
    <row r="1294" spans="1:11">
      <c r="A1294" s="26">
        <v>1244</v>
      </c>
      <c r="B1294" s="82" t="e">
        <f t="shared" si="158"/>
        <v>#N/A</v>
      </c>
      <c r="C1294" s="58" t="e">
        <f t="shared" si="154"/>
        <v>#N/A</v>
      </c>
      <c r="D1294" s="83" t="e">
        <f t="shared" si="159"/>
        <v>#N/A</v>
      </c>
      <c r="E1294" t="e">
        <f t="shared" si="155"/>
        <v>#N/A</v>
      </c>
      <c r="G1294">
        <v>1244</v>
      </c>
      <c r="H1294" s="13" t="e">
        <f t="shared" si="160"/>
        <v>#N/A</v>
      </c>
      <c r="I1294" t="e">
        <f t="shared" si="161"/>
        <v>#N/A</v>
      </c>
      <c r="J1294" t="e">
        <f t="shared" si="156"/>
        <v>#N/A</v>
      </c>
      <c r="K1294" s="27" t="e">
        <f t="shared" si="157"/>
        <v>#N/A</v>
      </c>
    </row>
    <row r="1295" spans="1:11">
      <c r="A1295" s="26">
        <v>1245</v>
      </c>
      <c r="B1295" s="82" t="e">
        <f t="shared" si="158"/>
        <v>#N/A</v>
      </c>
      <c r="C1295" s="58" t="e">
        <f t="shared" si="154"/>
        <v>#N/A</v>
      </c>
      <c r="D1295" s="83" t="e">
        <f t="shared" si="159"/>
        <v>#N/A</v>
      </c>
      <c r="E1295" t="e">
        <f t="shared" si="155"/>
        <v>#N/A</v>
      </c>
      <c r="G1295">
        <v>1245</v>
      </c>
      <c r="H1295" s="13" t="e">
        <f t="shared" si="160"/>
        <v>#N/A</v>
      </c>
      <c r="I1295" t="e">
        <f t="shared" si="161"/>
        <v>#N/A</v>
      </c>
      <c r="J1295" t="e">
        <f t="shared" si="156"/>
        <v>#N/A</v>
      </c>
      <c r="K1295" s="27" t="e">
        <f t="shared" si="157"/>
        <v>#N/A</v>
      </c>
    </row>
    <row r="1296" spans="1:11">
      <c r="A1296" s="26">
        <v>1246</v>
      </c>
      <c r="B1296" s="82" t="e">
        <f t="shared" si="158"/>
        <v>#N/A</v>
      </c>
      <c r="C1296" s="58" t="e">
        <f t="shared" ref="C1296:C1359" si="162">($C$37-$C$36)/2000+C1295</f>
        <v>#N/A</v>
      </c>
      <c r="D1296" s="83" t="e">
        <f t="shared" si="159"/>
        <v>#N/A</v>
      </c>
      <c r="E1296" t="e">
        <f t="shared" si="155"/>
        <v>#N/A</v>
      </c>
      <c r="G1296">
        <v>1246</v>
      </c>
      <c r="H1296" s="13" t="e">
        <f t="shared" si="160"/>
        <v>#N/A</v>
      </c>
      <c r="I1296" t="e">
        <f t="shared" si="161"/>
        <v>#N/A</v>
      </c>
      <c r="J1296" t="e">
        <f t="shared" si="156"/>
        <v>#N/A</v>
      </c>
      <c r="K1296" s="27" t="e">
        <f t="shared" si="157"/>
        <v>#N/A</v>
      </c>
    </row>
    <row r="1297" spans="1:11">
      <c r="A1297" s="26">
        <v>1247</v>
      </c>
      <c r="B1297" s="82" t="e">
        <f t="shared" si="158"/>
        <v>#N/A</v>
      </c>
      <c r="C1297" s="58" t="e">
        <f t="shared" si="162"/>
        <v>#N/A</v>
      </c>
      <c r="D1297" s="83" t="e">
        <f t="shared" si="159"/>
        <v>#N/A</v>
      </c>
      <c r="E1297" t="e">
        <f t="shared" si="155"/>
        <v>#N/A</v>
      </c>
      <c r="G1297">
        <v>1247</v>
      </c>
      <c r="H1297" s="13" t="e">
        <f t="shared" si="160"/>
        <v>#N/A</v>
      </c>
      <c r="I1297" t="e">
        <f t="shared" si="161"/>
        <v>#N/A</v>
      </c>
      <c r="J1297" t="e">
        <f t="shared" si="156"/>
        <v>#N/A</v>
      </c>
      <c r="K1297" s="27" t="e">
        <f t="shared" si="157"/>
        <v>#N/A</v>
      </c>
    </row>
    <row r="1298" spans="1:11">
      <c r="A1298" s="26">
        <v>1248</v>
      </c>
      <c r="B1298" s="82" t="e">
        <f t="shared" si="158"/>
        <v>#N/A</v>
      </c>
      <c r="C1298" s="58" t="e">
        <f t="shared" si="162"/>
        <v>#N/A</v>
      </c>
      <c r="D1298" s="83" t="e">
        <f t="shared" si="159"/>
        <v>#N/A</v>
      </c>
      <c r="E1298" t="e">
        <f t="shared" si="155"/>
        <v>#N/A</v>
      </c>
      <c r="G1298">
        <v>1248</v>
      </c>
      <c r="H1298" s="13" t="e">
        <f t="shared" si="160"/>
        <v>#N/A</v>
      </c>
      <c r="I1298" t="e">
        <f t="shared" si="161"/>
        <v>#N/A</v>
      </c>
      <c r="J1298" t="e">
        <f t="shared" si="156"/>
        <v>#N/A</v>
      </c>
      <c r="K1298" s="27" t="e">
        <f t="shared" si="157"/>
        <v>#N/A</v>
      </c>
    </row>
    <row r="1299" spans="1:11">
      <c r="A1299" s="26">
        <v>1249</v>
      </c>
      <c r="B1299" s="82" t="e">
        <f t="shared" si="158"/>
        <v>#N/A</v>
      </c>
      <c r="C1299" s="58" t="e">
        <f t="shared" si="162"/>
        <v>#N/A</v>
      </c>
      <c r="D1299" s="83" t="e">
        <f t="shared" si="159"/>
        <v>#N/A</v>
      </c>
      <c r="E1299" t="e">
        <f t="shared" si="155"/>
        <v>#N/A</v>
      </c>
      <c r="G1299">
        <v>1249</v>
      </c>
      <c r="H1299" s="13" t="e">
        <f t="shared" si="160"/>
        <v>#N/A</v>
      </c>
      <c r="I1299" t="e">
        <f t="shared" si="161"/>
        <v>#N/A</v>
      </c>
      <c r="J1299" t="e">
        <f t="shared" si="156"/>
        <v>#N/A</v>
      </c>
      <c r="K1299" s="27" t="e">
        <f t="shared" si="157"/>
        <v>#N/A</v>
      </c>
    </row>
    <row r="1300" spans="1:11">
      <c r="A1300" s="26">
        <v>1250</v>
      </c>
      <c r="B1300" s="82" t="e">
        <f t="shared" si="158"/>
        <v>#N/A</v>
      </c>
      <c r="C1300" s="58" t="e">
        <f t="shared" si="162"/>
        <v>#N/A</v>
      </c>
      <c r="D1300" s="83" t="e">
        <f t="shared" si="159"/>
        <v>#N/A</v>
      </c>
      <c r="E1300" t="e">
        <f t="shared" si="155"/>
        <v>#N/A</v>
      </c>
      <c r="G1300">
        <v>1250</v>
      </c>
      <c r="H1300" s="13" t="e">
        <f t="shared" si="160"/>
        <v>#N/A</v>
      </c>
      <c r="I1300" t="e">
        <f t="shared" si="161"/>
        <v>#N/A</v>
      </c>
      <c r="J1300" t="e">
        <f t="shared" si="156"/>
        <v>#N/A</v>
      </c>
      <c r="K1300" s="27" t="e">
        <f t="shared" si="157"/>
        <v>#N/A</v>
      </c>
    </row>
    <row r="1301" spans="1:11">
      <c r="A1301" s="26">
        <v>1251</v>
      </c>
      <c r="B1301" s="82" t="e">
        <f t="shared" si="158"/>
        <v>#N/A</v>
      </c>
      <c r="C1301" s="58" t="e">
        <f t="shared" si="162"/>
        <v>#N/A</v>
      </c>
      <c r="D1301" s="83" t="e">
        <f t="shared" si="159"/>
        <v>#N/A</v>
      </c>
      <c r="E1301" t="e">
        <f t="shared" si="155"/>
        <v>#N/A</v>
      </c>
      <c r="G1301">
        <v>1251</v>
      </c>
      <c r="H1301" s="13" t="e">
        <f t="shared" si="160"/>
        <v>#N/A</v>
      </c>
      <c r="I1301" t="e">
        <f t="shared" si="161"/>
        <v>#N/A</v>
      </c>
      <c r="J1301" t="e">
        <f t="shared" si="156"/>
        <v>#N/A</v>
      </c>
      <c r="K1301" s="27" t="e">
        <f t="shared" si="157"/>
        <v>#N/A</v>
      </c>
    </row>
    <row r="1302" spans="1:11">
      <c r="A1302" s="26">
        <v>1252</v>
      </c>
      <c r="B1302" s="82" t="e">
        <f t="shared" si="158"/>
        <v>#N/A</v>
      </c>
      <c r="C1302" s="58" t="e">
        <f t="shared" si="162"/>
        <v>#N/A</v>
      </c>
      <c r="D1302" s="83" t="e">
        <f t="shared" si="159"/>
        <v>#N/A</v>
      </c>
      <c r="E1302" t="e">
        <f t="shared" si="155"/>
        <v>#N/A</v>
      </c>
      <c r="G1302">
        <v>1252</v>
      </c>
      <c r="H1302" s="13" t="e">
        <f t="shared" si="160"/>
        <v>#N/A</v>
      </c>
      <c r="I1302" t="e">
        <f t="shared" si="161"/>
        <v>#N/A</v>
      </c>
      <c r="J1302" t="e">
        <f t="shared" si="156"/>
        <v>#N/A</v>
      </c>
      <c r="K1302" s="27" t="e">
        <f t="shared" si="157"/>
        <v>#N/A</v>
      </c>
    </row>
    <row r="1303" spans="1:11">
      <c r="A1303" s="26">
        <v>1253</v>
      </c>
      <c r="B1303" s="82" t="e">
        <f t="shared" si="158"/>
        <v>#N/A</v>
      </c>
      <c r="C1303" s="58" t="e">
        <f t="shared" si="162"/>
        <v>#N/A</v>
      </c>
      <c r="D1303" s="83" t="e">
        <f t="shared" si="159"/>
        <v>#N/A</v>
      </c>
      <c r="E1303" t="e">
        <f t="shared" si="155"/>
        <v>#N/A</v>
      </c>
      <c r="G1303">
        <v>1253</v>
      </c>
      <c r="H1303" s="13" t="e">
        <f t="shared" si="160"/>
        <v>#N/A</v>
      </c>
      <c r="I1303" t="e">
        <f t="shared" si="161"/>
        <v>#N/A</v>
      </c>
      <c r="J1303" t="e">
        <f t="shared" si="156"/>
        <v>#N/A</v>
      </c>
      <c r="K1303" s="27" t="e">
        <f t="shared" si="157"/>
        <v>#N/A</v>
      </c>
    </row>
    <row r="1304" spans="1:11">
      <c r="A1304" s="26">
        <v>1254</v>
      </c>
      <c r="B1304" s="82" t="e">
        <f t="shared" si="158"/>
        <v>#N/A</v>
      </c>
      <c r="C1304" s="58" t="e">
        <f t="shared" si="162"/>
        <v>#N/A</v>
      </c>
      <c r="D1304" s="83" t="e">
        <f t="shared" si="159"/>
        <v>#N/A</v>
      </c>
      <c r="E1304" t="e">
        <f t="shared" si="155"/>
        <v>#N/A</v>
      </c>
      <c r="G1304">
        <v>1254</v>
      </c>
      <c r="H1304" s="13" t="e">
        <f t="shared" si="160"/>
        <v>#N/A</v>
      </c>
      <c r="I1304" t="e">
        <f t="shared" si="161"/>
        <v>#N/A</v>
      </c>
      <c r="J1304" t="e">
        <f t="shared" si="156"/>
        <v>#N/A</v>
      </c>
      <c r="K1304" s="27" t="e">
        <f t="shared" si="157"/>
        <v>#N/A</v>
      </c>
    </row>
    <row r="1305" spans="1:11">
      <c r="A1305" s="26">
        <v>1255</v>
      </c>
      <c r="B1305" s="82" t="e">
        <f t="shared" si="158"/>
        <v>#N/A</v>
      </c>
      <c r="C1305" s="58" t="e">
        <f t="shared" si="162"/>
        <v>#N/A</v>
      </c>
      <c r="D1305" s="83" t="e">
        <f t="shared" si="159"/>
        <v>#N/A</v>
      </c>
      <c r="E1305" t="e">
        <f t="shared" si="155"/>
        <v>#N/A</v>
      </c>
      <c r="G1305">
        <v>1255</v>
      </c>
      <c r="H1305" s="13" t="e">
        <f t="shared" si="160"/>
        <v>#N/A</v>
      </c>
      <c r="I1305" t="e">
        <f t="shared" si="161"/>
        <v>#N/A</v>
      </c>
      <c r="J1305" t="e">
        <f t="shared" si="156"/>
        <v>#N/A</v>
      </c>
      <c r="K1305" s="27" t="e">
        <f t="shared" si="157"/>
        <v>#N/A</v>
      </c>
    </row>
    <row r="1306" spans="1:11">
      <c r="A1306" s="26">
        <v>1256</v>
      </c>
      <c r="B1306" s="82" t="e">
        <f t="shared" si="158"/>
        <v>#N/A</v>
      </c>
      <c r="C1306" s="58" t="e">
        <f t="shared" si="162"/>
        <v>#N/A</v>
      </c>
      <c r="D1306" s="83" t="e">
        <f t="shared" si="159"/>
        <v>#N/A</v>
      </c>
      <c r="E1306" t="e">
        <f t="shared" si="155"/>
        <v>#N/A</v>
      </c>
      <c r="G1306">
        <v>1256</v>
      </c>
      <c r="H1306" s="13" t="e">
        <f t="shared" si="160"/>
        <v>#N/A</v>
      </c>
      <c r="I1306" t="e">
        <f t="shared" si="161"/>
        <v>#N/A</v>
      </c>
      <c r="J1306" t="e">
        <f t="shared" si="156"/>
        <v>#N/A</v>
      </c>
      <c r="K1306" s="27" t="e">
        <f t="shared" si="157"/>
        <v>#N/A</v>
      </c>
    </row>
    <row r="1307" spans="1:11">
      <c r="A1307" s="26">
        <v>1257</v>
      </c>
      <c r="B1307" s="82" t="e">
        <f t="shared" si="158"/>
        <v>#N/A</v>
      </c>
      <c r="C1307" s="58" t="e">
        <f t="shared" si="162"/>
        <v>#N/A</v>
      </c>
      <c r="D1307" s="83" t="e">
        <f t="shared" si="159"/>
        <v>#N/A</v>
      </c>
      <c r="E1307" t="e">
        <f t="shared" si="155"/>
        <v>#N/A</v>
      </c>
      <c r="G1307">
        <v>1257</v>
      </c>
      <c r="H1307" s="13" t="e">
        <f t="shared" si="160"/>
        <v>#N/A</v>
      </c>
      <c r="I1307" t="e">
        <f t="shared" si="161"/>
        <v>#N/A</v>
      </c>
      <c r="J1307" t="e">
        <f t="shared" si="156"/>
        <v>#N/A</v>
      </c>
      <c r="K1307" s="27" t="e">
        <f t="shared" si="157"/>
        <v>#N/A</v>
      </c>
    </row>
    <row r="1308" spans="1:11">
      <c r="A1308" s="26">
        <v>1258</v>
      </c>
      <c r="B1308" s="82" t="e">
        <f t="shared" si="158"/>
        <v>#N/A</v>
      </c>
      <c r="C1308" s="58" t="e">
        <f t="shared" si="162"/>
        <v>#N/A</v>
      </c>
      <c r="D1308" s="83" t="e">
        <f t="shared" si="159"/>
        <v>#N/A</v>
      </c>
      <c r="E1308" t="e">
        <f t="shared" si="155"/>
        <v>#N/A</v>
      </c>
      <c r="G1308">
        <v>1258</v>
      </c>
      <c r="H1308" s="13" t="e">
        <f t="shared" si="160"/>
        <v>#N/A</v>
      </c>
      <c r="I1308" t="e">
        <f t="shared" si="161"/>
        <v>#N/A</v>
      </c>
      <c r="J1308" t="e">
        <f t="shared" si="156"/>
        <v>#N/A</v>
      </c>
      <c r="K1308" s="27" t="e">
        <f t="shared" si="157"/>
        <v>#N/A</v>
      </c>
    </row>
    <row r="1309" spans="1:11">
      <c r="A1309" s="26">
        <v>1259</v>
      </c>
      <c r="B1309" s="82" t="e">
        <f t="shared" si="158"/>
        <v>#N/A</v>
      </c>
      <c r="C1309" s="58" t="e">
        <f t="shared" si="162"/>
        <v>#N/A</v>
      </c>
      <c r="D1309" s="83" t="e">
        <f t="shared" si="159"/>
        <v>#N/A</v>
      </c>
      <c r="E1309" t="e">
        <f t="shared" si="155"/>
        <v>#N/A</v>
      </c>
      <c r="G1309">
        <v>1259</v>
      </c>
      <c r="H1309" s="13" t="e">
        <f t="shared" si="160"/>
        <v>#N/A</v>
      </c>
      <c r="I1309" t="e">
        <f t="shared" si="161"/>
        <v>#N/A</v>
      </c>
      <c r="J1309" t="e">
        <f t="shared" si="156"/>
        <v>#N/A</v>
      </c>
      <c r="K1309" s="27" t="e">
        <f t="shared" si="157"/>
        <v>#N/A</v>
      </c>
    </row>
    <row r="1310" spans="1:11">
      <c r="A1310" s="26">
        <v>1260</v>
      </c>
      <c r="B1310" s="82" t="e">
        <f t="shared" si="158"/>
        <v>#N/A</v>
      </c>
      <c r="C1310" s="58" t="e">
        <f t="shared" si="162"/>
        <v>#N/A</v>
      </c>
      <c r="D1310" s="83" t="e">
        <f t="shared" si="159"/>
        <v>#N/A</v>
      </c>
      <c r="E1310" t="e">
        <f t="shared" si="155"/>
        <v>#N/A</v>
      </c>
      <c r="G1310">
        <v>1260</v>
      </c>
      <c r="H1310" s="13" t="e">
        <f t="shared" si="160"/>
        <v>#N/A</v>
      </c>
      <c r="I1310" t="e">
        <f t="shared" si="161"/>
        <v>#N/A</v>
      </c>
      <c r="J1310" t="e">
        <f t="shared" si="156"/>
        <v>#N/A</v>
      </c>
      <c r="K1310" s="27" t="e">
        <f t="shared" si="157"/>
        <v>#N/A</v>
      </c>
    </row>
    <row r="1311" spans="1:11">
      <c r="A1311" s="26">
        <v>1261</v>
      </c>
      <c r="B1311" s="82" t="e">
        <f t="shared" si="158"/>
        <v>#N/A</v>
      </c>
      <c r="C1311" s="58" t="e">
        <f t="shared" si="162"/>
        <v>#N/A</v>
      </c>
      <c r="D1311" s="83" t="e">
        <f t="shared" si="159"/>
        <v>#N/A</v>
      </c>
      <c r="E1311" t="e">
        <f t="shared" si="155"/>
        <v>#N/A</v>
      </c>
      <c r="G1311">
        <v>1261</v>
      </c>
      <c r="H1311" s="13" t="e">
        <f t="shared" si="160"/>
        <v>#N/A</v>
      </c>
      <c r="I1311" t="e">
        <f t="shared" si="161"/>
        <v>#N/A</v>
      </c>
      <c r="J1311" t="e">
        <f t="shared" si="156"/>
        <v>#N/A</v>
      </c>
      <c r="K1311" s="27" t="e">
        <f t="shared" si="157"/>
        <v>#N/A</v>
      </c>
    </row>
    <row r="1312" spans="1:11">
      <c r="A1312" s="26">
        <v>1262</v>
      </c>
      <c r="B1312" s="82" t="e">
        <f t="shared" si="158"/>
        <v>#N/A</v>
      </c>
      <c r="C1312" s="58" t="e">
        <f t="shared" si="162"/>
        <v>#N/A</v>
      </c>
      <c r="D1312" s="83" t="e">
        <f t="shared" si="159"/>
        <v>#N/A</v>
      </c>
      <c r="E1312" t="e">
        <f t="shared" si="155"/>
        <v>#N/A</v>
      </c>
      <c r="G1312">
        <v>1262</v>
      </c>
      <c r="H1312" s="13" t="e">
        <f t="shared" si="160"/>
        <v>#N/A</v>
      </c>
      <c r="I1312" t="e">
        <f t="shared" si="161"/>
        <v>#N/A</v>
      </c>
      <c r="J1312" t="e">
        <f t="shared" si="156"/>
        <v>#N/A</v>
      </c>
      <c r="K1312" s="27" t="e">
        <f t="shared" si="157"/>
        <v>#N/A</v>
      </c>
    </row>
    <row r="1313" spans="1:11">
      <c r="A1313" s="26">
        <v>1263</v>
      </c>
      <c r="B1313" s="82" t="e">
        <f t="shared" si="158"/>
        <v>#N/A</v>
      </c>
      <c r="C1313" s="58" t="e">
        <f t="shared" si="162"/>
        <v>#N/A</v>
      </c>
      <c r="D1313" s="83" t="e">
        <f t="shared" si="159"/>
        <v>#N/A</v>
      </c>
      <c r="E1313" t="e">
        <f t="shared" si="155"/>
        <v>#N/A</v>
      </c>
      <c r="G1313">
        <v>1263</v>
      </c>
      <c r="H1313" s="13" t="e">
        <f t="shared" si="160"/>
        <v>#N/A</v>
      </c>
      <c r="I1313" t="e">
        <f t="shared" si="161"/>
        <v>#N/A</v>
      </c>
      <c r="J1313" t="e">
        <f t="shared" si="156"/>
        <v>#N/A</v>
      </c>
      <c r="K1313" s="27" t="e">
        <f t="shared" si="157"/>
        <v>#N/A</v>
      </c>
    </row>
    <row r="1314" spans="1:11">
      <c r="A1314" s="26">
        <v>1264</v>
      </c>
      <c r="B1314" s="82" t="e">
        <f t="shared" si="158"/>
        <v>#N/A</v>
      </c>
      <c r="C1314" s="58" t="e">
        <f t="shared" si="162"/>
        <v>#N/A</v>
      </c>
      <c r="D1314" s="83" t="e">
        <f t="shared" si="159"/>
        <v>#N/A</v>
      </c>
      <c r="E1314" t="e">
        <f t="shared" si="155"/>
        <v>#N/A</v>
      </c>
      <c r="G1314">
        <v>1264</v>
      </c>
      <c r="H1314" s="13" t="e">
        <f t="shared" si="160"/>
        <v>#N/A</v>
      </c>
      <c r="I1314" t="e">
        <f t="shared" si="161"/>
        <v>#N/A</v>
      </c>
      <c r="J1314" t="e">
        <f t="shared" si="156"/>
        <v>#N/A</v>
      </c>
      <c r="K1314" s="27" t="e">
        <f t="shared" si="157"/>
        <v>#N/A</v>
      </c>
    </row>
    <row r="1315" spans="1:11">
      <c r="A1315" s="26">
        <v>1265</v>
      </c>
      <c r="B1315" s="82" t="e">
        <f t="shared" si="158"/>
        <v>#N/A</v>
      </c>
      <c r="C1315" s="58" t="e">
        <f t="shared" si="162"/>
        <v>#N/A</v>
      </c>
      <c r="D1315" s="83" t="e">
        <f t="shared" si="159"/>
        <v>#N/A</v>
      </c>
      <c r="E1315" t="e">
        <f t="shared" si="155"/>
        <v>#N/A</v>
      </c>
      <c r="G1315">
        <v>1265</v>
      </c>
      <c r="H1315" s="13" t="e">
        <f t="shared" si="160"/>
        <v>#N/A</v>
      </c>
      <c r="I1315" t="e">
        <f t="shared" si="161"/>
        <v>#N/A</v>
      </c>
      <c r="J1315" t="e">
        <f t="shared" si="156"/>
        <v>#N/A</v>
      </c>
      <c r="K1315" s="27" t="e">
        <f t="shared" si="157"/>
        <v>#N/A</v>
      </c>
    </row>
    <row r="1316" spans="1:11">
      <c r="A1316" s="26">
        <v>1266</v>
      </c>
      <c r="B1316" s="82" t="e">
        <f t="shared" si="158"/>
        <v>#N/A</v>
      </c>
      <c r="C1316" s="58" t="e">
        <f t="shared" si="162"/>
        <v>#N/A</v>
      </c>
      <c r="D1316" s="83" t="e">
        <f t="shared" si="159"/>
        <v>#N/A</v>
      </c>
      <c r="E1316" t="e">
        <f t="shared" si="155"/>
        <v>#N/A</v>
      </c>
      <c r="G1316">
        <v>1266</v>
      </c>
      <c r="H1316" s="13" t="e">
        <f t="shared" si="160"/>
        <v>#N/A</v>
      </c>
      <c r="I1316" t="e">
        <f t="shared" si="161"/>
        <v>#N/A</v>
      </c>
      <c r="J1316" t="e">
        <f t="shared" si="156"/>
        <v>#N/A</v>
      </c>
      <c r="K1316" s="27" t="e">
        <f t="shared" si="157"/>
        <v>#N/A</v>
      </c>
    </row>
    <row r="1317" spans="1:11">
      <c r="A1317" s="26">
        <v>1267</v>
      </c>
      <c r="B1317" s="82" t="e">
        <f t="shared" si="158"/>
        <v>#N/A</v>
      </c>
      <c r="C1317" s="58" t="e">
        <f t="shared" si="162"/>
        <v>#N/A</v>
      </c>
      <c r="D1317" s="83" t="e">
        <f t="shared" si="159"/>
        <v>#N/A</v>
      </c>
      <c r="E1317" t="e">
        <f t="shared" si="155"/>
        <v>#N/A</v>
      </c>
      <c r="G1317">
        <v>1267</v>
      </c>
      <c r="H1317" s="13" t="e">
        <f t="shared" si="160"/>
        <v>#N/A</v>
      </c>
      <c r="I1317" t="e">
        <f t="shared" si="161"/>
        <v>#N/A</v>
      </c>
      <c r="J1317" t="e">
        <f t="shared" si="156"/>
        <v>#N/A</v>
      </c>
      <c r="K1317" s="27" t="e">
        <f t="shared" si="157"/>
        <v>#N/A</v>
      </c>
    </row>
    <row r="1318" spans="1:11">
      <c r="A1318" s="26">
        <v>1268</v>
      </c>
      <c r="B1318" s="82" t="e">
        <f t="shared" si="158"/>
        <v>#N/A</v>
      </c>
      <c r="C1318" s="58" t="e">
        <f t="shared" si="162"/>
        <v>#N/A</v>
      </c>
      <c r="D1318" s="83" t="e">
        <f t="shared" si="159"/>
        <v>#N/A</v>
      </c>
      <c r="E1318" t="e">
        <f t="shared" si="155"/>
        <v>#N/A</v>
      </c>
      <c r="G1318">
        <v>1268</v>
      </c>
      <c r="H1318" s="13" t="e">
        <f t="shared" si="160"/>
        <v>#N/A</v>
      </c>
      <c r="I1318" t="e">
        <f t="shared" si="161"/>
        <v>#N/A</v>
      </c>
      <c r="J1318" t="e">
        <f t="shared" si="156"/>
        <v>#N/A</v>
      </c>
      <c r="K1318" s="27" t="e">
        <f t="shared" si="157"/>
        <v>#N/A</v>
      </c>
    </row>
    <row r="1319" spans="1:11">
      <c r="A1319" s="26">
        <v>1269</v>
      </c>
      <c r="B1319" s="82" t="e">
        <f t="shared" si="158"/>
        <v>#N/A</v>
      </c>
      <c r="C1319" s="58" t="e">
        <f t="shared" si="162"/>
        <v>#N/A</v>
      </c>
      <c r="D1319" s="83" t="e">
        <f t="shared" si="159"/>
        <v>#N/A</v>
      </c>
      <c r="E1319" t="e">
        <f t="shared" si="155"/>
        <v>#N/A</v>
      </c>
      <c r="G1319">
        <v>1269</v>
      </c>
      <c r="H1319" s="13" t="e">
        <f t="shared" si="160"/>
        <v>#N/A</v>
      </c>
      <c r="I1319" t="e">
        <f t="shared" si="161"/>
        <v>#N/A</v>
      </c>
      <c r="J1319" t="e">
        <f t="shared" si="156"/>
        <v>#N/A</v>
      </c>
      <c r="K1319" s="27" t="e">
        <f t="shared" si="157"/>
        <v>#N/A</v>
      </c>
    </row>
    <row r="1320" spans="1:11">
      <c r="A1320" s="26">
        <v>1270</v>
      </c>
      <c r="B1320" s="82" t="e">
        <f t="shared" si="158"/>
        <v>#N/A</v>
      </c>
      <c r="C1320" s="58" t="e">
        <f t="shared" si="162"/>
        <v>#N/A</v>
      </c>
      <c r="D1320" s="83" t="e">
        <f t="shared" si="159"/>
        <v>#N/A</v>
      </c>
      <c r="E1320" t="e">
        <f t="shared" si="155"/>
        <v>#N/A</v>
      </c>
      <c r="G1320">
        <v>1270</v>
      </c>
      <c r="H1320" s="13" t="e">
        <f t="shared" si="160"/>
        <v>#N/A</v>
      </c>
      <c r="I1320" t="e">
        <f t="shared" si="161"/>
        <v>#N/A</v>
      </c>
      <c r="J1320" t="e">
        <f t="shared" si="156"/>
        <v>#N/A</v>
      </c>
      <c r="K1320" s="27" t="e">
        <f t="shared" si="157"/>
        <v>#N/A</v>
      </c>
    </row>
    <row r="1321" spans="1:11">
      <c r="A1321" s="26">
        <v>1271</v>
      </c>
      <c r="B1321" s="82" t="e">
        <f t="shared" si="158"/>
        <v>#N/A</v>
      </c>
      <c r="C1321" s="58" t="e">
        <f t="shared" si="162"/>
        <v>#N/A</v>
      </c>
      <c r="D1321" s="83" t="e">
        <f t="shared" si="159"/>
        <v>#N/A</v>
      </c>
      <c r="E1321" t="e">
        <f t="shared" si="155"/>
        <v>#N/A</v>
      </c>
      <c r="G1321">
        <v>1271</v>
      </c>
      <c r="H1321" s="13" t="e">
        <f t="shared" si="160"/>
        <v>#N/A</v>
      </c>
      <c r="I1321" t="e">
        <f t="shared" si="161"/>
        <v>#N/A</v>
      </c>
      <c r="J1321" t="e">
        <f t="shared" si="156"/>
        <v>#N/A</v>
      </c>
      <c r="K1321" s="27" t="e">
        <f t="shared" si="157"/>
        <v>#N/A</v>
      </c>
    </row>
    <row r="1322" spans="1:11">
      <c r="A1322" s="26">
        <v>1272</v>
      </c>
      <c r="B1322" s="82" t="e">
        <f t="shared" si="158"/>
        <v>#N/A</v>
      </c>
      <c r="C1322" s="58" t="e">
        <f t="shared" si="162"/>
        <v>#N/A</v>
      </c>
      <c r="D1322" s="83" t="e">
        <f t="shared" si="159"/>
        <v>#N/A</v>
      </c>
      <c r="E1322" t="e">
        <f t="shared" si="155"/>
        <v>#N/A</v>
      </c>
      <c r="G1322">
        <v>1272</v>
      </c>
      <c r="H1322" s="13" t="e">
        <f t="shared" si="160"/>
        <v>#N/A</v>
      </c>
      <c r="I1322" t="e">
        <f t="shared" si="161"/>
        <v>#N/A</v>
      </c>
      <c r="J1322" t="e">
        <f t="shared" si="156"/>
        <v>#N/A</v>
      </c>
      <c r="K1322" s="27" t="e">
        <f t="shared" si="157"/>
        <v>#N/A</v>
      </c>
    </row>
    <row r="1323" spans="1:11">
      <c r="A1323" s="26">
        <v>1273</v>
      </c>
      <c r="B1323" s="82" t="e">
        <f t="shared" si="158"/>
        <v>#N/A</v>
      </c>
      <c r="C1323" s="58" t="e">
        <f t="shared" si="162"/>
        <v>#N/A</v>
      </c>
      <c r="D1323" s="83" t="e">
        <f t="shared" si="159"/>
        <v>#N/A</v>
      </c>
      <c r="E1323" t="e">
        <f t="shared" si="155"/>
        <v>#N/A</v>
      </c>
      <c r="G1323">
        <v>1273</v>
      </c>
      <c r="H1323" s="13" t="e">
        <f t="shared" si="160"/>
        <v>#N/A</v>
      </c>
      <c r="I1323" t="e">
        <f t="shared" si="161"/>
        <v>#N/A</v>
      </c>
      <c r="J1323" t="e">
        <f t="shared" si="156"/>
        <v>#N/A</v>
      </c>
      <c r="K1323" s="27" t="e">
        <f t="shared" si="157"/>
        <v>#N/A</v>
      </c>
    </row>
    <row r="1324" spans="1:11">
      <c r="A1324" s="26">
        <v>1274</v>
      </c>
      <c r="B1324" s="82" t="e">
        <f t="shared" si="158"/>
        <v>#N/A</v>
      </c>
      <c r="C1324" s="58" t="e">
        <f t="shared" si="162"/>
        <v>#N/A</v>
      </c>
      <c r="D1324" s="83" t="e">
        <f t="shared" si="159"/>
        <v>#N/A</v>
      </c>
      <c r="E1324" t="e">
        <f t="shared" si="155"/>
        <v>#N/A</v>
      </c>
      <c r="G1324">
        <v>1274</v>
      </c>
      <c r="H1324" s="13" t="e">
        <f t="shared" si="160"/>
        <v>#N/A</v>
      </c>
      <c r="I1324" t="e">
        <f t="shared" si="161"/>
        <v>#N/A</v>
      </c>
      <c r="J1324" t="e">
        <f t="shared" si="156"/>
        <v>#N/A</v>
      </c>
      <c r="K1324" s="27" t="e">
        <f t="shared" si="157"/>
        <v>#N/A</v>
      </c>
    </row>
    <row r="1325" spans="1:11">
      <c r="A1325" s="26">
        <v>1275</v>
      </c>
      <c r="B1325" s="82" t="e">
        <f t="shared" si="158"/>
        <v>#N/A</v>
      </c>
      <c r="C1325" s="58" t="e">
        <f t="shared" si="162"/>
        <v>#N/A</v>
      </c>
      <c r="D1325" s="83" t="e">
        <f t="shared" si="159"/>
        <v>#N/A</v>
      </c>
      <c r="E1325" t="e">
        <f t="shared" si="155"/>
        <v>#N/A</v>
      </c>
      <c r="G1325">
        <v>1275</v>
      </c>
      <c r="H1325" s="13" t="e">
        <f t="shared" si="160"/>
        <v>#N/A</v>
      </c>
      <c r="I1325" t="e">
        <f t="shared" si="161"/>
        <v>#N/A</v>
      </c>
      <c r="J1325" t="e">
        <f t="shared" si="156"/>
        <v>#N/A</v>
      </c>
      <c r="K1325" s="27" t="e">
        <f t="shared" si="157"/>
        <v>#N/A</v>
      </c>
    </row>
    <row r="1326" spans="1:11">
      <c r="A1326" s="26">
        <v>1276</v>
      </c>
      <c r="B1326" s="82" t="e">
        <f t="shared" si="158"/>
        <v>#N/A</v>
      </c>
      <c r="C1326" s="58" t="e">
        <f t="shared" si="162"/>
        <v>#N/A</v>
      </c>
      <c r="D1326" s="83" t="e">
        <f t="shared" si="159"/>
        <v>#N/A</v>
      </c>
      <c r="E1326" t="e">
        <f t="shared" si="155"/>
        <v>#N/A</v>
      </c>
      <c r="G1326">
        <v>1276</v>
      </c>
      <c r="H1326" s="13" t="e">
        <f t="shared" si="160"/>
        <v>#N/A</v>
      </c>
      <c r="I1326" t="e">
        <f t="shared" si="161"/>
        <v>#N/A</v>
      </c>
      <c r="J1326" t="e">
        <f t="shared" si="156"/>
        <v>#N/A</v>
      </c>
      <c r="K1326" s="27" t="e">
        <f t="shared" si="157"/>
        <v>#N/A</v>
      </c>
    </row>
    <row r="1327" spans="1:11">
      <c r="A1327" s="26">
        <v>1277</v>
      </c>
      <c r="B1327" s="82" t="e">
        <f t="shared" si="158"/>
        <v>#N/A</v>
      </c>
      <c r="C1327" s="58" t="e">
        <f t="shared" si="162"/>
        <v>#N/A</v>
      </c>
      <c r="D1327" s="83" t="e">
        <f t="shared" si="159"/>
        <v>#N/A</v>
      </c>
      <c r="E1327" t="e">
        <f t="shared" si="155"/>
        <v>#N/A</v>
      </c>
      <c r="G1327">
        <v>1277</v>
      </c>
      <c r="H1327" s="13" t="e">
        <f t="shared" si="160"/>
        <v>#N/A</v>
      </c>
      <c r="I1327" t="e">
        <f t="shared" si="161"/>
        <v>#N/A</v>
      </c>
      <c r="J1327" t="e">
        <f t="shared" si="156"/>
        <v>#N/A</v>
      </c>
      <c r="K1327" s="27" t="e">
        <f t="shared" si="157"/>
        <v>#N/A</v>
      </c>
    </row>
    <row r="1328" spans="1:11">
      <c r="A1328" s="26">
        <v>1278</v>
      </c>
      <c r="B1328" s="82" t="e">
        <f t="shared" si="158"/>
        <v>#N/A</v>
      </c>
      <c r="C1328" s="58" t="e">
        <f t="shared" si="162"/>
        <v>#N/A</v>
      </c>
      <c r="D1328" s="83" t="e">
        <f t="shared" si="159"/>
        <v>#N/A</v>
      </c>
      <c r="E1328" t="e">
        <f t="shared" si="155"/>
        <v>#N/A</v>
      </c>
      <c r="G1328">
        <v>1278</v>
      </c>
      <c r="H1328" s="13" t="e">
        <f t="shared" si="160"/>
        <v>#N/A</v>
      </c>
      <c r="I1328" t="e">
        <f t="shared" si="161"/>
        <v>#N/A</v>
      </c>
      <c r="J1328" t="e">
        <f t="shared" si="156"/>
        <v>#N/A</v>
      </c>
      <c r="K1328" s="27" t="e">
        <f t="shared" si="157"/>
        <v>#N/A</v>
      </c>
    </row>
    <row r="1329" spans="1:11">
      <c r="A1329" s="26">
        <v>1279</v>
      </c>
      <c r="B1329" s="82" t="e">
        <f t="shared" si="158"/>
        <v>#N/A</v>
      </c>
      <c r="C1329" s="58" t="e">
        <f t="shared" si="162"/>
        <v>#N/A</v>
      </c>
      <c r="D1329" s="83" t="e">
        <f t="shared" si="159"/>
        <v>#N/A</v>
      </c>
      <c r="E1329" t="e">
        <f t="shared" si="155"/>
        <v>#N/A</v>
      </c>
      <c r="G1329">
        <v>1279</v>
      </c>
      <c r="H1329" s="13" t="e">
        <f t="shared" si="160"/>
        <v>#N/A</v>
      </c>
      <c r="I1329" t="e">
        <f t="shared" si="161"/>
        <v>#N/A</v>
      </c>
      <c r="J1329" t="e">
        <f t="shared" si="156"/>
        <v>#N/A</v>
      </c>
      <c r="K1329" s="27" t="e">
        <f t="shared" si="157"/>
        <v>#N/A</v>
      </c>
    </row>
    <row r="1330" spans="1:11">
      <c r="A1330" s="26">
        <v>1280</v>
      </c>
      <c r="B1330" s="82" t="e">
        <f t="shared" si="158"/>
        <v>#N/A</v>
      </c>
      <c r="C1330" s="58" t="e">
        <f t="shared" si="162"/>
        <v>#N/A</v>
      </c>
      <c r="D1330" s="83" t="e">
        <f t="shared" si="159"/>
        <v>#N/A</v>
      </c>
      <c r="E1330" t="e">
        <f t="shared" si="155"/>
        <v>#N/A</v>
      </c>
      <c r="G1330">
        <v>1280</v>
      </c>
      <c r="H1330" s="13" t="e">
        <f t="shared" si="160"/>
        <v>#N/A</v>
      </c>
      <c r="I1330" t="e">
        <f t="shared" si="161"/>
        <v>#N/A</v>
      </c>
      <c r="J1330" t="e">
        <f t="shared" si="156"/>
        <v>#N/A</v>
      </c>
      <c r="K1330" s="27" t="e">
        <f t="shared" si="157"/>
        <v>#N/A</v>
      </c>
    </row>
    <row r="1331" spans="1:11">
      <c r="A1331" s="26">
        <v>1281</v>
      </c>
      <c r="B1331" s="82" t="e">
        <f t="shared" si="158"/>
        <v>#N/A</v>
      </c>
      <c r="C1331" s="58" t="e">
        <f t="shared" si="162"/>
        <v>#N/A</v>
      </c>
      <c r="D1331" s="83" t="e">
        <f t="shared" si="159"/>
        <v>#N/A</v>
      </c>
      <c r="E1331" t="e">
        <f t="shared" ref="E1331:E1394" si="163">((D1331^2)+(D1331*D1332)+(D1332^2))*B1332/3</f>
        <v>#N/A</v>
      </c>
      <c r="G1331">
        <v>1281</v>
      </c>
      <c r="H1331" s="13" t="e">
        <f t="shared" si="160"/>
        <v>#N/A</v>
      </c>
      <c r="I1331" t="e">
        <f t="shared" si="161"/>
        <v>#N/A</v>
      </c>
      <c r="J1331" t="e">
        <f t="shared" ref="J1331:J1394" si="164">IF($G$28&lt;$C$14,0,((($C$11^2)-((I1331-$C$13)^2))^0.5)+$C$16)</f>
        <v>#N/A</v>
      </c>
      <c r="K1331" s="27" t="e">
        <f t="shared" ref="K1331:K1394" si="165">((J1331^2)+(J1331*J1332)+(J1332^2))*H1332/3</f>
        <v>#N/A</v>
      </c>
    </row>
    <row r="1332" spans="1:11">
      <c r="A1332" s="26">
        <v>1282</v>
      </c>
      <c r="B1332" s="82" t="e">
        <f t="shared" ref="B1332:B1395" si="166">C1332-C1331</f>
        <v>#N/A</v>
      </c>
      <c r="C1332" s="58" t="e">
        <f t="shared" si="162"/>
        <v>#N/A</v>
      </c>
      <c r="D1332" s="83" t="e">
        <f t="shared" ref="D1332:D1395" si="167">IF($G$28&lt;$C$14,0,((($C$11^2)-((C1332-$C$13)^2))^0.5)+$C$16)</f>
        <v>#N/A</v>
      </c>
      <c r="E1332" t="e">
        <f t="shared" si="163"/>
        <v>#N/A</v>
      </c>
      <c r="G1332">
        <v>1282</v>
      </c>
      <c r="H1332" s="13" t="e">
        <f t="shared" ref="H1332:H1395" si="168">I1332-I1331</f>
        <v>#N/A</v>
      </c>
      <c r="I1332" t="e">
        <f t="shared" ref="I1332:I1395" si="169">($G$27-$C$14)/2000+I1331</f>
        <v>#N/A</v>
      </c>
      <c r="J1332" t="e">
        <f t="shared" si="164"/>
        <v>#N/A</v>
      </c>
      <c r="K1332" s="27" t="e">
        <f t="shared" si="165"/>
        <v>#N/A</v>
      </c>
    </row>
    <row r="1333" spans="1:11">
      <c r="A1333" s="26">
        <v>1283</v>
      </c>
      <c r="B1333" s="82" t="e">
        <f t="shared" si="166"/>
        <v>#N/A</v>
      </c>
      <c r="C1333" s="58" t="e">
        <f t="shared" si="162"/>
        <v>#N/A</v>
      </c>
      <c r="D1333" s="83" t="e">
        <f t="shared" si="167"/>
        <v>#N/A</v>
      </c>
      <c r="E1333" t="e">
        <f t="shared" si="163"/>
        <v>#N/A</v>
      </c>
      <c r="G1333">
        <v>1283</v>
      </c>
      <c r="H1333" s="13" t="e">
        <f t="shared" si="168"/>
        <v>#N/A</v>
      </c>
      <c r="I1333" t="e">
        <f t="shared" si="169"/>
        <v>#N/A</v>
      </c>
      <c r="J1333" t="e">
        <f t="shared" si="164"/>
        <v>#N/A</v>
      </c>
      <c r="K1333" s="27" t="e">
        <f t="shared" si="165"/>
        <v>#N/A</v>
      </c>
    </row>
    <row r="1334" spans="1:11">
      <c r="A1334" s="26">
        <v>1284</v>
      </c>
      <c r="B1334" s="82" t="e">
        <f t="shared" si="166"/>
        <v>#N/A</v>
      </c>
      <c r="C1334" s="58" t="e">
        <f t="shared" si="162"/>
        <v>#N/A</v>
      </c>
      <c r="D1334" s="83" t="e">
        <f t="shared" si="167"/>
        <v>#N/A</v>
      </c>
      <c r="E1334" t="e">
        <f t="shared" si="163"/>
        <v>#N/A</v>
      </c>
      <c r="G1334">
        <v>1284</v>
      </c>
      <c r="H1334" s="13" t="e">
        <f t="shared" si="168"/>
        <v>#N/A</v>
      </c>
      <c r="I1334" t="e">
        <f t="shared" si="169"/>
        <v>#N/A</v>
      </c>
      <c r="J1334" t="e">
        <f t="shared" si="164"/>
        <v>#N/A</v>
      </c>
      <c r="K1334" s="27" t="e">
        <f t="shared" si="165"/>
        <v>#N/A</v>
      </c>
    </row>
    <row r="1335" spans="1:11">
      <c r="A1335" s="26">
        <v>1285</v>
      </c>
      <c r="B1335" s="82" t="e">
        <f t="shared" si="166"/>
        <v>#N/A</v>
      </c>
      <c r="C1335" s="58" t="e">
        <f t="shared" si="162"/>
        <v>#N/A</v>
      </c>
      <c r="D1335" s="83" t="e">
        <f t="shared" si="167"/>
        <v>#N/A</v>
      </c>
      <c r="E1335" t="e">
        <f t="shared" si="163"/>
        <v>#N/A</v>
      </c>
      <c r="G1335">
        <v>1285</v>
      </c>
      <c r="H1335" s="13" t="e">
        <f t="shared" si="168"/>
        <v>#N/A</v>
      </c>
      <c r="I1335" t="e">
        <f t="shared" si="169"/>
        <v>#N/A</v>
      </c>
      <c r="J1335" t="e">
        <f t="shared" si="164"/>
        <v>#N/A</v>
      </c>
      <c r="K1335" s="27" t="e">
        <f t="shared" si="165"/>
        <v>#N/A</v>
      </c>
    </row>
    <row r="1336" spans="1:11">
      <c r="A1336" s="26">
        <v>1286</v>
      </c>
      <c r="B1336" s="82" t="e">
        <f t="shared" si="166"/>
        <v>#N/A</v>
      </c>
      <c r="C1336" s="58" t="e">
        <f t="shared" si="162"/>
        <v>#N/A</v>
      </c>
      <c r="D1336" s="83" t="e">
        <f t="shared" si="167"/>
        <v>#N/A</v>
      </c>
      <c r="E1336" t="e">
        <f t="shared" si="163"/>
        <v>#N/A</v>
      </c>
      <c r="G1336">
        <v>1286</v>
      </c>
      <c r="H1336" s="13" t="e">
        <f t="shared" si="168"/>
        <v>#N/A</v>
      </c>
      <c r="I1336" t="e">
        <f t="shared" si="169"/>
        <v>#N/A</v>
      </c>
      <c r="J1336" t="e">
        <f t="shared" si="164"/>
        <v>#N/A</v>
      </c>
      <c r="K1336" s="27" t="e">
        <f t="shared" si="165"/>
        <v>#N/A</v>
      </c>
    </row>
    <row r="1337" spans="1:11">
      <c r="A1337" s="26">
        <v>1287</v>
      </c>
      <c r="B1337" s="82" t="e">
        <f t="shared" si="166"/>
        <v>#N/A</v>
      </c>
      <c r="C1337" s="58" t="e">
        <f t="shared" si="162"/>
        <v>#N/A</v>
      </c>
      <c r="D1337" s="83" t="e">
        <f t="shared" si="167"/>
        <v>#N/A</v>
      </c>
      <c r="E1337" t="e">
        <f t="shared" si="163"/>
        <v>#N/A</v>
      </c>
      <c r="G1337">
        <v>1287</v>
      </c>
      <c r="H1337" s="13" t="e">
        <f t="shared" si="168"/>
        <v>#N/A</v>
      </c>
      <c r="I1337" t="e">
        <f t="shared" si="169"/>
        <v>#N/A</v>
      </c>
      <c r="J1337" t="e">
        <f t="shared" si="164"/>
        <v>#N/A</v>
      </c>
      <c r="K1337" s="27" t="e">
        <f t="shared" si="165"/>
        <v>#N/A</v>
      </c>
    </row>
    <row r="1338" spans="1:11">
      <c r="A1338" s="26">
        <v>1288</v>
      </c>
      <c r="B1338" s="82" t="e">
        <f t="shared" si="166"/>
        <v>#N/A</v>
      </c>
      <c r="C1338" s="58" t="e">
        <f t="shared" si="162"/>
        <v>#N/A</v>
      </c>
      <c r="D1338" s="83" t="e">
        <f t="shared" si="167"/>
        <v>#N/A</v>
      </c>
      <c r="E1338" t="e">
        <f t="shared" si="163"/>
        <v>#N/A</v>
      </c>
      <c r="G1338">
        <v>1288</v>
      </c>
      <c r="H1338" s="13" t="e">
        <f t="shared" si="168"/>
        <v>#N/A</v>
      </c>
      <c r="I1338" t="e">
        <f t="shared" si="169"/>
        <v>#N/A</v>
      </c>
      <c r="J1338" t="e">
        <f t="shared" si="164"/>
        <v>#N/A</v>
      </c>
      <c r="K1338" s="27" t="e">
        <f t="shared" si="165"/>
        <v>#N/A</v>
      </c>
    </row>
    <row r="1339" spans="1:11">
      <c r="A1339" s="26">
        <v>1289</v>
      </c>
      <c r="B1339" s="82" t="e">
        <f t="shared" si="166"/>
        <v>#N/A</v>
      </c>
      <c r="C1339" s="58" t="e">
        <f t="shared" si="162"/>
        <v>#N/A</v>
      </c>
      <c r="D1339" s="83" t="e">
        <f t="shared" si="167"/>
        <v>#N/A</v>
      </c>
      <c r="E1339" t="e">
        <f t="shared" si="163"/>
        <v>#N/A</v>
      </c>
      <c r="G1339">
        <v>1289</v>
      </c>
      <c r="H1339" s="13" t="e">
        <f t="shared" si="168"/>
        <v>#N/A</v>
      </c>
      <c r="I1339" t="e">
        <f t="shared" si="169"/>
        <v>#N/A</v>
      </c>
      <c r="J1339" t="e">
        <f t="shared" si="164"/>
        <v>#N/A</v>
      </c>
      <c r="K1339" s="27" t="e">
        <f t="shared" si="165"/>
        <v>#N/A</v>
      </c>
    </row>
    <row r="1340" spans="1:11">
      <c r="A1340" s="26">
        <v>1290</v>
      </c>
      <c r="B1340" s="82" t="e">
        <f t="shared" si="166"/>
        <v>#N/A</v>
      </c>
      <c r="C1340" s="58" t="e">
        <f t="shared" si="162"/>
        <v>#N/A</v>
      </c>
      <c r="D1340" s="83" t="e">
        <f t="shared" si="167"/>
        <v>#N/A</v>
      </c>
      <c r="E1340" t="e">
        <f t="shared" si="163"/>
        <v>#N/A</v>
      </c>
      <c r="G1340">
        <v>1290</v>
      </c>
      <c r="H1340" s="13" t="e">
        <f t="shared" si="168"/>
        <v>#N/A</v>
      </c>
      <c r="I1340" t="e">
        <f t="shared" si="169"/>
        <v>#N/A</v>
      </c>
      <c r="J1340" t="e">
        <f t="shared" si="164"/>
        <v>#N/A</v>
      </c>
      <c r="K1340" s="27" t="e">
        <f t="shared" si="165"/>
        <v>#N/A</v>
      </c>
    </row>
    <row r="1341" spans="1:11">
      <c r="A1341" s="26">
        <v>1291</v>
      </c>
      <c r="B1341" s="82" t="e">
        <f t="shared" si="166"/>
        <v>#N/A</v>
      </c>
      <c r="C1341" s="58" t="e">
        <f t="shared" si="162"/>
        <v>#N/A</v>
      </c>
      <c r="D1341" s="83" t="e">
        <f t="shared" si="167"/>
        <v>#N/A</v>
      </c>
      <c r="E1341" t="e">
        <f t="shared" si="163"/>
        <v>#N/A</v>
      </c>
      <c r="G1341">
        <v>1291</v>
      </c>
      <c r="H1341" s="13" t="e">
        <f t="shared" si="168"/>
        <v>#N/A</v>
      </c>
      <c r="I1341" t="e">
        <f t="shared" si="169"/>
        <v>#N/A</v>
      </c>
      <c r="J1341" t="e">
        <f t="shared" si="164"/>
        <v>#N/A</v>
      </c>
      <c r="K1341" s="27" t="e">
        <f t="shared" si="165"/>
        <v>#N/A</v>
      </c>
    </row>
    <row r="1342" spans="1:11">
      <c r="A1342" s="26">
        <v>1292</v>
      </c>
      <c r="B1342" s="82" t="e">
        <f t="shared" si="166"/>
        <v>#N/A</v>
      </c>
      <c r="C1342" s="58" t="e">
        <f t="shared" si="162"/>
        <v>#N/A</v>
      </c>
      <c r="D1342" s="83" t="e">
        <f t="shared" si="167"/>
        <v>#N/A</v>
      </c>
      <c r="E1342" t="e">
        <f t="shared" si="163"/>
        <v>#N/A</v>
      </c>
      <c r="G1342">
        <v>1292</v>
      </c>
      <c r="H1342" s="13" t="e">
        <f t="shared" si="168"/>
        <v>#N/A</v>
      </c>
      <c r="I1342" t="e">
        <f t="shared" si="169"/>
        <v>#N/A</v>
      </c>
      <c r="J1342" t="e">
        <f t="shared" si="164"/>
        <v>#N/A</v>
      </c>
      <c r="K1342" s="27" t="e">
        <f t="shared" si="165"/>
        <v>#N/A</v>
      </c>
    </row>
    <row r="1343" spans="1:11">
      <c r="A1343" s="26">
        <v>1293</v>
      </c>
      <c r="B1343" s="82" t="e">
        <f t="shared" si="166"/>
        <v>#N/A</v>
      </c>
      <c r="C1343" s="58" t="e">
        <f t="shared" si="162"/>
        <v>#N/A</v>
      </c>
      <c r="D1343" s="83" t="e">
        <f t="shared" si="167"/>
        <v>#N/A</v>
      </c>
      <c r="E1343" t="e">
        <f t="shared" si="163"/>
        <v>#N/A</v>
      </c>
      <c r="G1343">
        <v>1293</v>
      </c>
      <c r="H1343" s="13" t="e">
        <f t="shared" si="168"/>
        <v>#N/A</v>
      </c>
      <c r="I1343" t="e">
        <f t="shared" si="169"/>
        <v>#N/A</v>
      </c>
      <c r="J1343" t="e">
        <f t="shared" si="164"/>
        <v>#N/A</v>
      </c>
      <c r="K1343" s="27" t="e">
        <f t="shared" si="165"/>
        <v>#N/A</v>
      </c>
    </row>
    <row r="1344" spans="1:11">
      <c r="A1344" s="26">
        <v>1294</v>
      </c>
      <c r="B1344" s="82" t="e">
        <f t="shared" si="166"/>
        <v>#N/A</v>
      </c>
      <c r="C1344" s="58" t="e">
        <f t="shared" si="162"/>
        <v>#N/A</v>
      </c>
      <c r="D1344" s="83" t="e">
        <f t="shared" si="167"/>
        <v>#N/A</v>
      </c>
      <c r="E1344" t="e">
        <f t="shared" si="163"/>
        <v>#N/A</v>
      </c>
      <c r="G1344">
        <v>1294</v>
      </c>
      <c r="H1344" s="13" t="e">
        <f t="shared" si="168"/>
        <v>#N/A</v>
      </c>
      <c r="I1344" t="e">
        <f t="shared" si="169"/>
        <v>#N/A</v>
      </c>
      <c r="J1344" t="e">
        <f t="shared" si="164"/>
        <v>#N/A</v>
      </c>
      <c r="K1344" s="27" t="e">
        <f t="shared" si="165"/>
        <v>#N/A</v>
      </c>
    </row>
    <row r="1345" spans="1:11">
      <c r="A1345" s="26">
        <v>1295</v>
      </c>
      <c r="B1345" s="82" t="e">
        <f t="shared" si="166"/>
        <v>#N/A</v>
      </c>
      <c r="C1345" s="58" t="e">
        <f t="shared" si="162"/>
        <v>#N/A</v>
      </c>
      <c r="D1345" s="83" t="e">
        <f t="shared" si="167"/>
        <v>#N/A</v>
      </c>
      <c r="E1345" t="e">
        <f t="shared" si="163"/>
        <v>#N/A</v>
      </c>
      <c r="G1345">
        <v>1295</v>
      </c>
      <c r="H1345" s="13" t="e">
        <f t="shared" si="168"/>
        <v>#N/A</v>
      </c>
      <c r="I1345" t="e">
        <f t="shared" si="169"/>
        <v>#N/A</v>
      </c>
      <c r="J1345" t="e">
        <f t="shared" si="164"/>
        <v>#N/A</v>
      </c>
      <c r="K1345" s="27" t="e">
        <f t="shared" si="165"/>
        <v>#N/A</v>
      </c>
    </row>
    <row r="1346" spans="1:11">
      <c r="A1346" s="26">
        <v>1296</v>
      </c>
      <c r="B1346" s="82" t="e">
        <f t="shared" si="166"/>
        <v>#N/A</v>
      </c>
      <c r="C1346" s="58" t="e">
        <f t="shared" si="162"/>
        <v>#N/A</v>
      </c>
      <c r="D1346" s="83" t="e">
        <f t="shared" si="167"/>
        <v>#N/A</v>
      </c>
      <c r="E1346" t="e">
        <f t="shared" si="163"/>
        <v>#N/A</v>
      </c>
      <c r="G1346">
        <v>1296</v>
      </c>
      <c r="H1346" s="13" t="e">
        <f t="shared" si="168"/>
        <v>#N/A</v>
      </c>
      <c r="I1346" t="e">
        <f t="shared" si="169"/>
        <v>#N/A</v>
      </c>
      <c r="J1346" t="e">
        <f t="shared" si="164"/>
        <v>#N/A</v>
      </c>
      <c r="K1346" s="27" t="e">
        <f t="shared" si="165"/>
        <v>#N/A</v>
      </c>
    </row>
    <row r="1347" spans="1:11">
      <c r="A1347" s="26">
        <v>1297</v>
      </c>
      <c r="B1347" s="82" t="e">
        <f t="shared" si="166"/>
        <v>#N/A</v>
      </c>
      <c r="C1347" s="58" t="e">
        <f t="shared" si="162"/>
        <v>#N/A</v>
      </c>
      <c r="D1347" s="83" t="e">
        <f t="shared" si="167"/>
        <v>#N/A</v>
      </c>
      <c r="E1347" t="e">
        <f t="shared" si="163"/>
        <v>#N/A</v>
      </c>
      <c r="G1347">
        <v>1297</v>
      </c>
      <c r="H1347" s="13" t="e">
        <f t="shared" si="168"/>
        <v>#N/A</v>
      </c>
      <c r="I1347" t="e">
        <f t="shared" si="169"/>
        <v>#N/A</v>
      </c>
      <c r="J1347" t="e">
        <f t="shared" si="164"/>
        <v>#N/A</v>
      </c>
      <c r="K1347" s="27" t="e">
        <f t="shared" si="165"/>
        <v>#N/A</v>
      </c>
    </row>
    <row r="1348" spans="1:11">
      <c r="A1348" s="26">
        <v>1298</v>
      </c>
      <c r="B1348" s="82" t="e">
        <f t="shared" si="166"/>
        <v>#N/A</v>
      </c>
      <c r="C1348" s="58" t="e">
        <f t="shared" si="162"/>
        <v>#N/A</v>
      </c>
      <c r="D1348" s="83" t="e">
        <f t="shared" si="167"/>
        <v>#N/A</v>
      </c>
      <c r="E1348" t="e">
        <f t="shared" si="163"/>
        <v>#N/A</v>
      </c>
      <c r="G1348">
        <v>1298</v>
      </c>
      <c r="H1348" s="13" t="e">
        <f t="shared" si="168"/>
        <v>#N/A</v>
      </c>
      <c r="I1348" t="e">
        <f t="shared" si="169"/>
        <v>#N/A</v>
      </c>
      <c r="J1348" t="e">
        <f t="shared" si="164"/>
        <v>#N/A</v>
      </c>
      <c r="K1348" s="27" t="e">
        <f t="shared" si="165"/>
        <v>#N/A</v>
      </c>
    </row>
    <row r="1349" spans="1:11">
      <c r="A1349" s="26">
        <v>1299</v>
      </c>
      <c r="B1349" s="82" t="e">
        <f t="shared" si="166"/>
        <v>#N/A</v>
      </c>
      <c r="C1349" s="58" t="e">
        <f t="shared" si="162"/>
        <v>#N/A</v>
      </c>
      <c r="D1349" s="83" t="e">
        <f t="shared" si="167"/>
        <v>#N/A</v>
      </c>
      <c r="E1349" t="e">
        <f t="shared" si="163"/>
        <v>#N/A</v>
      </c>
      <c r="G1349">
        <v>1299</v>
      </c>
      <c r="H1349" s="13" t="e">
        <f t="shared" si="168"/>
        <v>#N/A</v>
      </c>
      <c r="I1349" t="e">
        <f t="shared" si="169"/>
        <v>#N/A</v>
      </c>
      <c r="J1349" t="e">
        <f t="shared" si="164"/>
        <v>#N/A</v>
      </c>
      <c r="K1349" s="27" t="e">
        <f t="shared" si="165"/>
        <v>#N/A</v>
      </c>
    </row>
    <row r="1350" spans="1:11">
      <c r="A1350" s="26">
        <v>1300</v>
      </c>
      <c r="B1350" s="82" t="e">
        <f t="shared" si="166"/>
        <v>#N/A</v>
      </c>
      <c r="C1350" s="58" t="e">
        <f t="shared" si="162"/>
        <v>#N/A</v>
      </c>
      <c r="D1350" s="83" t="e">
        <f t="shared" si="167"/>
        <v>#N/A</v>
      </c>
      <c r="E1350" t="e">
        <f t="shared" si="163"/>
        <v>#N/A</v>
      </c>
      <c r="G1350">
        <v>1300</v>
      </c>
      <c r="H1350" s="13" t="e">
        <f t="shared" si="168"/>
        <v>#N/A</v>
      </c>
      <c r="I1350" t="e">
        <f t="shared" si="169"/>
        <v>#N/A</v>
      </c>
      <c r="J1350" t="e">
        <f t="shared" si="164"/>
        <v>#N/A</v>
      </c>
      <c r="K1350" s="27" t="e">
        <f t="shared" si="165"/>
        <v>#N/A</v>
      </c>
    </row>
    <row r="1351" spans="1:11">
      <c r="A1351" s="26">
        <v>1301</v>
      </c>
      <c r="B1351" s="82" t="e">
        <f t="shared" si="166"/>
        <v>#N/A</v>
      </c>
      <c r="C1351" s="58" t="e">
        <f t="shared" si="162"/>
        <v>#N/A</v>
      </c>
      <c r="D1351" s="83" t="e">
        <f t="shared" si="167"/>
        <v>#N/A</v>
      </c>
      <c r="E1351" t="e">
        <f t="shared" si="163"/>
        <v>#N/A</v>
      </c>
      <c r="G1351">
        <v>1301</v>
      </c>
      <c r="H1351" s="13" t="e">
        <f t="shared" si="168"/>
        <v>#N/A</v>
      </c>
      <c r="I1351" t="e">
        <f t="shared" si="169"/>
        <v>#N/A</v>
      </c>
      <c r="J1351" t="e">
        <f t="shared" si="164"/>
        <v>#N/A</v>
      </c>
      <c r="K1351" s="27" t="e">
        <f t="shared" si="165"/>
        <v>#N/A</v>
      </c>
    </row>
    <row r="1352" spans="1:11">
      <c r="A1352" s="26">
        <v>1302</v>
      </c>
      <c r="B1352" s="82" t="e">
        <f t="shared" si="166"/>
        <v>#N/A</v>
      </c>
      <c r="C1352" s="58" t="e">
        <f t="shared" si="162"/>
        <v>#N/A</v>
      </c>
      <c r="D1352" s="83" t="e">
        <f t="shared" si="167"/>
        <v>#N/A</v>
      </c>
      <c r="E1352" t="e">
        <f t="shared" si="163"/>
        <v>#N/A</v>
      </c>
      <c r="G1352">
        <v>1302</v>
      </c>
      <c r="H1352" s="13" t="e">
        <f t="shared" si="168"/>
        <v>#N/A</v>
      </c>
      <c r="I1352" t="e">
        <f t="shared" si="169"/>
        <v>#N/A</v>
      </c>
      <c r="J1352" t="e">
        <f t="shared" si="164"/>
        <v>#N/A</v>
      </c>
      <c r="K1352" s="27" t="e">
        <f t="shared" si="165"/>
        <v>#N/A</v>
      </c>
    </row>
    <row r="1353" spans="1:11">
      <c r="A1353" s="26">
        <v>1303</v>
      </c>
      <c r="B1353" s="82" t="e">
        <f t="shared" si="166"/>
        <v>#N/A</v>
      </c>
      <c r="C1353" s="58" t="e">
        <f t="shared" si="162"/>
        <v>#N/A</v>
      </c>
      <c r="D1353" s="83" t="e">
        <f t="shared" si="167"/>
        <v>#N/A</v>
      </c>
      <c r="E1353" t="e">
        <f t="shared" si="163"/>
        <v>#N/A</v>
      </c>
      <c r="G1353">
        <v>1303</v>
      </c>
      <c r="H1353" s="13" t="e">
        <f t="shared" si="168"/>
        <v>#N/A</v>
      </c>
      <c r="I1353" t="e">
        <f t="shared" si="169"/>
        <v>#N/A</v>
      </c>
      <c r="J1353" t="e">
        <f t="shared" si="164"/>
        <v>#N/A</v>
      </c>
      <c r="K1353" s="27" t="e">
        <f t="shared" si="165"/>
        <v>#N/A</v>
      </c>
    </row>
    <row r="1354" spans="1:11">
      <c r="A1354" s="26">
        <v>1304</v>
      </c>
      <c r="B1354" s="82" t="e">
        <f t="shared" si="166"/>
        <v>#N/A</v>
      </c>
      <c r="C1354" s="58" t="e">
        <f t="shared" si="162"/>
        <v>#N/A</v>
      </c>
      <c r="D1354" s="83" t="e">
        <f t="shared" si="167"/>
        <v>#N/A</v>
      </c>
      <c r="E1354" t="e">
        <f t="shared" si="163"/>
        <v>#N/A</v>
      </c>
      <c r="G1354">
        <v>1304</v>
      </c>
      <c r="H1354" s="13" t="e">
        <f t="shared" si="168"/>
        <v>#N/A</v>
      </c>
      <c r="I1354" t="e">
        <f t="shared" si="169"/>
        <v>#N/A</v>
      </c>
      <c r="J1354" t="e">
        <f t="shared" si="164"/>
        <v>#N/A</v>
      </c>
      <c r="K1354" s="27" t="e">
        <f t="shared" si="165"/>
        <v>#N/A</v>
      </c>
    </row>
    <row r="1355" spans="1:11">
      <c r="A1355" s="26">
        <v>1305</v>
      </c>
      <c r="B1355" s="82" t="e">
        <f t="shared" si="166"/>
        <v>#N/A</v>
      </c>
      <c r="C1355" s="58" t="e">
        <f t="shared" si="162"/>
        <v>#N/A</v>
      </c>
      <c r="D1355" s="83" t="e">
        <f t="shared" si="167"/>
        <v>#N/A</v>
      </c>
      <c r="E1355" t="e">
        <f t="shared" si="163"/>
        <v>#N/A</v>
      </c>
      <c r="G1355">
        <v>1305</v>
      </c>
      <c r="H1355" s="13" t="e">
        <f t="shared" si="168"/>
        <v>#N/A</v>
      </c>
      <c r="I1355" t="e">
        <f t="shared" si="169"/>
        <v>#N/A</v>
      </c>
      <c r="J1355" t="e">
        <f t="shared" si="164"/>
        <v>#N/A</v>
      </c>
      <c r="K1355" s="27" t="e">
        <f t="shared" si="165"/>
        <v>#N/A</v>
      </c>
    </row>
    <row r="1356" spans="1:11">
      <c r="A1356" s="26">
        <v>1306</v>
      </c>
      <c r="B1356" s="82" t="e">
        <f t="shared" si="166"/>
        <v>#N/A</v>
      </c>
      <c r="C1356" s="58" t="e">
        <f t="shared" si="162"/>
        <v>#N/A</v>
      </c>
      <c r="D1356" s="83" t="e">
        <f t="shared" si="167"/>
        <v>#N/A</v>
      </c>
      <c r="E1356" t="e">
        <f t="shared" si="163"/>
        <v>#N/A</v>
      </c>
      <c r="G1356">
        <v>1306</v>
      </c>
      <c r="H1356" s="13" t="e">
        <f t="shared" si="168"/>
        <v>#N/A</v>
      </c>
      <c r="I1356" t="e">
        <f t="shared" si="169"/>
        <v>#N/A</v>
      </c>
      <c r="J1356" t="e">
        <f t="shared" si="164"/>
        <v>#N/A</v>
      </c>
      <c r="K1356" s="27" t="e">
        <f t="shared" si="165"/>
        <v>#N/A</v>
      </c>
    </row>
    <row r="1357" spans="1:11">
      <c r="A1357" s="26">
        <v>1307</v>
      </c>
      <c r="B1357" s="82" t="e">
        <f t="shared" si="166"/>
        <v>#N/A</v>
      </c>
      <c r="C1357" s="58" t="e">
        <f t="shared" si="162"/>
        <v>#N/A</v>
      </c>
      <c r="D1357" s="83" t="e">
        <f t="shared" si="167"/>
        <v>#N/A</v>
      </c>
      <c r="E1357" t="e">
        <f t="shared" si="163"/>
        <v>#N/A</v>
      </c>
      <c r="G1357">
        <v>1307</v>
      </c>
      <c r="H1357" s="13" t="e">
        <f t="shared" si="168"/>
        <v>#N/A</v>
      </c>
      <c r="I1357" t="e">
        <f t="shared" si="169"/>
        <v>#N/A</v>
      </c>
      <c r="J1357" t="e">
        <f t="shared" si="164"/>
        <v>#N/A</v>
      </c>
      <c r="K1357" s="27" t="e">
        <f t="shared" si="165"/>
        <v>#N/A</v>
      </c>
    </row>
    <row r="1358" spans="1:11">
      <c r="A1358" s="26">
        <v>1308</v>
      </c>
      <c r="B1358" s="82" t="e">
        <f t="shared" si="166"/>
        <v>#N/A</v>
      </c>
      <c r="C1358" s="58" t="e">
        <f t="shared" si="162"/>
        <v>#N/A</v>
      </c>
      <c r="D1358" s="83" t="e">
        <f t="shared" si="167"/>
        <v>#N/A</v>
      </c>
      <c r="E1358" t="e">
        <f t="shared" si="163"/>
        <v>#N/A</v>
      </c>
      <c r="G1358">
        <v>1308</v>
      </c>
      <c r="H1358" s="13" t="e">
        <f t="shared" si="168"/>
        <v>#N/A</v>
      </c>
      <c r="I1358" t="e">
        <f t="shared" si="169"/>
        <v>#N/A</v>
      </c>
      <c r="J1358" t="e">
        <f t="shared" si="164"/>
        <v>#N/A</v>
      </c>
      <c r="K1358" s="27" t="e">
        <f t="shared" si="165"/>
        <v>#N/A</v>
      </c>
    </row>
    <row r="1359" spans="1:11">
      <c r="A1359" s="26">
        <v>1309</v>
      </c>
      <c r="B1359" s="82" t="e">
        <f t="shared" si="166"/>
        <v>#N/A</v>
      </c>
      <c r="C1359" s="58" t="e">
        <f t="shared" si="162"/>
        <v>#N/A</v>
      </c>
      <c r="D1359" s="83" t="e">
        <f t="shared" si="167"/>
        <v>#N/A</v>
      </c>
      <c r="E1359" t="e">
        <f t="shared" si="163"/>
        <v>#N/A</v>
      </c>
      <c r="G1359">
        <v>1309</v>
      </c>
      <c r="H1359" s="13" t="e">
        <f t="shared" si="168"/>
        <v>#N/A</v>
      </c>
      <c r="I1359" t="e">
        <f t="shared" si="169"/>
        <v>#N/A</v>
      </c>
      <c r="J1359" t="e">
        <f t="shared" si="164"/>
        <v>#N/A</v>
      </c>
      <c r="K1359" s="27" t="e">
        <f t="shared" si="165"/>
        <v>#N/A</v>
      </c>
    </row>
    <row r="1360" spans="1:11">
      <c r="A1360" s="26">
        <v>1310</v>
      </c>
      <c r="B1360" s="82" t="e">
        <f t="shared" si="166"/>
        <v>#N/A</v>
      </c>
      <c r="C1360" s="58" t="e">
        <f t="shared" ref="C1360:C1423" si="170">($C$37-$C$36)/2000+C1359</f>
        <v>#N/A</v>
      </c>
      <c r="D1360" s="83" t="e">
        <f t="shared" si="167"/>
        <v>#N/A</v>
      </c>
      <c r="E1360" t="e">
        <f t="shared" si="163"/>
        <v>#N/A</v>
      </c>
      <c r="G1360">
        <v>1310</v>
      </c>
      <c r="H1360" s="13" t="e">
        <f t="shared" si="168"/>
        <v>#N/A</v>
      </c>
      <c r="I1360" t="e">
        <f t="shared" si="169"/>
        <v>#N/A</v>
      </c>
      <c r="J1360" t="e">
        <f t="shared" si="164"/>
        <v>#N/A</v>
      </c>
      <c r="K1360" s="27" t="e">
        <f t="shared" si="165"/>
        <v>#N/A</v>
      </c>
    </row>
    <row r="1361" spans="1:11">
      <c r="A1361" s="26">
        <v>1311</v>
      </c>
      <c r="B1361" s="82" t="e">
        <f t="shared" si="166"/>
        <v>#N/A</v>
      </c>
      <c r="C1361" s="58" t="e">
        <f t="shared" si="170"/>
        <v>#N/A</v>
      </c>
      <c r="D1361" s="83" t="e">
        <f t="shared" si="167"/>
        <v>#N/A</v>
      </c>
      <c r="E1361" t="e">
        <f t="shared" si="163"/>
        <v>#N/A</v>
      </c>
      <c r="G1361">
        <v>1311</v>
      </c>
      <c r="H1361" s="13" t="e">
        <f t="shared" si="168"/>
        <v>#N/A</v>
      </c>
      <c r="I1361" t="e">
        <f t="shared" si="169"/>
        <v>#N/A</v>
      </c>
      <c r="J1361" t="e">
        <f t="shared" si="164"/>
        <v>#N/A</v>
      </c>
      <c r="K1361" s="27" t="e">
        <f t="shared" si="165"/>
        <v>#N/A</v>
      </c>
    </row>
    <row r="1362" spans="1:11">
      <c r="A1362" s="26">
        <v>1312</v>
      </c>
      <c r="B1362" s="82" t="e">
        <f t="shared" si="166"/>
        <v>#N/A</v>
      </c>
      <c r="C1362" s="58" t="e">
        <f t="shared" si="170"/>
        <v>#N/A</v>
      </c>
      <c r="D1362" s="83" t="e">
        <f t="shared" si="167"/>
        <v>#N/A</v>
      </c>
      <c r="E1362" t="e">
        <f t="shared" si="163"/>
        <v>#N/A</v>
      </c>
      <c r="G1362">
        <v>1312</v>
      </c>
      <c r="H1362" s="13" t="e">
        <f t="shared" si="168"/>
        <v>#N/A</v>
      </c>
      <c r="I1362" t="e">
        <f t="shared" si="169"/>
        <v>#N/A</v>
      </c>
      <c r="J1362" t="e">
        <f t="shared" si="164"/>
        <v>#N/A</v>
      </c>
      <c r="K1362" s="27" t="e">
        <f t="shared" si="165"/>
        <v>#N/A</v>
      </c>
    </row>
    <row r="1363" spans="1:11">
      <c r="A1363" s="26">
        <v>1313</v>
      </c>
      <c r="B1363" s="82" t="e">
        <f t="shared" si="166"/>
        <v>#N/A</v>
      </c>
      <c r="C1363" s="58" t="e">
        <f t="shared" si="170"/>
        <v>#N/A</v>
      </c>
      <c r="D1363" s="83" t="e">
        <f t="shared" si="167"/>
        <v>#N/A</v>
      </c>
      <c r="E1363" t="e">
        <f t="shared" si="163"/>
        <v>#N/A</v>
      </c>
      <c r="G1363">
        <v>1313</v>
      </c>
      <c r="H1363" s="13" t="e">
        <f t="shared" si="168"/>
        <v>#N/A</v>
      </c>
      <c r="I1363" t="e">
        <f t="shared" si="169"/>
        <v>#N/A</v>
      </c>
      <c r="J1363" t="e">
        <f t="shared" si="164"/>
        <v>#N/A</v>
      </c>
      <c r="K1363" s="27" t="e">
        <f t="shared" si="165"/>
        <v>#N/A</v>
      </c>
    </row>
    <row r="1364" spans="1:11">
      <c r="A1364" s="26">
        <v>1314</v>
      </c>
      <c r="B1364" s="82" t="e">
        <f t="shared" si="166"/>
        <v>#N/A</v>
      </c>
      <c r="C1364" s="58" t="e">
        <f t="shared" si="170"/>
        <v>#N/A</v>
      </c>
      <c r="D1364" s="83" t="e">
        <f t="shared" si="167"/>
        <v>#N/A</v>
      </c>
      <c r="E1364" t="e">
        <f t="shared" si="163"/>
        <v>#N/A</v>
      </c>
      <c r="G1364">
        <v>1314</v>
      </c>
      <c r="H1364" s="13" t="e">
        <f t="shared" si="168"/>
        <v>#N/A</v>
      </c>
      <c r="I1364" t="e">
        <f t="shared" si="169"/>
        <v>#N/A</v>
      </c>
      <c r="J1364" t="e">
        <f t="shared" si="164"/>
        <v>#N/A</v>
      </c>
      <c r="K1364" s="27" t="e">
        <f t="shared" si="165"/>
        <v>#N/A</v>
      </c>
    </row>
    <row r="1365" spans="1:11">
      <c r="A1365" s="26">
        <v>1315</v>
      </c>
      <c r="B1365" s="82" t="e">
        <f t="shared" si="166"/>
        <v>#N/A</v>
      </c>
      <c r="C1365" s="58" t="e">
        <f t="shared" si="170"/>
        <v>#N/A</v>
      </c>
      <c r="D1365" s="83" t="e">
        <f t="shared" si="167"/>
        <v>#N/A</v>
      </c>
      <c r="E1365" t="e">
        <f t="shared" si="163"/>
        <v>#N/A</v>
      </c>
      <c r="G1365">
        <v>1315</v>
      </c>
      <c r="H1365" s="13" t="e">
        <f t="shared" si="168"/>
        <v>#N/A</v>
      </c>
      <c r="I1365" t="e">
        <f t="shared" si="169"/>
        <v>#N/A</v>
      </c>
      <c r="J1365" t="e">
        <f t="shared" si="164"/>
        <v>#N/A</v>
      </c>
      <c r="K1365" s="27" t="e">
        <f t="shared" si="165"/>
        <v>#N/A</v>
      </c>
    </row>
    <row r="1366" spans="1:11">
      <c r="A1366" s="26">
        <v>1316</v>
      </c>
      <c r="B1366" s="82" t="e">
        <f t="shared" si="166"/>
        <v>#N/A</v>
      </c>
      <c r="C1366" s="58" t="e">
        <f t="shared" si="170"/>
        <v>#N/A</v>
      </c>
      <c r="D1366" s="83" t="e">
        <f t="shared" si="167"/>
        <v>#N/A</v>
      </c>
      <c r="E1366" t="e">
        <f t="shared" si="163"/>
        <v>#N/A</v>
      </c>
      <c r="G1366">
        <v>1316</v>
      </c>
      <c r="H1366" s="13" t="e">
        <f t="shared" si="168"/>
        <v>#N/A</v>
      </c>
      <c r="I1366" t="e">
        <f t="shared" si="169"/>
        <v>#N/A</v>
      </c>
      <c r="J1366" t="e">
        <f t="shared" si="164"/>
        <v>#N/A</v>
      </c>
      <c r="K1366" s="27" t="e">
        <f t="shared" si="165"/>
        <v>#N/A</v>
      </c>
    </row>
    <row r="1367" spans="1:11">
      <c r="A1367" s="26">
        <v>1317</v>
      </c>
      <c r="B1367" s="82" t="e">
        <f t="shared" si="166"/>
        <v>#N/A</v>
      </c>
      <c r="C1367" s="58" t="e">
        <f t="shared" si="170"/>
        <v>#N/A</v>
      </c>
      <c r="D1367" s="83" t="e">
        <f t="shared" si="167"/>
        <v>#N/A</v>
      </c>
      <c r="E1367" t="e">
        <f t="shared" si="163"/>
        <v>#N/A</v>
      </c>
      <c r="G1367">
        <v>1317</v>
      </c>
      <c r="H1367" s="13" t="e">
        <f t="shared" si="168"/>
        <v>#N/A</v>
      </c>
      <c r="I1367" t="e">
        <f t="shared" si="169"/>
        <v>#N/A</v>
      </c>
      <c r="J1367" t="e">
        <f t="shared" si="164"/>
        <v>#N/A</v>
      </c>
      <c r="K1367" s="27" t="e">
        <f t="shared" si="165"/>
        <v>#N/A</v>
      </c>
    </row>
    <row r="1368" spans="1:11">
      <c r="A1368" s="26">
        <v>1318</v>
      </c>
      <c r="B1368" s="82" t="e">
        <f t="shared" si="166"/>
        <v>#N/A</v>
      </c>
      <c r="C1368" s="58" t="e">
        <f t="shared" si="170"/>
        <v>#N/A</v>
      </c>
      <c r="D1368" s="83" t="e">
        <f t="shared" si="167"/>
        <v>#N/A</v>
      </c>
      <c r="E1368" t="e">
        <f t="shared" si="163"/>
        <v>#N/A</v>
      </c>
      <c r="G1368">
        <v>1318</v>
      </c>
      <c r="H1368" s="13" t="e">
        <f t="shared" si="168"/>
        <v>#N/A</v>
      </c>
      <c r="I1368" t="e">
        <f t="shared" si="169"/>
        <v>#N/A</v>
      </c>
      <c r="J1368" t="e">
        <f t="shared" si="164"/>
        <v>#N/A</v>
      </c>
      <c r="K1368" s="27" t="e">
        <f t="shared" si="165"/>
        <v>#N/A</v>
      </c>
    </row>
    <row r="1369" spans="1:11">
      <c r="A1369" s="26">
        <v>1319</v>
      </c>
      <c r="B1369" s="82" t="e">
        <f t="shared" si="166"/>
        <v>#N/A</v>
      </c>
      <c r="C1369" s="58" t="e">
        <f t="shared" si="170"/>
        <v>#N/A</v>
      </c>
      <c r="D1369" s="83" t="e">
        <f t="shared" si="167"/>
        <v>#N/A</v>
      </c>
      <c r="E1369" t="e">
        <f t="shared" si="163"/>
        <v>#N/A</v>
      </c>
      <c r="G1369">
        <v>1319</v>
      </c>
      <c r="H1369" s="13" t="e">
        <f t="shared" si="168"/>
        <v>#N/A</v>
      </c>
      <c r="I1369" t="e">
        <f t="shared" si="169"/>
        <v>#N/A</v>
      </c>
      <c r="J1369" t="e">
        <f t="shared" si="164"/>
        <v>#N/A</v>
      </c>
      <c r="K1369" s="27" t="e">
        <f t="shared" si="165"/>
        <v>#N/A</v>
      </c>
    </row>
    <row r="1370" spans="1:11">
      <c r="A1370" s="26">
        <v>1320</v>
      </c>
      <c r="B1370" s="82" t="e">
        <f t="shared" si="166"/>
        <v>#N/A</v>
      </c>
      <c r="C1370" s="58" t="e">
        <f t="shared" si="170"/>
        <v>#N/A</v>
      </c>
      <c r="D1370" s="83" t="e">
        <f t="shared" si="167"/>
        <v>#N/A</v>
      </c>
      <c r="E1370" t="e">
        <f t="shared" si="163"/>
        <v>#N/A</v>
      </c>
      <c r="G1370">
        <v>1320</v>
      </c>
      <c r="H1370" s="13" t="e">
        <f t="shared" si="168"/>
        <v>#N/A</v>
      </c>
      <c r="I1370" t="e">
        <f t="shared" si="169"/>
        <v>#N/A</v>
      </c>
      <c r="J1370" t="e">
        <f t="shared" si="164"/>
        <v>#N/A</v>
      </c>
      <c r="K1370" s="27" t="e">
        <f t="shared" si="165"/>
        <v>#N/A</v>
      </c>
    </row>
    <row r="1371" spans="1:11">
      <c r="A1371" s="26">
        <v>1321</v>
      </c>
      <c r="B1371" s="82" t="e">
        <f t="shared" si="166"/>
        <v>#N/A</v>
      </c>
      <c r="C1371" s="58" t="e">
        <f t="shared" si="170"/>
        <v>#N/A</v>
      </c>
      <c r="D1371" s="83" t="e">
        <f t="shared" si="167"/>
        <v>#N/A</v>
      </c>
      <c r="E1371" t="e">
        <f t="shared" si="163"/>
        <v>#N/A</v>
      </c>
      <c r="G1371">
        <v>1321</v>
      </c>
      <c r="H1371" s="13" t="e">
        <f t="shared" si="168"/>
        <v>#N/A</v>
      </c>
      <c r="I1371" t="e">
        <f t="shared" si="169"/>
        <v>#N/A</v>
      </c>
      <c r="J1371" t="e">
        <f t="shared" si="164"/>
        <v>#N/A</v>
      </c>
      <c r="K1371" s="27" t="e">
        <f t="shared" si="165"/>
        <v>#N/A</v>
      </c>
    </row>
    <row r="1372" spans="1:11">
      <c r="A1372" s="26">
        <v>1322</v>
      </c>
      <c r="B1372" s="82" t="e">
        <f t="shared" si="166"/>
        <v>#N/A</v>
      </c>
      <c r="C1372" s="58" t="e">
        <f t="shared" si="170"/>
        <v>#N/A</v>
      </c>
      <c r="D1372" s="83" t="e">
        <f t="shared" si="167"/>
        <v>#N/A</v>
      </c>
      <c r="E1372" t="e">
        <f t="shared" si="163"/>
        <v>#N/A</v>
      </c>
      <c r="G1372">
        <v>1322</v>
      </c>
      <c r="H1372" s="13" t="e">
        <f t="shared" si="168"/>
        <v>#N/A</v>
      </c>
      <c r="I1372" t="e">
        <f t="shared" si="169"/>
        <v>#N/A</v>
      </c>
      <c r="J1372" t="e">
        <f t="shared" si="164"/>
        <v>#N/A</v>
      </c>
      <c r="K1372" s="27" t="e">
        <f t="shared" si="165"/>
        <v>#N/A</v>
      </c>
    </row>
    <row r="1373" spans="1:11">
      <c r="A1373" s="26">
        <v>1323</v>
      </c>
      <c r="B1373" s="82" t="e">
        <f t="shared" si="166"/>
        <v>#N/A</v>
      </c>
      <c r="C1373" s="58" t="e">
        <f t="shared" si="170"/>
        <v>#N/A</v>
      </c>
      <c r="D1373" s="83" t="e">
        <f t="shared" si="167"/>
        <v>#N/A</v>
      </c>
      <c r="E1373" t="e">
        <f t="shared" si="163"/>
        <v>#N/A</v>
      </c>
      <c r="G1373">
        <v>1323</v>
      </c>
      <c r="H1373" s="13" t="e">
        <f t="shared" si="168"/>
        <v>#N/A</v>
      </c>
      <c r="I1373" t="e">
        <f t="shared" si="169"/>
        <v>#N/A</v>
      </c>
      <c r="J1373" t="e">
        <f t="shared" si="164"/>
        <v>#N/A</v>
      </c>
      <c r="K1373" s="27" t="e">
        <f t="shared" si="165"/>
        <v>#N/A</v>
      </c>
    </row>
    <row r="1374" spans="1:11">
      <c r="A1374" s="26">
        <v>1324</v>
      </c>
      <c r="B1374" s="82" t="e">
        <f t="shared" si="166"/>
        <v>#N/A</v>
      </c>
      <c r="C1374" s="58" t="e">
        <f t="shared" si="170"/>
        <v>#N/A</v>
      </c>
      <c r="D1374" s="83" t="e">
        <f t="shared" si="167"/>
        <v>#N/A</v>
      </c>
      <c r="E1374" t="e">
        <f t="shared" si="163"/>
        <v>#N/A</v>
      </c>
      <c r="G1374">
        <v>1324</v>
      </c>
      <c r="H1374" s="13" t="e">
        <f t="shared" si="168"/>
        <v>#N/A</v>
      </c>
      <c r="I1374" t="e">
        <f t="shared" si="169"/>
        <v>#N/A</v>
      </c>
      <c r="J1374" t="e">
        <f t="shared" si="164"/>
        <v>#N/A</v>
      </c>
      <c r="K1374" s="27" t="e">
        <f t="shared" si="165"/>
        <v>#N/A</v>
      </c>
    </row>
    <row r="1375" spans="1:11">
      <c r="A1375" s="26">
        <v>1325</v>
      </c>
      <c r="B1375" s="82" t="e">
        <f t="shared" si="166"/>
        <v>#N/A</v>
      </c>
      <c r="C1375" s="58" t="e">
        <f t="shared" si="170"/>
        <v>#N/A</v>
      </c>
      <c r="D1375" s="83" t="e">
        <f t="shared" si="167"/>
        <v>#N/A</v>
      </c>
      <c r="E1375" t="e">
        <f t="shared" si="163"/>
        <v>#N/A</v>
      </c>
      <c r="G1375">
        <v>1325</v>
      </c>
      <c r="H1375" s="13" t="e">
        <f t="shared" si="168"/>
        <v>#N/A</v>
      </c>
      <c r="I1375" t="e">
        <f t="shared" si="169"/>
        <v>#N/A</v>
      </c>
      <c r="J1375" t="e">
        <f t="shared" si="164"/>
        <v>#N/A</v>
      </c>
      <c r="K1375" s="27" t="e">
        <f t="shared" si="165"/>
        <v>#N/A</v>
      </c>
    </row>
    <row r="1376" spans="1:11">
      <c r="A1376" s="26">
        <v>1326</v>
      </c>
      <c r="B1376" s="82" t="e">
        <f t="shared" si="166"/>
        <v>#N/A</v>
      </c>
      <c r="C1376" s="58" t="e">
        <f t="shared" si="170"/>
        <v>#N/A</v>
      </c>
      <c r="D1376" s="83" t="e">
        <f t="shared" si="167"/>
        <v>#N/A</v>
      </c>
      <c r="E1376" t="e">
        <f t="shared" si="163"/>
        <v>#N/A</v>
      </c>
      <c r="G1376">
        <v>1326</v>
      </c>
      <c r="H1376" s="13" t="e">
        <f t="shared" si="168"/>
        <v>#N/A</v>
      </c>
      <c r="I1376" t="e">
        <f t="shared" si="169"/>
        <v>#N/A</v>
      </c>
      <c r="J1376" t="e">
        <f t="shared" si="164"/>
        <v>#N/A</v>
      </c>
      <c r="K1376" s="27" t="e">
        <f t="shared" si="165"/>
        <v>#N/A</v>
      </c>
    </row>
    <row r="1377" spans="1:11">
      <c r="A1377" s="26">
        <v>1327</v>
      </c>
      <c r="B1377" s="82" t="e">
        <f t="shared" si="166"/>
        <v>#N/A</v>
      </c>
      <c r="C1377" s="58" t="e">
        <f t="shared" si="170"/>
        <v>#N/A</v>
      </c>
      <c r="D1377" s="83" t="e">
        <f t="shared" si="167"/>
        <v>#N/A</v>
      </c>
      <c r="E1377" t="e">
        <f t="shared" si="163"/>
        <v>#N/A</v>
      </c>
      <c r="G1377">
        <v>1327</v>
      </c>
      <c r="H1377" s="13" t="e">
        <f t="shared" si="168"/>
        <v>#N/A</v>
      </c>
      <c r="I1377" t="e">
        <f t="shared" si="169"/>
        <v>#N/A</v>
      </c>
      <c r="J1377" t="e">
        <f t="shared" si="164"/>
        <v>#N/A</v>
      </c>
      <c r="K1377" s="27" t="e">
        <f t="shared" si="165"/>
        <v>#N/A</v>
      </c>
    </row>
    <row r="1378" spans="1:11">
      <c r="A1378" s="26">
        <v>1328</v>
      </c>
      <c r="B1378" s="82" t="e">
        <f t="shared" si="166"/>
        <v>#N/A</v>
      </c>
      <c r="C1378" s="58" t="e">
        <f t="shared" si="170"/>
        <v>#N/A</v>
      </c>
      <c r="D1378" s="83" t="e">
        <f t="shared" si="167"/>
        <v>#N/A</v>
      </c>
      <c r="E1378" t="e">
        <f t="shared" si="163"/>
        <v>#N/A</v>
      </c>
      <c r="G1378">
        <v>1328</v>
      </c>
      <c r="H1378" s="13" t="e">
        <f t="shared" si="168"/>
        <v>#N/A</v>
      </c>
      <c r="I1378" t="e">
        <f t="shared" si="169"/>
        <v>#N/A</v>
      </c>
      <c r="J1378" t="e">
        <f t="shared" si="164"/>
        <v>#N/A</v>
      </c>
      <c r="K1378" s="27" t="e">
        <f t="shared" si="165"/>
        <v>#N/A</v>
      </c>
    </row>
    <row r="1379" spans="1:11">
      <c r="A1379" s="26">
        <v>1329</v>
      </c>
      <c r="B1379" s="82" t="e">
        <f t="shared" si="166"/>
        <v>#N/A</v>
      </c>
      <c r="C1379" s="58" t="e">
        <f t="shared" si="170"/>
        <v>#N/A</v>
      </c>
      <c r="D1379" s="83" t="e">
        <f t="shared" si="167"/>
        <v>#N/A</v>
      </c>
      <c r="E1379" t="e">
        <f t="shared" si="163"/>
        <v>#N/A</v>
      </c>
      <c r="G1379">
        <v>1329</v>
      </c>
      <c r="H1379" s="13" t="e">
        <f t="shared" si="168"/>
        <v>#N/A</v>
      </c>
      <c r="I1379" t="e">
        <f t="shared" si="169"/>
        <v>#N/A</v>
      </c>
      <c r="J1379" t="e">
        <f t="shared" si="164"/>
        <v>#N/A</v>
      </c>
      <c r="K1379" s="27" t="e">
        <f t="shared" si="165"/>
        <v>#N/A</v>
      </c>
    </row>
    <row r="1380" spans="1:11">
      <c r="A1380" s="26">
        <v>1330</v>
      </c>
      <c r="B1380" s="82" t="e">
        <f t="shared" si="166"/>
        <v>#N/A</v>
      </c>
      <c r="C1380" s="58" t="e">
        <f t="shared" si="170"/>
        <v>#N/A</v>
      </c>
      <c r="D1380" s="83" t="e">
        <f t="shared" si="167"/>
        <v>#N/A</v>
      </c>
      <c r="E1380" t="e">
        <f t="shared" si="163"/>
        <v>#N/A</v>
      </c>
      <c r="G1380">
        <v>1330</v>
      </c>
      <c r="H1380" s="13" t="e">
        <f t="shared" si="168"/>
        <v>#N/A</v>
      </c>
      <c r="I1380" t="e">
        <f t="shared" si="169"/>
        <v>#N/A</v>
      </c>
      <c r="J1380" t="e">
        <f t="shared" si="164"/>
        <v>#N/A</v>
      </c>
      <c r="K1380" s="27" t="e">
        <f t="shared" si="165"/>
        <v>#N/A</v>
      </c>
    </row>
    <row r="1381" spans="1:11">
      <c r="A1381" s="26">
        <v>1331</v>
      </c>
      <c r="B1381" s="82" t="e">
        <f t="shared" si="166"/>
        <v>#N/A</v>
      </c>
      <c r="C1381" s="58" t="e">
        <f t="shared" si="170"/>
        <v>#N/A</v>
      </c>
      <c r="D1381" s="83" t="e">
        <f t="shared" si="167"/>
        <v>#N/A</v>
      </c>
      <c r="E1381" t="e">
        <f t="shared" si="163"/>
        <v>#N/A</v>
      </c>
      <c r="G1381">
        <v>1331</v>
      </c>
      <c r="H1381" s="13" t="e">
        <f t="shared" si="168"/>
        <v>#N/A</v>
      </c>
      <c r="I1381" t="e">
        <f t="shared" si="169"/>
        <v>#N/A</v>
      </c>
      <c r="J1381" t="e">
        <f t="shared" si="164"/>
        <v>#N/A</v>
      </c>
      <c r="K1381" s="27" t="e">
        <f t="shared" si="165"/>
        <v>#N/A</v>
      </c>
    </row>
    <row r="1382" spans="1:11">
      <c r="A1382" s="26">
        <v>1332</v>
      </c>
      <c r="B1382" s="82" t="e">
        <f t="shared" si="166"/>
        <v>#N/A</v>
      </c>
      <c r="C1382" s="58" t="e">
        <f t="shared" si="170"/>
        <v>#N/A</v>
      </c>
      <c r="D1382" s="83" t="e">
        <f t="shared" si="167"/>
        <v>#N/A</v>
      </c>
      <c r="E1382" t="e">
        <f t="shared" si="163"/>
        <v>#N/A</v>
      </c>
      <c r="G1382">
        <v>1332</v>
      </c>
      <c r="H1382" s="13" t="e">
        <f t="shared" si="168"/>
        <v>#N/A</v>
      </c>
      <c r="I1382" t="e">
        <f t="shared" si="169"/>
        <v>#N/A</v>
      </c>
      <c r="J1382" t="e">
        <f t="shared" si="164"/>
        <v>#N/A</v>
      </c>
      <c r="K1382" s="27" t="e">
        <f t="shared" si="165"/>
        <v>#N/A</v>
      </c>
    </row>
    <row r="1383" spans="1:11">
      <c r="A1383" s="26">
        <v>1333</v>
      </c>
      <c r="B1383" s="82" t="e">
        <f t="shared" si="166"/>
        <v>#N/A</v>
      </c>
      <c r="C1383" s="58" t="e">
        <f t="shared" si="170"/>
        <v>#N/A</v>
      </c>
      <c r="D1383" s="83" t="e">
        <f t="shared" si="167"/>
        <v>#N/A</v>
      </c>
      <c r="E1383" t="e">
        <f t="shared" si="163"/>
        <v>#N/A</v>
      </c>
      <c r="G1383">
        <v>1333</v>
      </c>
      <c r="H1383" s="13" t="e">
        <f t="shared" si="168"/>
        <v>#N/A</v>
      </c>
      <c r="I1383" t="e">
        <f t="shared" si="169"/>
        <v>#N/A</v>
      </c>
      <c r="J1383" t="e">
        <f t="shared" si="164"/>
        <v>#N/A</v>
      </c>
      <c r="K1383" s="27" t="e">
        <f t="shared" si="165"/>
        <v>#N/A</v>
      </c>
    </row>
    <row r="1384" spans="1:11">
      <c r="A1384" s="26">
        <v>1334</v>
      </c>
      <c r="B1384" s="82" t="e">
        <f t="shared" si="166"/>
        <v>#N/A</v>
      </c>
      <c r="C1384" s="58" t="e">
        <f t="shared" si="170"/>
        <v>#N/A</v>
      </c>
      <c r="D1384" s="83" t="e">
        <f t="shared" si="167"/>
        <v>#N/A</v>
      </c>
      <c r="E1384" t="e">
        <f t="shared" si="163"/>
        <v>#N/A</v>
      </c>
      <c r="G1384">
        <v>1334</v>
      </c>
      <c r="H1384" s="13" t="e">
        <f t="shared" si="168"/>
        <v>#N/A</v>
      </c>
      <c r="I1384" t="e">
        <f t="shared" si="169"/>
        <v>#N/A</v>
      </c>
      <c r="J1384" t="e">
        <f t="shared" si="164"/>
        <v>#N/A</v>
      </c>
      <c r="K1384" s="27" t="e">
        <f t="shared" si="165"/>
        <v>#N/A</v>
      </c>
    </row>
    <row r="1385" spans="1:11">
      <c r="A1385" s="26">
        <v>1335</v>
      </c>
      <c r="B1385" s="82" t="e">
        <f t="shared" si="166"/>
        <v>#N/A</v>
      </c>
      <c r="C1385" s="58" t="e">
        <f t="shared" si="170"/>
        <v>#N/A</v>
      </c>
      <c r="D1385" s="83" t="e">
        <f t="shared" si="167"/>
        <v>#N/A</v>
      </c>
      <c r="E1385" t="e">
        <f t="shared" si="163"/>
        <v>#N/A</v>
      </c>
      <c r="G1385">
        <v>1335</v>
      </c>
      <c r="H1385" s="13" t="e">
        <f t="shared" si="168"/>
        <v>#N/A</v>
      </c>
      <c r="I1385" t="e">
        <f t="shared" si="169"/>
        <v>#N/A</v>
      </c>
      <c r="J1385" t="e">
        <f t="shared" si="164"/>
        <v>#N/A</v>
      </c>
      <c r="K1385" s="27" t="e">
        <f t="shared" si="165"/>
        <v>#N/A</v>
      </c>
    </row>
    <row r="1386" spans="1:11">
      <c r="A1386" s="26">
        <v>1336</v>
      </c>
      <c r="B1386" s="82" t="e">
        <f t="shared" si="166"/>
        <v>#N/A</v>
      </c>
      <c r="C1386" s="58" t="e">
        <f t="shared" si="170"/>
        <v>#N/A</v>
      </c>
      <c r="D1386" s="83" t="e">
        <f t="shared" si="167"/>
        <v>#N/A</v>
      </c>
      <c r="E1386" t="e">
        <f t="shared" si="163"/>
        <v>#N/A</v>
      </c>
      <c r="G1386">
        <v>1336</v>
      </c>
      <c r="H1386" s="13" t="e">
        <f t="shared" si="168"/>
        <v>#N/A</v>
      </c>
      <c r="I1386" t="e">
        <f t="shared" si="169"/>
        <v>#N/A</v>
      </c>
      <c r="J1386" t="e">
        <f t="shared" si="164"/>
        <v>#N/A</v>
      </c>
      <c r="K1386" s="27" t="e">
        <f t="shared" si="165"/>
        <v>#N/A</v>
      </c>
    </row>
    <row r="1387" spans="1:11">
      <c r="A1387" s="26">
        <v>1337</v>
      </c>
      <c r="B1387" s="82" t="e">
        <f t="shared" si="166"/>
        <v>#N/A</v>
      </c>
      <c r="C1387" s="58" t="e">
        <f t="shared" si="170"/>
        <v>#N/A</v>
      </c>
      <c r="D1387" s="83" t="e">
        <f t="shared" si="167"/>
        <v>#N/A</v>
      </c>
      <c r="E1387" t="e">
        <f t="shared" si="163"/>
        <v>#N/A</v>
      </c>
      <c r="G1387">
        <v>1337</v>
      </c>
      <c r="H1387" s="13" t="e">
        <f t="shared" si="168"/>
        <v>#N/A</v>
      </c>
      <c r="I1387" t="e">
        <f t="shared" si="169"/>
        <v>#N/A</v>
      </c>
      <c r="J1387" t="e">
        <f t="shared" si="164"/>
        <v>#N/A</v>
      </c>
      <c r="K1387" s="27" t="e">
        <f t="shared" si="165"/>
        <v>#N/A</v>
      </c>
    </row>
    <row r="1388" spans="1:11">
      <c r="A1388" s="26">
        <v>1338</v>
      </c>
      <c r="B1388" s="82" t="e">
        <f t="shared" si="166"/>
        <v>#N/A</v>
      </c>
      <c r="C1388" s="58" t="e">
        <f t="shared" si="170"/>
        <v>#N/A</v>
      </c>
      <c r="D1388" s="83" t="e">
        <f t="shared" si="167"/>
        <v>#N/A</v>
      </c>
      <c r="E1388" t="e">
        <f t="shared" si="163"/>
        <v>#N/A</v>
      </c>
      <c r="G1388">
        <v>1338</v>
      </c>
      <c r="H1388" s="13" t="e">
        <f t="shared" si="168"/>
        <v>#N/A</v>
      </c>
      <c r="I1388" t="e">
        <f t="shared" si="169"/>
        <v>#N/A</v>
      </c>
      <c r="J1388" t="e">
        <f t="shared" si="164"/>
        <v>#N/A</v>
      </c>
      <c r="K1388" s="27" t="e">
        <f t="shared" si="165"/>
        <v>#N/A</v>
      </c>
    </row>
    <row r="1389" spans="1:11">
      <c r="A1389" s="26">
        <v>1339</v>
      </c>
      <c r="B1389" s="82" t="e">
        <f t="shared" si="166"/>
        <v>#N/A</v>
      </c>
      <c r="C1389" s="58" t="e">
        <f t="shared" si="170"/>
        <v>#N/A</v>
      </c>
      <c r="D1389" s="83" t="e">
        <f t="shared" si="167"/>
        <v>#N/A</v>
      </c>
      <c r="E1389" t="e">
        <f t="shared" si="163"/>
        <v>#N/A</v>
      </c>
      <c r="G1389">
        <v>1339</v>
      </c>
      <c r="H1389" s="13" t="e">
        <f t="shared" si="168"/>
        <v>#N/A</v>
      </c>
      <c r="I1389" t="e">
        <f t="shared" si="169"/>
        <v>#N/A</v>
      </c>
      <c r="J1389" t="e">
        <f t="shared" si="164"/>
        <v>#N/A</v>
      </c>
      <c r="K1389" s="27" t="e">
        <f t="shared" si="165"/>
        <v>#N/A</v>
      </c>
    </row>
    <row r="1390" spans="1:11">
      <c r="A1390" s="26">
        <v>1340</v>
      </c>
      <c r="B1390" s="82" t="e">
        <f t="shared" si="166"/>
        <v>#N/A</v>
      </c>
      <c r="C1390" s="58" t="e">
        <f t="shared" si="170"/>
        <v>#N/A</v>
      </c>
      <c r="D1390" s="83" t="e">
        <f t="shared" si="167"/>
        <v>#N/A</v>
      </c>
      <c r="E1390" t="e">
        <f t="shared" si="163"/>
        <v>#N/A</v>
      </c>
      <c r="G1390">
        <v>1340</v>
      </c>
      <c r="H1390" s="13" t="e">
        <f t="shared" si="168"/>
        <v>#N/A</v>
      </c>
      <c r="I1390" t="e">
        <f t="shared" si="169"/>
        <v>#N/A</v>
      </c>
      <c r="J1390" t="e">
        <f t="shared" si="164"/>
        <v>#N/A</v>
      </c>
      <c r="K1390" s="27" t="e">
        <f t="shared" si="165"/>
        <v>#N/A</v>
      </c>
    </row>
    <row r="1391" spans="1:11">
      <c r="A1391" s="26">
        <v>1341</v>
      </c>
      <c r="B1391" s="82" t="e">
        <f t="shared" si="166"/>
        <v>#N/A</v>
      </c>
      <c r="C1391" s="58" t="e">
        <f t="shared" si="170"/>
        <v>#N/A</v>
      </c>
      <c r="D1391" s="83" t="e">
        <f t="shared" si="167"/>
        <v>#N/A</v>
      </c>
      <c r="E1391" t="e">
        <f t="shared" si="163"/>
        <v>#N/A</v>
      </c>
      <c r="G1391">
        <v>1341</v>
      </c>
      <c r="H1391" s="13" t="e">
        <f t="shared" si="168"/>
        <v>#N/A</v>
      </c>
      <c r="I1391" t="e">
        <f t="shared" si="169"/>
        <v>#N/A</v>
      </c>
      <c r="J1391" t="e">
        <f t="shared" si="164"/>
        <v>#N/A</v>
      </c>
      <c r="K1391" s="27" t="e">
        <f t="shared" si="165"/>
        <v>#N/A</v>
      </c>
    </row>
    <row r="1392" spans="1:11">
      <c r="A1392" s="26">
        <v>1342</v>
      </c>
      <c r="B1392" s="82" t="e">
        <f t="shared" si="166"/>
        <v>#N/A</v>
      </c>
      <c r="C1392" s="58" t="e">
        <f t="shared" si="170"/>
        <v>#N/A</v>
      </c>
      <c r="D1392" s="83" t="e">
        <f t="shared" si="167"/>
        <v>#N/A</v>
      </c>
      <c r="E1392" t="e">
        <f t="shared" si="163"/>
        <v>#N/A</v>
      </c>
      <c r="G1392">
        <v>1342</v>
      </c>
      <c r="H1392" s="13" t="e">
        <f t="shared" si="168"/>
        <v>#N/A</v>
      </c>
      <c r="I1392" t="e">
        <f t="shared" si="169"/>
        <v>#N/A</v>
      </c>
      <c r="J1392" t="e">
        <f t="shared" si="164"/>
        <v>#N/A</v>
      </c>
      <c r="K1392" s="27" t="e">
        <f t="shared" si="165"/>
        <v>#N/A</v>
      </c>
    </row>
    <row r="1393" spans="1:11">
      <c r="A1393" s="26">
        <v>1343</v>
      </c>
      <c r="B1393" s="82" t="e">
        <f t="shared" si="166"/>
        <v>#N/A</v>
      </c>
      <c r="C1393" s="58" t="e">
        <f t="shared" si="170"/>
        <v>#N/A</v>
      </c>
      <c r="D1393" s="83" t="e">
        <f t="shared" si="167"/>
        <v>#N/A</v>
      </c>
      <c r="E1393" t="e">
        <f t="shared" si="163"/>
        <v>#N/A</v>
      </c>
      <c r="G1393">
        <v>1343</v>
      </c>
      <c r="H1393" s="13" t="e">
        <f t="shared" si="168"/>
        <v>#N/A</v>
      </c>
      <c r="I1393" t="e">
        <f t="shared" si="169"/>
        <v>#N/A</v>
      </c>
      <c r="J1393" t="e">
        <f t="shared" si="164"/>
        <v>#N/A</v>
      </c>
      <c r="K1393" s="27" t="e">
        <f t="shared" si="165"/>
        <v>#N/A</v>
      </c>
    </row>
    <row r="1394" spans="1:11">
      <c r="A1394" s="26">
        <v>1344</v>
      </c>
      <c r="B1394" s="82" t="e">
        <f t="shared" si="166"/>
        <v>#N/A</v>
      </c>
      <c r="C1394" s="58" t="e">
        <f t="shared" si="170"/>
        <v>#N/A</v>
      </c>
      <c r="D1394" s="83" t="e">
        <f t="shared" si="167"/>
        <v>#N/A</v>
      </c>
      <c r="E1394" t="e">
        <f t="shared" si="163"/>
        <v>#N/A</v>
      </c>
      <c r="G1394">
        <v>1344</v>
      </c>
      <c r="H1394" s="13" t="e">
        <f t="shared" si="168"/>
        <v>#N/A</v>
      </c>
      <c r="I1394" t="e">
        <f t="shared" si="169"/>
        <v>#N/A</v>
      </c>
      <c r="J1394" t="e">
        <f t="shared" si="164"/>
        <v>#N/A</v>
      </c>
      <c r="K1394" s="27" t="e">
        <f t="shared" si="165"/>
        <v>#N/A</v>
      </c>
    </row>
    <row r="1395" spans="1:11">
      <c r="A1395" s="26">
        <v>1345</v>
      </c>
      <c r="B1395" s="82" t="e">
        <f t="shared" si="166"/>
        <v>#N/A</v>
      </c>
      <c r="C1395" s="58" t="e">
        <f t="shared" si="170"/>
        <v>#N/A</v>
      </c>
      <c r="D1395" s="83" t="e">
        <f t="shared" si="167"/>
        <v>#N/A</v>
      </c>
      <c r="E1395" t="e">
        <f t="shared" ref="E1395:E1458" si="171">((D1395^2)+(D1395*D1396)+(D1396^2))*B1396/3</f>
        <v>#N/A</v>
      </c>
      <c r="G1395">
        <v>1345</v>
      </c>
      <c r="H1395" s="13" t="e">
        <f t="shared" si="168"/>
        <v>#N/A</v>
      </c>
      <c r="I1395" t="e">
        <f t="shared" si="169"/>
        <v>#N/A</v>
      </c>
      <c r="J1395" t="e">
        <f t="shared" ref="J1395:J1458" si="172">IF($G$28&lt;$C$14,0,((($C$11^2)-((I1395-$C$13)^2))^0.5)+$C$16)</f>
        <v>#N/A</v>
      </c>
      <c r="K1395" s="27" t="e">
        <f t="shared" ref="K1395:K1458" si="173">((J1395^2)+(J1395*J1396)+(J1396^2))*H1396/3</f>
        <v>#N/A</v>
      </c>
    </row>
    <row r="1396" spans="1:11">
      <c r="A1396" s="26">
        <v>1346</v>
      </c>
      <c r="B1396" s="82" t="e">
        <f t="shared" ref="B1396:B1459" si="174">C1396-C1395</f>
        <v>#N/A</v>
      </c>
      <c r="C1396" s="58" t="e">
        <f t="shared" si="170"/>
        <v>#N/A</v>
      </c>
      <c r="D1396" s="83" t="e">
        <f t="shared" ref="D1396:D1459" si="175">IF($G$28&lt;$C$14,0,((($C$11^2)-((C1396-$C$13)^2))^0.5)+$C$16)</f>
        <v>#N/A</v>
      </c>
      <c r="E1396" t="e">
        <f t="shared" si="171"/>
        <v>#N/A</v>
      </c>
      <c r="G1396">
        <v>1346</v>
      </c>
      <c r="H1396" s="13" t="e">
        <f t="shared" ref="H1396:H1459" si="176">I1396-I1395</f>
        <v>#N/A</v>
      </c>
      <c r="I1396" t="e">
        <f t="shared" ref="I1396:I1459" si="177">($G$27-$C$14)/2000+I1395</f>
        <v>#N/A</v>
      </c>
      <c r="J1396" t="e">
        <f t="shared" si="172"/>
        <v>#N/A</v>
      </c>
      <c r="K1396" s="27" t="e">
        <f t="shared" si="173"/>
        <v>#N/A</v>
      </c>
    </row>
    <row r="1397" spans="1:11">
      <c r="A1397" s="26">
        <v>1347</v>
      </c>
      <c r="B1397" s="82" t="e">
        <f t="shared" si="174"/>
        <v>#N/A</v>
      </c>
      <c r="C1397" s="58" t="e">
        <f t="shared" si="170"/>
        <v>#N/A</v>
      </c>
      <c r="D1397" s="83" t="e">
        <f t="shared" si="175"/>
        <v>#N/A</v>
      </c>
      <c r="E1397" t="e">
        <f t="shared" si="171"/>
        <v>#N/A</v>
      </c>
      <c r="G1397">
        <v>1347</v>
      </c>
      <c r="H1397" s="13" t="e">
        <f t="shared" si="176"/>
        <v>#N/A</v>
      </c>
      <c r="I1397" t="e">
        <f t="shared" si="177"/>
        <v>#N/A</v>
      </c>
      <c r="J1397" t="e">
        <f t="shared" si="172"/>
        <v>#N/A</v>
      </c>
      <c r="K1397" s="27" t="e">
        <f t="shared" si="173"/>
        <v>#N/A</v>
      </c>
    </row>
    <row r="1398" spans="1:11">
      <c r="A1398" s="26">
        <v>1348</v>
      </c>
      <c r="B1398" s="82" t="e">
        <f t="shared" si="174"/>
        <v>#N/A</v>
      </c>
      <c r="C1398" s="58" t="e">
        <f t="shared" si="170"/>
        <v>#N/A</v>
      </c>
      <c r="D1398" s="83" t="e">
        <f t="shared" si="175"/>
        <v>#N/A</v>
      </c>
      <c r="E1398" t="e">
        <f t="shared" si="171"/>
        <v>#N/A</v>
      </c>
      <c r="G1398">
        <v>1348</v>
      </c>
      <c r="H1398" s="13" t="e">
        <f t="shared" si="176"/>
        <v>#N/A</v>
      </c>
      <c r="I1398" t="e">
        <f t="shared" si="177"/>
        <v>#N/A</v>
      </c>
      <c r="J1398" t="e">
        <f t="shared" si="172"/>
        <v>#N/A</v>
      </c>
      <c r="K1398" s="27" t="e">
        <f t="shared" si="173"/>
        <v>#N/A</v>
      </c>
    </row>
    <row r="1399" spans="1:11">
      <c r="A1399" s="26">
        <v>1349</v>
      </c>
      <c r="B1399" s="82" t="e">
        <f t="shared" si="174"/>
        <v>#N/A</v>
      </c>
      <c r="C1399" s="58" t="e">
        <f t="shared" si="170"/>
        <v>#N/A</v>
      </c>
      <c r="D1399" s="83" t="e">
        <f t="shared" si="175"/>
        <v>#N/A</v>
      </c>
      <c r="E1399" t="e">
        <f t="shared" si="171"/>
        <v>#N/A</v>
      </c>
      <c r="G1399">
        <v>1349</v>
      </c>
      <c r="H1399" s="13" t="e">
        <f t="shared" si="176"/>
        <v>#N/A</v>
      </c>
      <c r="I1399" t="e">
        <f t="shared" si="177"/>
        <v>#N/A</v>
      </c>
      <c r="J1399" t="e">
        <f t="shared" si="172"/>
        <v>#N/A</v>
      </c>
      <c r="K1399" s="27" t="e">
        <f t="shared" si="173"/>
        <v>#N/A</v>
      </c>
    </row>
    <row r="1400" spans="1:11">
      <c r="A1400" s="26">
        <v>1350</v>
      </c>
      <c r="B1400" s="82" t="e">
        <f t="shared" si="174"/>
        <v>#N/A</v>
      </c>
      <c r="C1400" s="58" t="e">
        <f t="shared" si="170"/>
        <v>#N/A</v>
      </c>
      <c r="D1400" s="83" t="e">
        <f t="shared" si="175"/>
        <v>#N/A</v>
      </c>
      <c r="E1400" t="e">
        <f t="shared" si="171"/>
        <v>#N/A</v>
      </c>
      <c r="G1400">
        <v>1350</v>
      </c>
      <c r="H1400" s="13" t="e">
        <f t="shared" si="176"/>
        <v>#N/A</v>
      </c>
      <c r="I1400" t="e">
        <f t="shared" si="177"/>
        <v>#N/A</v>
      </c>
      <c r="J1400" t="e">
        <f t="shared" si="172"/>
        <v>#N/A</v>
      </c>
      <c r="K1400" s="27" t="e">
        <f t="shared" si="173"/>
        <v>#N/A</v>
      </c>
    </row>
    <row r="1401" spans="1:11">
      <c r="A1401" s="26">
        <v>1351</v>
      </c>
      <c r="B1401" s="82" t="e">
        <f t="shared" si="174"/>
        <v>#N/A</v>
      </c>
      <c r="C1401" s="58" t="e">
        <f t="shared" si="170"/>
        <v>#N/A</v>
      </c>
      <c r="D1401" s="83" t="e">
        <f t="shared" si="175"/>
        <v>#N/A</v>
      </c>
      <c r="E1401" t="e">
        <f t="shared" si="171"/>
        <v>#N/A</v>
      </c>
      <c r="G1401">
        <v>1351</v>
      </c>
      <c r="H1401" s="13" t="e">
        <f t="shared" si="176"/>
        <v>#N/A</v>
      </c>
      <c r="I1401" t="e">
        <f t="shared" si="177"/>
        <v>#N/A</v>
      </c>
      <c r="J1401" t="e">
        <f t="shared" si="172"/>
        <v>#N/A</v>
      </c>
      <c r="K1401" s="27" t="e">
        <f t="shared" si="173"/>
        <v>#N/A</v>
      </c>
    </row>
    <row r="1402" spans="1:11">
      <c r="A1402" s="26">
        <v>1352</v>
      </c>
      <c r="B1402" s="82" t="e">
        <f t="shared" si="174"/>
        <v>#N/A</v>
      </c>
      <c r="C1402" s="58" t="e">
        <f t="shared" si="170"/>
        <v>#N/A</v>
      </c>
      <c r="D1402" s="83" t="e">
        <f t="shared" si="175"/>
        <v>#N/A</v>
      </c>
      <c r="E1402" t="e">
        <f t="shared" si="171"/>
        <v>#N/A</v>
      </c>
      <c r="G1402">
        <v>1352</v>
      </c>
      <c r="H1402" s="13" t="e">
        <f t="shared" si="176"/>
        <v>#N/A</v>
      </c>
      <c r="I1402" t="e">
        <f t="shared" si="177"/>
        <v>#N/A</v>
      </c>
      <c r="J1402" t="e">
        <f t="shared" si="172"/>
        <v>#N/A</v>
      </c>
      <c r="K1402" s="27" t="e">
        <f t="shared" si="173"/>
        <v>#N/A</v>
      </c>
    </row>
    <row r="1403" spans="1:11">
      <c r="A1403" s="26">
        <v>1353</v>
      </c>
      <c r="B1403" s="82" t="e">
        <f t="shared" si="174"/>
        <v>#N/A</v>
      </c>
      <c r="C1403" s="58" t="e">
        <f t="shared" si="170"/>
        <v>#N/A</v>
      </c>
      <c r="D1403" s="83" t="e">
        <f t="shared" si="175"/>
        <v>#N/A</v>
      </c>
      <c r="E1403" t="e">
        <f t="shared" si="171"/>
        <v>#N/A</v>
      </c>
      <c r="G1403">
        <v>1353</v>
      </c>
      <c r="H1403" s="13" t="e">
        <f t="shared" si="176"/>
        <v>#N/A</v>
      </c>
      <c r="I1403" t="e">
        <f t="shared" si="177"/>
        <v>#N/A</v>
      </c>
      <c r="J1403" t="e">
        <f t="shared" si="172"/>
        <v>#N/A</v>
      </c>
      <c r="K1403" s="27" t="e">
        <f t="shared" si="173"/>
        <v>#N/A</v>
      </c>
    </row>
    <row r="1404" spans="1:11">
      <c r="A1404" s="26">
        <v>1354</v>
      </c>
      <c r="B1404" s="82" t="e">
        <f t="shared" si="174"/>
        <v>#N/A</v>
      </c>
      <c r="C1404" s="58" t="e">
        <f t="shared" si="170"/>
        <v>#N/A</v>
      </c>
      <c r="D1404" s="83" t="e">
        <f t="shared" si="175"/>
        <v>#N/A</v>
      </c>
      <c r="E1404" t="e">
        <f t="shared" si="171"/>
        <v>#N/A</v>
      </c>
      <c r="G1404">
        <v>1354</v>
      </c>
      <c r="H1404" s="13" t="e">
        <f t="shared" si="176"/>
        <v>#N/A</v>
      </c>
      <c r="I1404" t="e">
        <f t="shared" si="177"/>
        <v>#N/A</v>
      </c>
      <c r="J1404" t="e">
        <f t="shared" si="172"/>
        <v>#N/A</v>
      </c>
      <c r="K1404" s="27" t="e">
        <f t="shared" si="173"/>
        <v>#N/A</v>
      </c>
    </row>
    <row r="1405" spans="1:11">
      <c r="A1405" s="26">
        <v>1355</v>
      </c>
      <c r="B1405" s="82" t="e">
        <f t="shared" si="174"/>
        <v>#N/A</v>
      </c>
      <c r="C1405" s="58" t="e">
        <f t="shared" si="170"/>
        <v>#N/A</v>
      </c>
      <c r="D1405" s="83" t="e">
        <f t="shared" si="175"/>
        <v>#N/A</v>
      </c>
      <c r="E1405" t="e">
        <f t="shared" si="171"/>
        <v>#N/A</v>
      </c>
      <c r="G1405">
        <v>1355</v>
      </c>
      <c r="H1405" s="13" t="e">
        <f t="shared" si="176"/>
        <v>#N/A</v>
      </c>
      <c r="I1405" t="e">
        <f t="shared" si="177"/>
        <v>#N/A</v>
      </c>
      <c r="J1405" t="e">
        <f t="shared" si="172"/>
        <v>#N/A</v>
      </c>
      <c r="K1405" s="27" t="e">
        <f t="shared" si="173"/>
        <v>#N/A</v>
      </c>
    </row>
    <row r="1406" spans="1:11">
      <c r="A1406" s="26">
        <v>1356</v>
      </c>
      <c r="B1406" s="82" t="e">
        <f t="shared" si="174"/>
        <v>#N/A</v>
      </c>
      <c r="C1406" s="58" t="e">
        <f t="shared" si="170"/>
        <v>#N/A</v>
      </c>
      <c r="D1406" s="83" t="e">
        <f t="shared" si="175"/>
        <v>#N/A</v>
      </c>
      <c r="E1406" t="e">
        <f t="shared" si="171"/>
        <v>#N/A</v>
      </c>
      <c r="G1406">
        <v>1356</v>
      </c>
      <c r="H1406" s="13" t="e">
        <f t="shared" si="176"/>
        <v>#N/A</v>
      </c>
      <c r="I1406" t="e">
        <f t="shared" si="177"/>
        <v>#N/A</v>
      </c>
      <c r="J1406" t="e">
        <f t="shared" si="172"/>
        <v>#N/A</v>
      </c>
      <c r="K1406" s="27" t="e">
        <f t="shared" si="173"/>
        <v>#N/A</v>
      </c>
    </row>
    <row r="1407" spans="1:11">
      <c r="A1407" s="26">
        <v>1357</v>
      </c>
      <c r="B1407" s="82" t="e">
        <f t="shared" si="174"/>
        <v>#N/A</v>
      </c>
      <c r="C1407" s="58" t="e">
        <f t="shared" si="170"/>
        <v>#N/A</v>
      </c>
      <c r="D1407" s="83" t="e">
        <f t="shared" si="175"/>
        <v>#N/A</v>
      </c>
      <c r="E1407" t="e">
        <f t="shared" si="171"/>
        <v>#N/A</v>
      </c>
      <c r="G1407">
        <v>1357</v>
      </c>
      <c r="H1407" s="13" t="e">
        <f t="shared" si="176"/>
        <v>#N/A</v>
      </c>
      <c r="I1407" t="e">
        <f t="shared" si="177"/>
        <v>#N/A</v>
      </c>
      <c r="J1407" t="e">
        <f t="shared" si="172"/>
        <v>#N/A</v>
      </c>
      <c r="K1407" s="27" t="e">
        <f t="shared" si="173"/>
        <v>#N/A</v>
      </c>
    </row>
    <row r="1408" spans="1:11">
      <c r="A1408" s="26">
        <v>1358</v>
      </c>
      <c r="B1408" s="82" t="e">
        <f t="shared" si="174"/>
        <v>#N/A</v>
      </c>
      <c r="C1408" s="58" t="e">
        <f t="shared" si="170"/>
        <v>#N/A</v>
      </c>
      <c r="D1408" s="83" t="e">
        <f t="shared" si="175"/>
        <v>#N/A</v>
      </c>
      <c r="E1408" t="e">
        <f t="shared" si="171"/>
        <v>#N/A</v>
      </c>
      <c r="G1408">
        <v>1358</v>
      </c>
      <c r="H1408" s="13" t="e">
        <f t="shared" si="176"/>
        <v>#N/A</v>
      </c>
      <c r="I1408" t="e">
        <f t="shared" si="177"/>
        <v>#N/A</v>
      </c>
      <c r="J1408" t="e">
        <f t="shared" si="172"/>
        <v>#N/A</v>
      </c>
      <c r="K1408" s="27" t="e">
        <f t="shared" si="173"/>
        <v>#N/A</v>
      </c>
    </row>
    <row r="1409" spans="1:11">
      <c r="A1409" s="26">
        <v>1359</v>
      </c>
      <c r="B1409" s="82" t="e">
        <f t="shared" si="174"/>
        <v>#N/A</v>
      </c>
      <c r="C1409" s="58" t="e">
        <f t="shared" si="170"/>
        <v>#N/A</v>
      </c>
      <c r="D1409" s="83" t="e">
        <f t="shared" si="175"/>
        <v>#N/A</v>
      </c>
      <c r="E1409" t="e">
        <f t="shared" si="171"/>
        <v>#N/A</v>
      </c>
      <c r="G1409">
        <v>1359</v>
      </c>
      <c r="H1409" s="13" t="e">
        <f t="shared" si="176"/>
        <v>#N/A</v>
      </c>
      <c r="I1409" t="e">
        <f t="shared" si="177"/>
        <v>#N/A</v>
      </c>
      <c r="J1409" t="e">
        <f t="shared" si="172"/>
        <v>#N/A</v>
      </c>
      <c r="K1409" s="27" t="e">
        <f t="shared" si="173"/>
        <v>#N/A</v>
      </c>
    </row>
    <row r="1410" spans="1:11">
      <c r="A1410" s="26">
        <v>1360</v>
      </c>
      <c r="B1410" s="82" t="e">
        <f t="shared" si="174"/>
        <v>#N/A</v>
      </c>
      <c r="C1410" s="58" t="e">
        <f t="shared" si="170"/>
        <v>#N/A</v>
      </c>
      <c r="D1410" s="83" t="e">
        <f t="shared" si="175"/>
        <v>#N/A</v>
      </c>
      <c r="E1410" t="e">
        <f t="shared" si="171"/>
        <v>#N/A</v>
      </c>
      <c r="G1410">
        <v>1360</v>
      </c>
      <c r="H1410" s="13" t="e">
        <f t="shared" si="176"/>
        <v>#N/A</v>
      </c>
      <c r="I1410" t="e">
        <f t="shared" si="177"/>
        <v>#N/A</v>
      </c>
      <c r="J1410" t="e">
        <f t="shared" si="172"/>
        <v>#N/A</v>
      </c>
      <c r="K1410" s="27" t="e">
        <f t="shared" si="173"/>
        <v>#N/A</v>
      </c>
    </row>
    <row r="1411" spans="1:11">
      <c r="A1411" s="26">
        <v>1361</v>
      </c>
      <c r="B1411" s="82" t="e">
        <f t="shared" si="174"/>
        <v>#N/A</v>
      </c>
      <c r="C1411" s="58" t="e">
        <f t="shared" si="170"/>
        <v>#N/A</v>
      </c>
      <c r="D1411" s="83" t="e">
        <f t="shared" si="175"/>
        <v>#N/A</v>
      </c>
      <c r="E1411" t="e">
        <f t="shared" si="171"/>
        <v>#N/A</v>
      </c>
      <c r="G1411">
        <v>1361</v>
      </c>
      <c r="H1411" s="13" t="e">
        <f t="shared" si="176"/>
        <v>#N/A</v>
      </c>
      <c r="I1411" t="e">
        <f t="shared" si="177"/>
        <v>#N/A</v>
      </c>
      <c r="J1411" t="e">
        <f t="shared" si="172"/>
        <v>#N/A</v>
      </c>
      <c r="K1411" s="27" t="e">
        <f t="shared" si="173"/>
        <v>#N/A</v>
      </c>
    </row>
    <row r="1412" spans="1:11">
      <c r="A1412" s="26">
        <v>1362</v>
      </c>
      <c r="B1412" s="82" t="e">
        <f t="shared" si="174"/>
        <v>#N/A</v>
      </c>
      <c r="C1412" s="58" t="e">
        <f t="shared" si="170"/>
        <v>#N/A</v>
      </c>
      <c r="D1412" s="83" t="e">
        <f t="shared" si="175"/>
        <v>#N/A</v>
      </c>
      <c r="E1412" t="e">
        <f t="shared" si="171"/>
        <v>#N/A</v>
      </c>
      <c r="G1412">
        <v>1362</v>
      </c>
      <c r="H1412" s="13" t="e">
        <f t="shared" si="176"/>
        <v>#N/A</v>
      </c>
      <c r="I1412" t="e">
        <f t="shared" si="177"/>
        <v>#N/A</v>
      </c>
      <c r="J1412" t="e">
        <f t="shared" si="172"/>
        <v>#N/A</v>
      </c>
      <c r="K1412" s="27" t="e">
        <f t="shared" si="173"/>
        <v>#N/A</v>
      </c>
    </row>
    <row r="1413" spans="1:11">
      <c r="A1413" s="26">
        <v>1363</v>
      </c>
      <c r="B1413" s="82" t="e">
        <f t="shared" si="174"/>
        <v>#N/A</v>
      </c>
      <c r="C1413" s="58" t="e">
        <f t="shared" si="170"/>
        <v>#N/A</v>
      </c>
      <c r="D1413" s="83" t="e">
        <f t="shared" si="175"/>
        <v>#N/A</v>
      </c>
      <c r="E1413" t="e">
        <f t="shared" si="171"/>
        <v>#N/A</v>
      </c>
      <c r="G1413">
        <v>1363</v>
      </c>
      <c r="H1413" s="13" t="e">
        <f t="shared" si="176"/>
        <v>#N/A</v>
      </c>
      <c r="I1413" t="e">
        <f t="shared" si="177"/>
        <v>#N/A</v>
      </c>
      <c r="J1413" t="e">
        <f t="shared" si="172"/>
        <v>#N/A</v>
      </c>
      <c r="K1413" s="27" t="e">
        <f t="shared" si="173"/>
        <v>#N/A</v>
      </c>
    </row>
    <row r="1414" spans="1:11">
      <c r="A1414" s="26">
        <v>1364</v>
      </c>
      <c r="B1414" s="82" t="e">
        <f t="shared" si="174"/>
        <v>#N/A</v>
      </c>
      <c r="C1414" s="58" t="e">
        <f t="shared" si="170"/>
        <v>#N/A</v>
      </c>
      <c r="D1414" s="83" t="e">
        <f t="shared" si="175"/>
        <v>#N/A</v>
      </c>
      <c r="E1414" t="e">
        <f t="shared" si="171"/>
        <v>#N/A</v>
      </c>
      <c r="G1414">
        <v>1364</v>
      </c>
      <c r="H1414" s="13" t="e">
        <f t="shared" si="176"/>
        <v>#N/A</v>
      </c>
      <c r="I1414" t="e">
        <f t="shared" si="177"/>
        <v>#N/A</v>
      </c>
      <c r="J1414" t="e">
        <f t="shared" si="172"/>
        <v>#N/A</v>
      </c>
      <c r="K1414" s="27" t="e">
        <f t="shared" si="173"/>
        <v>#N/A</v>
      </c>
    </row>
    <row r="1415" spans="1:11">
      <c r="A1415" s="26">
        <v>1365</v>
      </c>
      <c r="B1415" s="82" t="e">
        <f t="shared" si="174"/>
        <v>#N/A</v>
      </c>
      <c r="C1415" s="58" t="e">
        <f t="shared" si="170"/>
        <v>#N/A</v>
      </c>
      <c r="D1415" s="83" t="e">
        <f t="shared" si="175"/>
        <v>#N/A</v>
      </c>
      <c r="E1415" t="e">
        <f t="shared" si="171"/>
        <v>#N/A</v>
      </c>
      <c r="G1415">
        <v>1365</v>
      </c>
      <c r="H1415" s="13" t="e">
        <f t="shared" si="176"/>
        <v>#N/A</v>
      </c>
      <c r="I1415" t="e">
        <f t="shared" si="177"/>
        <v>#N/A</v>
      </c>
      <c r="J1415" t="e">
        <f t="shared" si="172"/>
        <v>#N/A</v>
      </c>
      <c r="K1415" s="27" t="e">
        <f t="shared" si="173"/>
        <v>#N/A</v>
      </c>
    </row>
    <row r="1416" spans="1:11">
      <c r="A1416" s="26">
        <v>1366</v>
      </c>
      <c r="B1416" s="82" t="e">
        <f t="shared" si="174"/>
        <v>#N/A</v>
      </c>
      <c r="C1416" s="58" t="e">
        <f t="shared" si="170"/>
        <v>#N/A</v>
      </c>
      <c r="D1416" s="83" t="e">
        <f t="shared" si="175"/>
        <v>#N/A</v>
      </c>
      <c r="E1416" t="e">
        <f t="shared" si="171"/>
        <v>#N/A</v>
      </c>
      <c r="G1416">
        <v>1366</v>
      </c>
      <c r="H1416" s="13" t="e">
        <f t="shared" si="176"/>
        <v>#N/A</v>
      </c>
      <c r="I1416" t="e">
        <f t="shared" si="177"/>
        <v>#N/A</v>
      </c>
      <c r="J1416" t="e">
        <f t="shared" si="172"/>
        <v>#N/A</v>
      </c>
      <c r="K1416" s="27" t="e">
        <f t="shared" si="173"/>
        <v>#N/A</v>
      </c>
    </row>
    <row r="1417" spans="1:11">
      <c r="A1417" s="26">
        <v>1367</v>
      </c>
      <c r="B1417" s="82" t="e">
        <f t="shared" si="174"/>
        <v>#N/A</v>
      </c>
      <c r="C1417" s="58" t="e">
        <f t="shared" si="170"/>
        <v>#N/A</v>
      </c>
      <c r="D1417" s="83" t="e">
        <f t="shared" si="175"/>
        <v>#N/A</v>
      </c>
      <c r="E1417" t="e">
        <f t="shared" si="171"/>
        <v>#N/A</v>
      </c>
      <c r="G1417">
        <v>1367</v>
      </c>
      <c r="H1417" s="13" t="e">
        <f t="shared" si="176"/>
        <v>#N/A</v>
      </c>
      <c r="I1417" t="e">
        <f t="shared" si="177"/>
        <v>#N/A</v>
      </c>
      <c r="J1417" t="e">
        <f t="shared" si="172"/>
        <v>#N/A</v>
      </c>
      <c r="K1417" s="27" t="e">
        <f t="shared" si="173"/>
        <v>#N/A</v>
      </c>
    </row>
    <row r="1418" spans="1:11">
      <c r="A1418" s="26">
        <v>1368</v>
      </c>
      <c r="B1418" s="82" t="e">
        <f t="shared" si="174"/>
        <v>#N/A</v>
      </c>
      <c r="C1418" s="58" t="e">
        <f t="shared" si="170"/>
        <v>#N/A</v>
      </c>
      <c r="D1418" s="83" t="e">
        <f t="shared" si="175"/>
        <v>#N/A</v>
      </c>
      <c r="E1418" t="e">
        <f t="shared" si="171"/>
        <v>#N/A</v>
      </c>
      <c r="G1418">
        <v>1368</v>
      </c>
      <c r="H1418" s="13" t="e">
        <f t="shared" si="176"/>
        <v>#N/A</v>
      </c>
      <c r="I1418" t="e">
        <f t="shared" si="177"/>
        <v>#N/A</v>
      </c>
      <c r="J1418" t="e">
        <f t="shared" si="172"/>
        <v>#N/A</v>
      </c>
      <c r="K1418" s="27" t="e">
        <f t="shared" si="173"/>
        <v>#N/A</v>
      </c>
    </row>
    <row r="1419" spans="1:11">
      <c r="A1419" s="26">
        <v>1369</v>
      </c>
      <c r="B1419" s="82" t="e">
        <f t="shared" si="174"/>
        <v>#N/A</v>
      </c>
      <c r="C1419" s="58" t="e">
        <f t="shared" si="170"/>
        <v>#N/A</v>
      </c>
      <c r="D1419" s="83" t="e">
        <f t="shared" si="175"/>
        <v>#N/A</v>
      </c>
      <c r="E1419" t="e">
        <f t="shared" si="171"/>
        <v>#N/A</v>
      </c>
      <c r="G1419">
        <v>1369</v>
      </c>
      <c r="H1419" s="13" t="e">
        <f t="shared" si="176"/>
        <v>#N/A</v>
      </c>
      <c r="I1419" t="e">
        <f t="shared" si="177"/>
        <v>#N/A</v>
      </c>
      <c r="J1419" t="e">
        <f t="shared" si="172"/>
        <v>#N/A</v>
      </c>
      <c r="K1419" s="27" t="e">
        <f t="shared" si="173"/>
        <v>#N/A</v>
      </c>
    </row>
    <row r="1420" spans="1:11">
      <c r="A1420" s="26">
        <v>1370</v>
      </c>
      <c r="B1420" s="82" t="e">
        <f t="shared" si="174"/>
        <v>#N/A</v>
      </c>
      <c r="C1420" s="58" t="e">
        <f t="shared" si="170"/>
        <v>#N/A</v>
      </c>
      <c r="D1420" s="83" t="e">
        <f t="shared" si="175"/>
        <v>#N/A</v>
      </c>
      <c r="E1420" t="e">
        <f t="shared" si="171"/>
        <v>#N/A</v>
      </c>
      <c r="G1420">
        <v>1370</v>
      </c>
      <c r="H1420" s="13" t="e">
        <f t="shared" si="176"/>
        <v>#N/A</v>
      </c>
      <c r="I1420" t="e">
        <f t="shared" si="177"/>
        <v>#N/A</v>
      </c>
      <c r="J1420" t="e">
        <f t="shared" si="172"/>
        <v>#N/A</v>
      </c>
      <c r="K1420" s="27" t="e">
        <f t="shared" si="173"/>
        <v>#N/A</v>
      </c>
    </row>
    <row r="1421" spans="1:11">
      <c r="A1421" s="26">
        <v>1371</v>
      </c>
      <c r="B1421" s="82" t="e">
        <f t="shared" si="174"/>
        <v>#N/A</v>
      </c>
      <c r="C1421" s="58" t="e">
        <f t="shared" si="170"/>
        <v>#N/A</v>
      </c>
      <c r="D1421" s="83" t="e">
        <f t="shared" si="175"/>
        <v>#N/A</v>
      </c>
      <c r="E1421" t="e">
        <f t="shared" si="171"/>
        <v>#N/A</v>
      </c>
      <c r="G1421">
        <v>1371</v>
      </c>
      <c r="H1421" s="13" t="e">
        <f t="shared" si="176"/>
        <v>#N/A</v>
      </c>
      <c r="I1421" t="e">
        <f t="shared" si="177"/>
        <v>#N/A</v>
      </c>
      <c r="J1421" t="e">
        <f t="shared" si="172"/>
        <v>#N/A</v>
      </c>
      <c r="K1421" s="27" t="e">
        <f t="shared" si="173"/>
        <v>#N/A</v>
      </c>
    </row>
    <row r="1422" spans="1:11">
      <c r="A1422" s="26">
        <v>1372</v>
      </c>
      <c r="B1422" s="82" t="e">
        <f t="shared" si="174"/>
        <v>#N/A</v>
      </c>
      <c r="C1422" s="58" t="e">
        <f t="shared" si="170"/>
        <v>#N/A</v>
      </c>
      <c r="D1422" s="83" t="e">
        <f t="shared" si="175"/>
        <v>#N/A</v>
      </c>
      <c r="E1422" t="e">
        <f t="shared" si="171"/>
        <v>#N/A</v>
      </c>
      <c r="G1422">
        <v>1372</v>
      </c>
      <c r="H1422" s="13" t="e">
        <f t="shared" si="176"/>
        <v>#N/A</v>
      </c>
      <c r="I1422" t="e">
        <f t="shared" si="177"/>
        <v>#N/A</v>
      </c>
      <c r="J1422" t="e">
        <f t="shared" si="172"/>
        <v>#N/A</v>
      </c>
      <c r="K1422" s="27" t="e">
        <f t="shared" si="173"/>
        <v>#N/A</v>
      </c>
    </row>
    <row r="1423" spans="1:11">
      <c r="A1423" s="26">
        <v>1373</v>
      </c>
      <c r="B1423" s="82" t="e">
        <f t="shared" si="174"/>
        <v>#N/A</v>
      </c>
      <c r="C1423" s="58" t="e">
        <f t="shared" si="170"/>
        <v>#N/A</v>
      </c>
      <c r="D1423" s="83" t="e">
        <f t="shared" si="175"/>
        <v>#N/A</v>
      </c>
      <c r="E1423" t="e">
        <f t="shared" si="171"/>
        <v>#N/A</v>
      </c>
      <c r="G1423">
        <v>1373</v>
      </c>
      <c r="H1423" s="13" t="e">
        <f t="shared" si="176"/>
        <v>#N/A</v>
      </c>
      <c r="I1423" t="e">
        <f t="shared" si="177"/>
        <v>#N/A</v>
      </c>
      <c r="J1423" t="e">
        <f t="shared" si="172"/>
        <v>#N/A</v>
      </c>
      <c r="K1423" s="27" t="e">
        <f t="shared" si="173"/>
        <v>#N/A</v>
      </c>
    </row>
    <row r="1424" spans="1:11">
      <c r="A1424" s="26">
        <v>1374</v>
      </c>
      <c r="B1424" s="82" t="e">
        <f t="shared" si="174"/>
        <v>#N/A</v>
      </c>
      <c r="C1424" s="58" t="e">
        <f t="shared" ref="C1424:C1487" si="178">($C$37-$C$36)/2000+C1423</f>
        <v>#N/A</v>
      </c>
      <c r="D1424" s="83" t="e">
        <f t="shared" si="175"/>
        <v>#N/A</v>
      </c>
      <c r="E1424" t="e">
        <f t="shared" si="171"/>
        <v>#N/A</v>
      </c>
      <c r="G1424">
        <v>1374</v>
      </c>
      <c r="H1424" s="13" t="e">
        <f t="shared" si="176"/>
        <v>#N/A</v>
      </c>
      <c r="I1424" t="e">
        <f t="shared" si="177"/>
        <v>#N/A</v>
      </c>
      <c r="J1424" t="e">
        <f t="shared" si="172"/>
        <v>#N/A</v>
      </c>
      <c r="K1424" s="27" t="e">
        <f t="shared" si="173"/>
        <v>#N/A</v>
      </c>
    </row>
    <row r="1425" spans="1:11">
      <c r="A1425" s="26">
        <v>1375</v>
      </c>
      <c r="B1425" s="82" t="e">
        <f t="shared" si="174"/>
        <v>#N/A</v>
      </c>
      <c r="C1425" s="58" t="e">
        <f t="shared" si="178"/>
        <v>#N/A</v>
      </c>
      <c r="D1425" s="83" t="e">
        <f t="shared" si="175"/>
        <v>#N/A</v>
      </c>
      <c r="E1425" t="e">
        <f t="shared" si="171"/>
        <v>#N/A</v>
      </c>
      <c r="G1425">
        <v>1375</v>
      </c>
      <c r="H1425" s="13" t="e">
        <f t="shared" si="176"/>
        <v>#N/A</v>
      </c>
      <c r="I1425" t="e">
        <f t="shared" si="177"/>
        <v>#N/A</v>
      </c>
      <c r="J1425" t="e">
        <f t="shared" si="172"/>
        <v>#N/A</v>
      </c>
      <c r="K1425" s="27" t="e">
        <f t="shared" si="173"/>
        <v>#N/A</v>
      </c>
    </row>
    <row r="1426" spans="1:11">
      <c r="A1426" s="26">
        <v>1376</v>
      </c>
      <c r="B1426" s="82" t="e">
        <f t="shared" si="174"/>
        <v>#N/A</v>
      </c>
      <c r="C1426" s="58" t="e">
        <f t="shared" si="178"/>
        <v>#N/A</v>
      </c>
      <c r="D1426" s="83" t="e">
        <f t="shared" si="175"/>
        <v>#N/A</v>
      </c>
      <c r="E1426" t="e">
        <f t="shared" si="171"/>
        <v>#N/A</v>
      </c>
      <c r="G1426">
        <v>1376</v>
      </c>
      <c r="H1426" s="13" t="e">
        <f t="shared" si="176"/>
        <v>#N/A</v>
      </c>
      <c r="I1426" t="e">
        <f t="shared" si="177"/>
        <v>#N/A</v>
      </c>
      <c r="J1426" t="e">
        <f t="shared" si="172"/>
        <v>#N/A</v>
      </c>
      <c r="K1426" s="27" t="e">
        <f t="shared" si="173"/>
        <v>#N/A</v>
      </c>
    </row>
    <row r="1427" spans="1:11">
      <c r="A1427" s="26">
        <v>1377</v>
      </c>
      <c r="B1427" s="82" t="e">
        <f t="shared" si="174"/>
        <v>#N/A</v>
      </c>
      <c r="C1427" s="58" t="e">
        <f t="shared" si="178"/>
        <v>#N/A</v>
      </c>
      <c r="D1427" s="83" t="e">
        <f t="shared" si="175"/>
        <v>#N/A</v>
      </c>
      <c r="E1427" t="e">
        <f t="shared" si="171"/>
        <v>#N/A</v>
      </c>
      <c r="G1427">
        <v>1377</v>
      </c>
      <c r="H1427" s="13" t="e">
        <f t="shared" si="176"/>
        <v>#N/A</v>
      </c>
      <c r="I1427" t="e">
        <f t="shared" si="177"/>
        <v>#N/A</v>
      </c>
      <c r="J1427" t="e">
        <f t="shared" si="172"/>
        <v>#N/A</v>
      </c>
      <c r="K1427" s="27" t="e">
        <f t="shared" si="173"/>
        <v>#N/A</v>
      </c>
    </row>
    <row r="1428" spans="1:11">
      <c r="A1428" s="26">
        <v>1378</v>
      </c>
      <c r="B1428" s="82" t="e">
        <f t="shared" si="174"/>
        <v>#N/A</v>
      </c>
      <c r="C1428" s="58" t="e">
        <f t="shared" si="178"/>
        <v>#N/A</v>
      </c>
      <c r="D1428" s="83" t="e">
        <f t="shared" si="175"/>
        <v>#N/A</v>
      </c>
      <c r="E1428" t="e">
        <f t="shared" si="171"/>
        <v>#N/A</v>
      </c>
      <c r="G1428">
        <v>1378</v>
      </c>
      <c r="H1428" s="13" t="e">
        <f t="shared" si="176"/>
        <v>#N/A</v>
      </c>
      <c r="I1428" t="e">
        <f t="shared" si="177"/>
        <v>#N/A</v>
      </c>
      <c r="J1428" t="e">
        <f t="shared" si="172"/>
        <v>#N/A</v>
      </c>
      <c r="K1428" s="27" t="e">
        <f t="shared" si="173"/>
        <v>#N/A</v>
      </c>
    </row>
    <row r="1429" spans="1:11">
      <c r="A1429" s="26">
        <v>1379</v>
      </c>
      <c r="B1429" s="82" t="e">
        <f t="shared" si="174"/>
        <v>#N/A</v>
      </c>
      <c r="C1429" s="58" t="e">
        <f t="shared" si="178"/>
        <v>#N/A</v>
      </c>
      <c r="D1429" s="83" t="e">
        <f t="shared" si="175"/>
        <v>#N/A</v>
      </c>
      <c r="E1429" t="e">
        <f t="shared" si="171"/>
        <v>#N/A</v>
      </c>
      <c r="G1429">
        <v>1379</v>
      </c>
      <c r="H1429" s="13" t="e">
        <f t="shared" si="176"/>
        <v>#N/A</v>
      </c>
      <c r="I1429" t="e">
        <f t="shared" si="177"/>
        <v>#N/A</v>
      </c>
      <c r="J1429" t="e">
        <f t="shared" si="172"/>
        <v>#N/A</v>
      </c>
      <c r="K1429" s="27" t="e">
        <f t="shared" si="173"/>
        <v>#N/A</v>
      </c>
    </row>
    <row r="1430" spans="1:11">
      <c r="A1430" s="26">
        <v>1380</v>
      </c>
      <c r="B1430" s="82" t="e">
        <f t="shared" si="174"/>
        <v>#N/A</v>
      </c>
      <c r="C1430" s="58" t="e">
        <f t="shared" si="178"/>
        <v>#N/A</v>
      </c>
      <c r="D1430" s="83" t="e">
        <f t="shared" si="175"/>
        <v>#N/A</v>
      </c>
      <c r="E1430" t="e">
        <f t="shared" si="171"/>
        <v>#N/A</v>
      </c>
      <c r="G1430">
        <v>1380</v>
      </c>
      <c r="H1430" s="13" t="e">
        <f t="shared" si="176"/>
        <v>#N/A</v>
      </c>
      <c r="I1430" t="e">
        <f t="shared" si="177"/>
        <v>#N/A</v>
      </c>
      <c r="J1430" t="e">
        <f t="shared" si="172"/>
        <v>#N/A</v>
      </c>
      <c r="K1430" s="27" t="e">
        <f t="shared" si="173"/>
        <v>#N/A</v>
      </c>
    </row>
    <row r="1431" spans="1:11">
      <c r="A1431" s="26">
        <v>1381</v>
      </c>
      <c r="B1431" s="82" t="e">
        <f t="shared" si="174"/>
        <v>#N/A</v>
      </c>
      <c r="C1431" s="58" t="e">
        <f t="shared" si="178"/>
        <v>#N/A</v>
      </c>
      <c r="D1431" s="83" t="e">
        <f t="shared" si="175"/>
        <v>#N/A</v>
      </c>
      <c r="E1431" t="e">
        <f t="shared" si="171"/>
        <v>#N/A</v>
      </c>
      <c r="G1431">
        <v>1381</v>
      </c>
      <c r="H1431" s="13" t="e">
        <f t="shared" si="176"/>
        <v>#N/A</v>
      </c>
      <c r="I1431" t="e">
        <f t="shared" si="177"/>
        <v>#N/A</v>
      </c>
      <c r="J1431" t="e">
        <f t="shared" si="172"/>
        <v>#N/A</v>
      </c>
      <c r="K1431" s="27" t="e">
        <f t="shared" si="173"/>
        <v>#N/A</v>
      </c>
    </row>
    <row r="1432" spans="1:11">
      <c r="A1432" s="26">
        <v>1382</v>
      </c>
      <c r="B1432" s="82" t="e">
        <f t="shared" si="174"/>
        <v>#N/A</v>
      </c>
      <c r="C1432" s="58" t="e">
        <f t="shared" si="178"/>
        <v>#N/A</v>
      </c>
      <c r="D1432" s="83" t="e">
        <f t="shared" si="175"/>
        <v>#N/A</v>
      </c>
      <c r="E1432" t="e">
        <f t="shared" si="171"/>
        <v>#N/A</v>
      </c>
      <c r="G1432">
        <v>1382</v>
      </c>
      <c r="H1432" s="13" t="e">
        <f t="shared" si="176"/>
        <v>#N/A</v>
      </c>
      <c r="I1432" t="e">
        <f t="shared" si="177"/>
        <v>#N/A</v>
      </c>
      <c r="J1432" t="e">
        <f t="shared" si="172"/>
        <v>#N/A</v>
      </c>
      <c r="K1432" s="27" t="e">
        <f t="shared" si="173"/>
        <v>#N/A</v>
      </c>
    </row>
    <row r="1433" spans="1:11">
      <c r="A1433" s="26">
        <v>1383</v>
      </c>
      <c r="B1433" s="82" t="e">
        <f t="shared" si="174"/>
        <v>#N/A</v>
      </c>
      <c r="C1433" s="58" t="e">
        <f t="shared" si="178"/>
        <v>#N/A</v>
      </c>
      <c r="D1433" s="83" t="e">
        <f t="shared" si="175"/>
        <v>#N/A</v>
      </c>
      <c r="E1433" t="e">
        <f t="shared" si="171"/>
        <v>#N/A</v>
      </c>
      <c r="G1433">
        <v>1383</v>
      </c>
      <c r="H1433" s="13" t="e">
        <f t="shared" si="176"/>
        <v>#N/A</v>
      </c>
      <c r="I1433" t="e">
        <f t="shared" si="177"/>
        <v>#N/A</v>
      </c>
      <c r="J1433" t="e">
        <f t="shared" si="172"/>
        <v>#N/A</v>
      </c>
      <c r="K1433" s="27" t="e">
        <f t="shared" si="173"/>
        <v>#N/A</v>
      </c>
    </row>
    <row r="1434" spans="1:11">
      <c r="A1434" s="26">
        <v>1384</v>
      </c>
      <c r="B1434" s="82" t="e">
        <f t="shared" si="174"/>
        <v>#N/A</v>
      </c>
      <c r="C1434" s="58" t="e">
        <f t="shared" si="178"/>
        <v>#N/A</v>
      </c>
      <c r="D1434" s="83" t="e">
        <f t="shared" si="175"/>
        <v>#N/A</v>
      </c>
      <c r="E1434" t="e">
        <f t="shared" si="171"/>
        <v>#N/A</v>
      </c>
      <c r="G1434">
        <v>1384</v>
      </c>
      <c r="H1434" s="13" t="e">
        <f t="shared" si="176"/>
        <v>#N/A</v>
      </c>
      <c r="I1434" t="e">
        <f t="shared" si="177"/>
        <v>#N/A</v>
      </c>
      <c r="J1434" t="e">
        <f t="shared" si="172"/>
        <v>#N/A</v>
      </c>
      <c r="K1434" s="27" t="e">
        <f t="shared" si="173"/>
        <v>#N/A</v>
      </c>
    </row>
    <row r="1435" spans="1:11">
      <c r="A1435" s="26">
        <v>1385</v>
      </c>
      <c r="B1435" s="82" t="e">
        <f t="shared" si="174"/>
        <v>#N/A</v>
      </c>
      <c r="C1435" s="58" t="e">
        <f t="shared" si="178"/>
        <v>#N/A</v>
      </c>
      <c r="D1435" s="83" t="e">
        <f t="shared" si="175"/>
        <v>#N/A</v>
      </c>
      <c r="E1435" t="e">
        <f t="shared" si="171"/>
        <v>#N/A</v>
      </c>
      <c r="G1435">
        <v>1385</v>
      </c>
      <c r="H1435" s="13" t="e">
        <f t="shared" si="176"/>
        <v>#N/A</v>
      </c>
      <c r="I1435" t="e">
        <f t="shared" si="177"/>
        <v>#N/A</v>
      </c>
      <c r="J1435" t="e">
        <f t="shared" si="172"/>
        <v>#N/A</v>
      </c>
      <c r="K1435" s="27" t="e">
        <f t="shared" si="173"/>
        <v>#N/A</v>
      </c>
    </row>
    <row r="1436" spans="1:11">
      <c r="A1436" s="26">
        <v>1386</v>
      </c>
      <c r="B1436" s="82" t="e">
        <f t="shared" si="174"/>
        <v>#N/A</v>
      </c>
      <c r="C1436" s="58" t="e">
        <f t="shared" si="178"/>
        <v>#N/A</v>
      </c>
      <c r="D1436" s="83" t="e">
        <f t="shared" si="175"/>
        <v>#N/A</v>
      </c>
      <c r="E1436" t="e">
        <f t="shared" si="171"/>
        <v>#N/A</v>
      </c>
      <c r="G1436">
        <v>1386</v>
      </c>
      <c r="H1436" s="13" t="e">
        <f t="shared" si="176"/>
        <v>#N/A</v>
      </c>
      <c r="I1436" t="e">
        <f t="shared" si="177"/>
        <v>#N/A</v>
      </c>
      <c r="J1436" t="e">
        <f t="shared" si="172"/>
        <v>#N/A</v>
      </c>
      <c r="K1436" s="27" t="e">
        <f t="shared" si="173"/>
        <v>#N/A</v>
      </c>
    </row>
    <row r="1437" spans="1:11">
      <c r="A1437" s="26">
        <v>1387</v>
      </c>
      <c r="B1437" s="82" t="e">
        <f t="shared" si="174"/>
        <v>#N/A</v>
      </c>
      <c r="C1437" s="58" t="e">
        <f t="shared" si="178"/>
        <v>#N/A</v>
      </c>
      <c r="D1437" s="83" t="e">
        <f t="shared" si="175"/>
        <v>#N/A</v>
      </c>
      <c r="E1437" t="e">
        <f t="shared" si="171"/>
        <v>#N/A</v>
      </c>
      <c r="G1437">
        <v>1387</v>
      </c>
      <c r="H1437" s="13" t="e">
        <f t="shared" si="176"/>
        <v>#N/A</v>
      </c>
      <c r="I1437" t="e">
        <f t="shared" si="177"/>
        <v>#N/A</v>
      </c>
      <c r="J1437" t="e">
        <f t="shared" si="172"/>
        <v>#N/A</v>
      </c>
      <c r="K1437" s="27" t="e">
        <f t="shared" si="173"/>
        <v>#N/A</v>
      </c>
    </row>
    <row r="1438" spans="1:11">
      <c r="A1438" s="26">
        <v>1388</v>
      </c>
      <c r="B1438" s="82" t="e">
        <f t="shared" si="174"/>
        <v>#N/A</v>
      </c>
      <c r="C1438" s="58" t="e">
        <f t="shared" si="178"/>
        <v>#N/A</v>
      </c>
      <c r="D1438" s="83" t="e">
        <f t="shared" si="175"/>
        <v>#N/A</v>
      </c>
      <c r="E1438" t="e">
        <f t="shared" si="171"/>
        <v>#N/A</v>
      </c>
      <c r="G1438">
        <v>1388</v>
      </c>
      <c r="H1438" s="13" t="e">
        <f t="shared" si="176"/>
        <v>#N/A</v>
      </c>
      <c r="I1438" t="e">
        <f t="shared" si="177"/>
        <v>#N/A</v>
      </c>
      <c r="J1438" t="e">
        <f t="shared" si="172"/>
        <v>#N/A</v>
      </c>
      <c r="K1438" s="27" t="e">
        <f t="shared" si="173"/>
        <v>#N/A</v>
      </c>
    </row>
    <row r="1439" spans="1:11">
      <c r="A1439" s="26">
        <v>1389</v>
      </c>
      <c r="B1439" s="82" t="e">
        <f t="shared" si="174"/>
        <v>#N/A</v>
      </c>
      <c r="C1439" s="58" t="e">
        <f t="shared" si="178"/>
        <v>#N/A</v>
      </c>
      <c r="D1439" s="83" t="e">
        <f t="shared" si="175"/>
        <v>#N/A</v>
      </c>
      <c r="E1439" t="e">
        <f t="shared" si="171"/>
        <v>#N/A</v>
      </c>
      <c r="G1439">
        <v>1389</v>
      </c>
      <c r="H1439" s="13" t="e">
        <f t="shared" si="176"/>
        <v>#N/A</v>
      </c>
      <c r="I1439" t="e">
        <f t="shared" si="177"/>
        <v>#N/A</v>
      </c>
      <c r="J1439" t="e">
        <f t="shared" si="172"/>
        <v>#N/A</v>
      </c>
      <c r="K1439" s="27" t="e">
        <f t="shared" si="173"/>
        <v>#N/A</v>
      </c>
    </row>
    <row r="1440" spans="1:11">
      <c r="A1440" s="26">
        <v>1390</v>
      </c>
      <c r="B1440" s="82" t="e">
        <f t="shared" si="174"/>
        <v>#N/A</v>
      </c>
      <c r="C1440" s="58" t="e">
        <f t="shared" si="178"/>
        <v>#N/A</v>
      </c>
      <c r="D1440" s="83" t="e">
        <f t="shared" si="175"/>
        <v>#N/A</v>
      </c>
      <c r="E1440" t="e">
        <f t="shared" si="171"/>
        <v>#N/A</v>
      </c>
      <c r="G1440">
        <v>1390</v>
      </c>
      <c r="H1440" s="13" t="e">
        <f t="shared" si="176"/>
        <v>#N/A</v>
      </c>
      <c r="I1440" t="e">
        <f t="shared" si="177"/>
        <v>#N/A</v>
      </c>
      <c r="J1440" t="e">
        <f t="shared" si="172"/>
        <v>#N/A</v>
      </c>
      <c r="K1440" s="27" t="e">
        <f t="shared" si="173"/>
        <v>#N/A</v>
      </c>
    </row>
    <row r="1441" spans="1:11">
      <c r="A1441" s="26">
        <v>1391</v>
      </c>
      <c r="B1441" s="82" t="e">
        <f t="shared" si="174"/>
        <v>#N/A</v>
      </c>
      <c r="C1441" s="58" t="e">
        <f t="shared" si="178"/>
        <v>#N/A</v>
      </c>
      <c r="D1441" s="83" t="e">
        <f t="shared" si="175"/>
        <v>#N/A</v>
      </c>
      <c r="E1441" t="e">
        <f t="shared" si="171"/>
        <v>#N/A</v>
      </c>
      <c r="G1441">
        <v>1391</v>
      </c>
      <c r="H1441" s="13" t="e">
        <f t="shared" si="176"/>
        <v>#N/A</v>
      </c>
      <c r="I1441" t="e">
        <f t="shared" si="177"/>
        <v>#N/A</v>
      </c>
      <c r="J1441" t="e">
        <f t="shared" si="172"/>
        <v>#N/A</v>
      </c>
      <c r="K1441" s="27" t="e">
        <f t="shared" si="173"/>
        <v>#N/A</v>
      </c>
    </row>
    <row r="1442" spans="1:11">
      <c r="A1442" s="26">
        <v>1392</v>
      </c>
      <c r="B1442" s="82" t="e">
        <f t="shared" si="174"/>
        <v>#N/A</v>
      </c>
      <c r="C1442" s="58" t="e">
        <f t="shared" si="178"/>
        <v>#N/A</v>
      </c>
      <c r="D1442" s="83" t="e">
        <f t="shared" si="175"/>
        <v>#N/A</v>
      </c>
      <c r="E1442" t="e">
        <f t="shared" si="171"/>
        <v>#N/A</v>
      </c>
      <c r="G1442">
        <v>1392</v>
      </c>
      <c r="H1442" s="13" t="e">
        <f t="shared" si="176"/>
        <v>#N/A</v>
      </c>
      <c r="I1442" t="e">
        <f t="shared" si="177"/>
        <v>#N/A</v>
      </c>
      <c r="J1442" t="e">
        <f t="shared" si="172"/>
        <v>#N/A</v>
      </c>
      <c r="K1442" s="27" t="e">
        <f t="shared" si="173"/>
        <v>#N/A</v>
      </c>
    </row>
    <row r="1443" spans="1:11">
      <c r="A1443" s="26">
        <v>1393</v>
      </c>
      <c r="B1443" s="82" t="e">
        <f t="shared" si="174"/>
        <v>#N/A</v>
      </c>
      <c r="C1443" s="58" t="e">
        <f t="shared" si="178"/>
        <v>#N/A</v>
      </c>
      <c r="D1443" s="83" t="e">
        <f t="shared" si="175"/>
        <v>#N/A</v>
      </c>
      <c r="E1443" t="e">
        <f t="shared" si="171"/>
        <v>#N/A</v>
      </c>
      <c r="G1443">
        <v>1393</v>
      </c>
      <c r="H1443" s="13" t="e">
        <f t="shared" si="176"/>
        <v>#N/A</v>
      </c>
      <c r="I1443" t="e">
        <f t="shared" si="177"/>
        <v>#N/A</v>
      </c>
      <c r="J1443" t="e">
        <f t="shared" si="172"/>
        <v>#N/A</v>
      </c>
      <c r="K1443" s="27" t="e">
        <f t="shared" si="173"/>
        <v>#N/A</v>
      </c>
    </row>
    <row r="1444" spans="1:11">
      <c r="A1444" s="26">
        <v>1394</v>
      </c>
      <c r="B1444" s="82" t="e">
        <f t="shared" si="174"/>
        <v>#N/A</v>
      </c>
      <c r="C1444" s="58" t="e">
        <f t="shared" si="178"/>
        <v>#N/A</v>
      </c>
      <c r="D1444" s="83" t="e">
        <f t="shared" si="175"/>
        <v>#N/A</v>
      </c>
      <c r="E1444" t="e">
        <f t="shared" si="171"/>
        <v>#N/A</v>
      </c>
      <c r="G1444">
        <v>1394</v>
      </c>
      <c r="H1444" s="13" t="e">
        <f t="shared" si="176"/>
        <v>#N/A</v>
      </c>
      <c r="I1444" t="e">
        <f t="shared" si="177"/>
        <v>#N/A</v>
      </c>
      <c r="J1444" t="e">
        <f t="shared" si="172"/>
        <v>#N/A</v>
      </c>
      <c r="K1444" s="27" t="e">
        <f t="shared" si="173"/>
        <v>#N/A</v>
      </c>
    </row>
    <row r="1445" spans="1:11">
      <c r="A1445" s="26">
        <v>1395</v>
      </c>
      <c r="B1445" s="82" t="e">
        <f t="shared" si="174"/>
        <v>#N/A</v>
      </c>
      <c r="C1445" s="58" t="e">
        <f t="shared" si="178"/>
        <v>#N/A</v>
      </c>
      <c r="D1445" s="83" t="e">
        <f t="shared" si="175"/>
        <v>#N/A</v>
      </c>
      <c r="E1445" t="e">
        <f t="shared" si="171"/>
        <v>#N/A</v>
      </c>
      <c r="G1445">
        <v>1395</v>
      </c>
      <c r="H1445" s="13" t="e">
        <f t="shared" si="176"/>
        <v>#N/A</v>
      </c>
      <c r="I1445" t="e">
        <f t="shared" si="177"/>
        <v>#N/A</v>
      </c>
      <c r="J1445" t="e">
        <f t="shared" si="172"/>
        <v>#N/A</v>
      </c>
      <c r="K1445" s="27" t="e">
        <f t="shared" si="173"/>
        <v>#N/A</v>
      </c>
    </row>
    <row r="1446" spans="1:11">
      <c r="A1446" s="26">
        <v>1396</v>
      </c>
      <c r="B1446" s="82" t="e">
        <f t="shared" si="174"/>
        <v>#N/A</v>
      </c>
      <c r="C1446" s="58" t="e">
        <f t="shared" si="178"/>
        <v>#N/A</v>
      </c>
      <c r="D1446" s="83" t="e">
        <f t="shared" si="175"/>
        <v>#N/A</v>
      </c>
      <c r="E1446" t="e">
        <f t="shared" si="171"/>
        <v>#N/A</v>
      </c>
      <c r="G1446">
        <v>1396</v>
      </c>
      <c r="H1446" s="13" t="e">
        <f t="shared" si="176"/>
        <v>#N/A</v>
      </c>
      <c r="I1446" t="e">
        <f t="shared" si="177"/>
        <v>#N/A</v>
      </c>
      <c r="J1446" t="e">
        <f t="shared" si="172"/>
        <v>#N/A</v>
      </c>
      <c r="K1446" s="27" t="e">
        <f t="shared" si="173"/>
        <v>#N/A</v>
      </c>
    </row>
    <row r="1447" spans="1:11">
      <c r="A1447" s="26">
        <v>1397</v>
      </c>
      <c r="B1447" s="82" t="e">
        <f t="shared" si="174"/>
        <v>#N/A</v>
      </c>
      <c r="C1447" s="58" t="e">
        <f t="shared" si="178"/>
        <v>#N/A</v>
      </c>
      <c r="D1447" s="83" t="e">
        <f t="shared" si="175"/>
        <v>#N/A</v>
      </c>
      <c r="E1447" t="e">
        <f t="shared" si="171"/>
        <v>#N/A</v>
      </c>
      <c r="G1447">
        <v>1397</v>
      </c>
      <c r="H1447" s="13" t="e">
        <f t="shared" si="176"/>
        <v>#N/A</v>
      </c>
      <c r="I1447" t="e">
        <f t="shared" si="177"/>
        <v>#N/A</v>
      </c>
      <c r="J1447" t="e">
        <f t="shared" si="172"/>
        <v>#N/A</v>
      </c>
      <c r="K1447" s="27" t="e">
        <f t="shared" si="173"/>
        <v>#N/A</v>
      </c>
    </row>
    <row r="1448" spans="1:11">
      <c r="A1448" s="26">
        <v>1398</v>
      </c>
      <c r="B1448" s="82" t="e">
        <f t="shared" si="174"/>
        <v>#N/A</v>
      </c>
      <c r="C1448" s="58" t="e">
        <f t="shared" si="178"/>
        <v>#N/A</v>
      </c>
      <c r="D1448" s="83" t="e">
        <f t="shared" si="175"/>
        <v>#N/A</v>
      </c>
      <c r="E1448" t="e">
        <f t="shared" si="171"/>
        <v>#N/A</v>
      </c>
      <c r="G1448">
        <v>1398</v>
      </c>
      <c r="H1448" s="13" t="e">
        <f t="shared" si="176"/>
        <v>#N/A</v>
      </c>
      <c r="I1448" t="e">
        <f t="shared" si="177"/>
        <v>#N/A</v>
      </c>
      <c r="J1448" t="e">
        <f t="shared" si="172"/>
        <v>#N/A</v>
      </c>
      <c r="K1448" s="27" t="e">
        <f t="shared" si="173"/>
        <v>#N/A</v>
      </c>
    </row>
    <row r="1449" spans="1:11">
      <c r="A1449" s="26">
        <v>1399</v>
      </c>
      <c r="B1449" s="82" t="e">
        <f t="shared" si="174"/>
        <v>#N/A</v>
      </c>
      <c r="C1449" s="58" t="e">
        <f t="shared" si="178"/>
        <v>#N/A</v>
      </c>
      <c r="D1449" s="83" t="e">
        <f t="shared" si="175"/>
        <v>#N/A</v>
      </c>
      <c r="E1449" t="e">
        <f t="shared" si="171"/>
        <v>#N/A</v>
      </c>
      <c r="G1449">
        <v>1399</v>
      </c>
      <c r="H1449" s="13" t="e">
        <f t="shared" si="176"/>
        <v>#N/A</v>
      </c>
      <c r="I1449" t="e">
        <f t="shared" si="177"/>
        <v>#N/A</v>
      </c>
      <c r="J1449" t="e">
        <f t="shared" si="172"/>
        <v>#N/A</v>
      </c>
      <c r="K1449" s="27" t="e">
        <f t="shared" si="173"/>
        <v>#N/A</v>
      </c>
    </row>
    <row r="1450" spans="1:11">
      <c r="A1450" s="26">
        <v>1400</v>
      </c>
      <c r="B1450" s="82" t="e">
        <f t="shared" si="174"/>
        <v>#N/A</v>
      </c>
      <c r="C1450" s="58" t="e">
        <f t="shared" si="178"/>
        <v>#N/A</v>
      </c>
      <c r="D1450" s="83" t="e">
        <f t="shared" si="175"/>
        <v>#N/A</v>
      </c>
      <c r="E1450" t="e">
        <f t="shared" si="171"/>
        <v>#N/A</v>
      </c>
      <c r="G1450">
        <v>1400</v>
      </c>
      <c r="H1450" s="13" t="e">
        <f t="shared" si="176"/>
        <v>#N/A</v>
      </c>
      <c r="I1450" t="e">
        <f t="shared" si="177"/>
        <v>#N/A</v>
      </c>
      <c r="J1450" t="e">
        <f t="shared" si="172"/>
        <v>#N/A</v>
      </c>
      <c r="K1450" s="27" t="e">
        <f t="shared" si="173"/>
        <v>#N/A</v>
      </c>
    </row>
    <row r="1451" spans="1:11">
      <c r="A1451" s="26">
        <v>1401</v>
      </c>
      <c r="B1451" s="82" t="e">
        <f t="shared" si="174"/>
        <v>#N/A</v>
      </c>
      <c r="C1451" s="58" t="e">
        <f t="shared" si="178"/>
        <v>#N/A</v>
      </c>
      <c r="D1451" s="83" t="e">
        <f t="shared" si="175"/>
        <v>#N/A</v>
      </c>
      <c r="E1451" t="e">
        <f t="shared" si="171"/>
        <v>#N/A</v>
      </c>
      <c r="G1451">
        <v>1401</v>
      </c>
      <c r="H1451" s="13" t="e">
        <f t="shared" si="176"/>
        <v>#N/A</v>
      </c>
      <c r="I1451" t="e">
        <f t="shared" si="177"/>
        <v>#N/A</v>
      </c>
      <c r="J1451" t="e">
        <f t="shared" si="172"/>
        <v>#N/A</v>
      </c>
      <c r="K1451" s="27" t="e">
        <f t="shared" si="173"/>
        <v>#N/A</v>
      </c>
    </row>
    <row r="1452" spans="1:11">
      <c r="A1452" s="26">
        <v>1402</v>
      </c>
      <c r="B1452" s="82" t="e">
        <f t="shared" si="174"/>
        <v>#N/A</v>
      </c>
      <c r="C1452" s="58" t="e">
        <f t="shared" si="178"/>
        <v>#N/A</v>
      </c>
      <c r="D1452" s="83" t="e">
        <f t="shared" si="175"/>
        <v>#N/A</v>
      </c>
      <c r="E1452" t="e">
        <f t="shared" si="171"/>
        <v>#N/A</v>
      </c>
      <c r="G1452">
        <v>1402</v>
      </c>
      <c r="H1452" s="13" t="e">
        <f t="shared" si="176"/>
        <v>#N/A</v>
      </c>
      <c r="I1452" t="e">
        <f t="shared" si="177"/>
        <v>#N/A</v>
      </c>
      <c r="J1452" t="e">
        <f t="shared" si="172"/>
        <v>#N/A</v>
      </c>
      <c r="K1452" s="27" t="e">
        <f t="shared" si="173"/>
        <v>#N/A</v>
      </c>
    </row>
    <row r="1453" spans="1:11">
      <c r="A1453" s="26">
        <v>1403</v>
      </c>
      <c r="B1453" s="82" t="e">
        <f t="shared" si="174"/>
        <v>#N/A</v>
      </c>
      <c r="C1453" s="58" t="e">
        <f t="shared" si="178"/>
        <v>#N/A</v>
      </c>
      <c r="D1453" s="83" t="e">
        <f t="shared" si="175"/>
        <v>#N/A</v>
      </c>
      <c r="E1453" t="e">
        <f t="shared" si="171"/>
        <v>#N/A</v>
      </c>
      <c r="G1453">
        <v>1403</v>
      </c>
      <c r="H1453" s="13" t="e">
        <f t="shared" si="176"/>
        <v>#N/A</v>
      </c>
      <c r="I1453" t="e">
        <f t="shared" si="177"/>
        <v>#N/A</v>
      </c>
      <c r="J1453" t="e">
        <f t="shared" si="172"/>
        <v>#N/A</v>
      </c>
      <c r="K1453" s="27" t="e">
        <f t="shared" si="173"/>
        <v>#N/A</v>
      </c>
    </row>
    <row r="1454" spans="1:11">
      <c r="A1454" s="26">
        <v>1404</v>
      </c>
      <c r="B1454" s="82" t="e">
        <f t="shared" si="174"/>
        <v>#N/A</v>
      </c>
      <c r="C1454" s="58" t="e">
        <f t="shared" si="178"/>
        <v>#N/A</v>
      </c>
      <c r="D1454" s="83" t="e">
        <f t="shared" si="175"/>
        <v>#N/A</v>
      </c>
      <c r="E1454" t="e">
        <f t="shared" si="171"/>
        <v>#N/A</v>
      </c>
      <c r="G1454">
        <v>1404</v>
      </c>
      <c r="H1454" s="13" t="e">
        <f t="shared" si="176"/>
        <v>#N/A</v>
      </c>
      <c r="I1454" t="e">
        <f t="shared" si="177"/>
        <v>#N/A</v>
      </c>
      <c r="J1454" t="e">
        <f t="shared" si="172"/>
        <v>#N/A</v>
      </c>
      <c r="K1454" s="27" t="e">
        <f t="shared" si="173"/>
        <v>#N/A</v>
      </c>
    </row>
    <row r="1455" spans="1:11">
      <c r="A1455" s="26">
        <v>1405</v>
      </c>
      <c r="B1455" s="82" t="e">
        <f t="shared" si="174"/>
        <v>#N/A</v>
      </c>
      <c r="C1455" s="58" t="e">
        <f t="shared" si="178"/>
        <v>#N/A</v>
      </c>
      <c r="D1455" s="83" t="e">
        <f t="shared" si="175"/>
        <v>#N/A</v>
      </c>
      <c r="E1455" t="e">
        <f t="shared" si="171"/>
        <v>#N/A</v>
      </c>
      <c r="G1455">
        <v>1405</v>
      </c>
      <c r="H1455" s="13" t="e">
        <f t="shared" si="176"/>
        <v>#N/A</v>
      </c>
      <c r="I1455" t="e">
        <f t="shared" si="177"/>
        <v>#N/A</v>
      </c>
      <c r="J1455" t="e">
        <f t="shared" si="172"/>
        <v>#N/A</v>
      </c>
      <c r="K1455" s="27" t="e">
        <f t="shared" si="173"/>
        <v>#N/A</v>
      </c>
    </row>
    <row r="1456" spans="1:11">
      <c r="A1456" s="26">
        <v>1406</v>
      </c>
      <c r="B1456" s="82" t="e">
        <f t="shared" si="174"/>
        <v>#N/A</v>
      </c>
      <c r="C1456" s="58" t="e">
        <f t="shared" si="178"/>
        <v>#N/A</v>
      </c>
      <c r="D1456" s="83" t="e">
        <f t="shared" si="175"/>
        <v>#N/A</v>
      </c>
      <c r="E1456" t="e">
        <f t="shared" si="171"/>
        <v>#N/A</v>
      </c>
      <c r="G1456">
        <v>1406</v>
      </c>
      <c r="H1456" s="13" t="e">
        <f t="shared" si="176"/>
        <v>#N/A</v>
      </c>
      <c r="I1456" t="e">
        <f t="shared" si="177"/>
        <v>#N/A</v>
      </c>
      <c r="J1456" t="e">
        <f t="shared" si="172"/>
        <v>#N/A</v>
      </c>
      <c r="K1456" s="27" t="e">
        <f t="shared" si="173"/>
        <v>#N/A</v>
      </c>
    </row>
    <row r="1457" spans="1:11">
      <c r="A1457" s="26">
        <v>1407</v>
      </c>
      <c r="B1457" s="82" t="e">
        <f t="shared" si="174"/>
        <v>#N/A</v>
      </c>
      <c r="C1457" s="58" t="e">
        <f t="shared" si="178"/>
        <v>#N/A</v>
      </c>
      <c r="D1457" s="83" t="e">
        <f t="shared" si="175"/>
        <v>#N/A</v>
      </c>
      <c r="E1457" t="e">
        <f t="shared" si="171"/>
        <v>#N/A</v>
      </c>
      <c r="G1457">
        <v>1407</v>
      </c>
      <c r="H1457" s="13" t="e">
        <f t="shared" si="176"/>
        <v>#N/A</v>
      </c>
      <c r="I1457" t="e">
        <f t="shared" si="177"/>
        <v>#N/A</v>
      </c>
      <c r="J1457" t="e">
        <f t="shared" si="172"/>
        <v>#N/A</v>
      </c>
      <c r="K1457" s="27" t="e">
        <f t="shared" si="173"/>
        <v>#N/A</v>
      </c>
    </row>
    <row r="1458" spans="1:11">
      <c r="A1458" s="26">
        <v>1408</v>
      </c>
      <c r="B1458" s="82" t="e">
        <f t="shared" si="174"/>
        <v>#N/A</v>
      </c>
      <c r="C1458" s="58" t="e">
        <f t="shared" si="178"/>
        <v>#N/A</v>
      </c>
      <c r="D1458" s="83" t="e">
        <f t="shared" si="175"/>
        <v>#N/A</v>
      </c>
      <c r="E1458" t="e">
        <f t="shared" si="171"/>
        <v>#N/A</v>
      </c>
      <c r="G1458">
        <v>1408</v>
      </c>
      <c r="H1458" s="13" t="e">
        <f t="shared" si="176"/>
        <v>#N/A</v>
      </c>
      <c r="I1458" t="e">
        <f t="shared" si="177"/>
        <v>#N/A</v>
      </c>
      <c r="J1458" t="e">
        <f t="shared" si="172"/>
        <v>#N/A</v>
      </c>
      <c r="K1458" s="27" t="e">
        <f t="shared" si="173"/>
        <v>#N/A</v>
      </c>
    </row>
    <row r="1459" spans="1:11">
      <c r="A1459" s="26">
        <v>1409</v>
      </c>
      <c r="B1459" s="82" t="e">
        <f t="shared" si="174"/>
        <v>#N/A</v>
      </c>
      <c r="C1459" s="58" t="e">
        <f t="shared" si="178"/>
        <v>#N/A</v>
      </c>
      <c r="D1459" s="83" t="e">
        <f t="shared" si="175"/>
        <v>#N/A</v>
      </c>
      <c r="E1459" t="e">
        <f t="shared" ref="E1459:E1522" si="179">((D1459^2)+(D1459*D1460)+(D1460^2))*B1460/3</f>
        <v>#N/A</v>
      </c>
      <c r="G1459">
        <v>1409</v>
      </c>
      <c r="H1459" s="13" t="e">
        <f t="shared" si="176"/>
        <v>#N/A</v>
      </c>
      <c r="I1459" t="e">
        <f t="shared" si="177"/>
        <v>#N/A</v>
      </c>
      <c r="J1459" t="e">
        <f t="shared" ref="J1459:J1522" si="180">IF($G$28&lt;$C$14,0,((($C$11^2)-((I1459-$C$13)^2))^0.5)+$C$16)</f>
        <v>#N/A</v>
      </c>
      <c r="K1459" s="27" t="e">
        <f t="shared" ref="K1459:K1522" si="181">((J1459^2)+(J1459*J1460)+(J1460^2))*H1460/3</f>
        <v>#N/A</v>
      </c>
    </row>
    <row r="1460" spans="1:11">
      <c r="A1460" s="26">
        <v>1410</v>
      </c>
      <c r="B1460" s="82" t="e">
        <f t="shared" ref="B1460:B1523" si="182">C1460-C1459</f>
        <v>#N/A</v>
      </c>
      <c r="C1460" s="58" t="e">
        <f t="shared" si="178"/>
        <v>#N/A</v>
      </c>
      <c r="D1460" s="83" t="e">
        <f t="shared" ref="D1460:D1523" si="183">IF($G$28&lt;$C$14,0,((($C$11^2)-((C1460-$C$13)^2))^0.5)+$C$16)</f>
        <v>#N/A</v>
      </c>
      <c r="E1460" t="e">
        <f t="shared" si="179"/>
        <v>#N/A</v>
      </c>
      <c r="G1460">
        <v>1410</v>
      </c>
      <c r="H1460" s="13" t="e">
        <f t="shared" ref="H1460:H1523" si="184">I1460-I1459</f>
        <v>#N/A</v>
      </c>
      <c r="I1460" t="e">
        <f t="shared" ref="I1460:I1523" si="185">($G$27-$C$14)/2000+I1459</f>
        <v>#N/A</v>
      </c>
      <c r="J1460" t="e">
        <f t="shared" si="180"/>
        <v>#N/A</v>
      </c>
      <c r="K1460" s="27" t="e">
        <f t="shared" si="181"/>
        <v>#N/A</v>
      </c>
    </row>
    <row r="1461" spans="1:11">
      <c r="A1461" s="26">
        <v>1411</v>
      </c>
      <c r="B1461" s="82" t="e">
        <f t="shared" si="182"/>
        <v>#N/A</v>
      </c>
      <c r="C1461" s="58" t="e">
        <f t="shared" si="178"/>
        <v>#N/A</v>
      </c>
      <c r="D1461" s="83" t="e">
        <f t="shared" si="183"/>
        <v>#N/A</v>
      </c>
      <c r="E1461" t="e">
        <f t="shared" si="179"/>
        <v>#N/A</v>
      </c>
      <c r="G1461">
        <v>1411</v>
      </c>
      <c r="H1461" s="13" t="e">
        <f t="shared" si="184"/>
        <v>#N/A</v>
      </c>
      <c r="I1461" t="e">
        <f t="shared" si="185"/>
        <v>#N/A</v>
      </c>
      <c r="J1461" t="e">
        <f t="shared" si="180"/>
        <v>#N/A</v>
      </c>
      <c r="K1461" s="27" t="e">
        <f t="shared" si="181"/>
        <v>#N/A</v>
      </c>
    </row>
    <row r="1462" spans="1:11">
      <c r="A1462" s="26">
        <v>1412</v>
      </c>
      <c r="B1462" s="82" t="e">
        <f t="shared" si="182"/>
        <v>#N/A</v>
      </c>
      <c r="C1462" s="58" t="e">
        <f t="shared" si="178"/>
        <v>#N/A</v>
      </c>
      <c r="D1462" s="83" t="e">
        <f t="shared" si="183"/>
        <v>#N/A</v>
      </c>
      <c r="E1462" t="e">
        <f t="shared" si="179"/>
        <v>#N/A</v>
      </c>
      <c r="G1462">
        <v>1412</v>
      </c>
      <c r="H1462" s="13" t="e">
        <f t="shared" si="184"/>
        <v>#N/A</v>
      </c>
      <c r="I1462" t="e">
        <f t="shared" si="185"/>
        <v>#N/A</v>
      </c>
      <c r="J1462" t="e">
        <f t="shared" si="180"/>
        <v>#N/A</v>
      </c>
      <c r="K1462" s="27" t="e">
        <f t="shared" si="181"/>
        <v>#N/A</v>
      </c>
    </row>
    <row r="1463" spans="1:11">
      <c r="A1463" s="26">
        <v>1413</v>
      </c>
      <c r="B1463" s="82" t="e">
        <f t="shared" si="182"/>
        <v>#N/A</v>
      </c>
      <c r="C1463" s="58" t="e">
        <f t="shared" si="178"/>
        <v>#N/A</v>
      </c>
      <c r="D1463" s="83" t="e">
        <f t="shared" si="183"/>
        <v>#N/A</v>
      </c>
      <c r="E1463" t="e">
        <f t="shared" si="179"/>
        <v>#N/A</v>
      </c>
      <c r="G1463">
        <v>1413</v>
      </c>
      <c r="H1463" s="13" t="e">
        <f t="shared" si="184"/>
        <v>#N/A</v>
      </c>
      <c r="I1463" t="e">
        <f t="shared" si="185"/>
        <v>#N/A</v>
      </c>
      <c r="J1463" t="e">
        <f t="shared" si="180"/>
        <v>#N/A</v>
      </c>
      <c r="K1463" s="27" t="e">
        <f t="shared" si="181"/>
        <v>#N/A</v>
      </c>
    </row>
    <row r="1464" spans="1:11">
      <c r="A1464" s="26">
        <v>1414</v>
      </c>
      <c r="B1464" s="82" t="e">
        <f t="shared" si="182"/>
        <v>#N/A</v>
      </c>
      <c r="C1464" s="58" t="e">
        <f t="shared" si="178"/>
        <v>#N/A</v>
      </c>
      <c r="D1464" s="83" t="e">
        <f t="shared" si="183"/>
        <v>#N/A</v>
      </c>
      <c r="E1464" t="e">
        <f t="shared" si="179"/>
        <v>#N/A</v>
      </c>
      <c r="G1464">
        <v>1414</v>
      </c>
      <c r="H1464" s="13" t="e">
        <f t="shared" si="184"/>
        <v>#N/A</v>
      </c>
      <c r="I1464" t="e">
        <f t="shared" si="185"/>
        <v>#N/A</v>
      </c>
      <c r="J1464" t="e">
        <f t="shared" si="180"/>
        <v>#N/A</v>
      </c>
      <c r="K1464" s="27" t="e">
        <f t="shared" si="181"/>
        <v>#N/A</v>
      </c>
    </row>
    <row r="1465" spans="1:11">
      <c r="A1465" s="26">
        <v>1415</v>
      </c>
      <c r="B1465" s="82" t="e">
        <f t="shared" si="182"/>
        <v>#N/A</v>
      </c>
      <c r="C1465" s="58" t="e">
        <f t="shared" si="178"/>
        <v>#N/A</v>
      </c>
      <c r="D1465" s="83" t="e">
        <f t="shared" si="183"/>
        <v>#N/A</v>
      </c>
      <c r="E1465" t="e">
        <f t="shared" si="179"/>
        <v>#N/A</v>
      </c>
      <c r="G1465">
        <v>1415</v>
      </c>
      <c r="H1465" s="13" t="e">
        <f t="shared" si="184"/>
        <v>#N/A</v>
      </c>
      <c r="I1465" t="e">
        <f t="shared" si="185"/>
        <v>#N/A</v>
      </c>
      <c r="J1465" t="e">
        <f t="shared" si="180"/>
        <v>#N/A</v>
      </c>
      <c r="K1465" s="27" t="e">
        <f t="shared" si="181"/>
        <v>#N/A</v>
      </c>
    </row>
    <row r="1466" spans="1:11">
      <c r="A1466" s="26">
        <v>1416</v>
      </c>
      <c r="B1466" s="82" t="e">
        <f t="shared" si="182"/>
        <v>#N/A</v>
      </c>
      <c r="C1466" s="58" t="e">
        <f t="shared" si="178"/>
        <v>#N/A</v>
      </c>
      <c r="D1466" s="83" t="e">
        <f t="shared" si="183"/>
        <v>#N/A</v>
      </c>
      <c r="E1466" t="e">
        <f t="shared" si="179"/>
        <v>#N/A</v>
      </c>
      <c r="G1466">
        <v>1416</v>
      </c>
      <c r="H1466" s="13" t="e">
        <f t="shared" si="184"/>
        <v>#N/A</v>
      </c>
      <c r="I1466" t="e">
        <f t="shared" si="185"/>
        <v>#N/A</v>
      </c>
      <c r="J1466" t="e">
        <f t="shared" si="180"/>
        <v>#N/A</v>
      </c>
      <c r="K1466" s="27" t="e">
        <f t="shared" si="181"/>
        <v>#N/A</v>
      </c>
    </row>
    <row r="1467" spans="1:11">
      <c r="A1467" s="26">
        <v>1417</v>
      </c>
      <c r="B1467" s="82" t="e">
        <f t="shared" si="182"/>
        <v>#N/A</v>
      </c>
      <c r="C1467" s="58" t="e">
        <f t="shared" si="178"/>
        <v>#N/A</v>
      </c>
      <c r="D1467" s="83" t="e">
        <f t="shared" si="183"/>
        <v>#N/A</v>
      </c>
      <c r="E1467" t="e">
        <f t="shared" si="179"/>
        <v>#N/A</v>
      </c>
      <c r="G1467">
        <v>1417</v>
      </c>
      <c r="H1467" s="13" t="e">
        <f t="shared" si="184"/>
        <v>#N/A</v>
      </c>
      <c r="I1467" t="e">
        <f t="shared" si="185"/>
        <v>#N/A</v>
      </c>
      <c r="J1467" t="e">
        <f t="shared" si="180"/>
        <v>#N/A</v>
      </c>
      <c r="K1467" s="27" t="e">
        <f t="shared" si="181"/>
        <v>#N/A</v>
      </c>
    </row>
    <row r="1468" spans="1:11">
      <c r="A1468" s="26">
        <v>1418</v>
      </c>
      <c r="B1468" s="82" t="e">
        <f t="shared" si="182"/>
        <v>#N/A</v>
      </c>
      <c r="C1468" s="58" t="e">
        <f t="shared" si="178"/>
        <v>#N/A</v>
      </c>
      <c r="D1468" s="83" t="e">
        <f t="shared" si="183"/>
        <v>#N/A</v>
      </c>
      <c r="E1468" t="e">
        <f t="shared" si="179"/>
        <v>#N/A</v>
      </c>
      <c r="G1468">
        <v>1418</v>
      </c>
      <c r="H1468" s="13" t="e">
        <f t="shared" si="184"/>
        <v>#N/A</v>
      </c>
      <c r="I1468" t="e">
        <f t="shared" si="185"/>
        <v>#N/A</v>
      </c>
      <c r="J1468" t="e">
        <f t="shared" si="180"/>
        <v>#N/A</v>
      </c>
      <c r="K1468" s="27" t="e">
        <f t="shared" si="181"/>
        <v>#N/A</v>
      </c>
    </row>
    <row r="1469" spans="1:11">
      <c r="A1469" s="26">
        <v>1419</v>
      </c>
      <c r="B1469" s="82" t="e">
        <f t="shared" si="182"/>
        <v>#N/A</v>
      </c>
      <c r="C1469" s="58" t="e">
        <f t="shared" si="178"/>
        <v>#N/A</v>
      </c>
      <c r="D1469" s="83" t="e">
        <f t="shared" si="183"/>
        <v>#N/A</v>
      </c>
      <c r="E1469" t="e">
        <f t="shared" si="179"/>
        <v>#N/A</v>
      </c>
      <c r="G1469">
        <v>1419</v>
      </c>
      <c r="H1469" s="13" t="e">
        <f t="shared" si="184"/>
        <v>#N/A</v>
      </c>
      <c r="I1469" t="e">
        <f t="shared" si="185"/>
        <v>#N/A</v>
      </c>
      <c r="J1469" t="e">
        <f t="shared" si="180"/>
        <v>#N/A</v>
      </c>
      <c r="K1469" s="27" t="e">
        <f t="shared" si="181"/>
        <v>#N/A</v>
      </c>
    </row>
    <row r="1470" spans="1:11">
      <c r="A1470" s="26">
        <v>1420</v>
      </c>
      <c r="B1470" s="82" t="e">
        <f t="shared" si="182"/>
        <v>#N/A</v>
      </c>
      <c r="C1470" s="58" t="e">
        <f t="shared" si="178"/>
        <v>#N/A</v>
      </c>
      <c r="D1470" s="83" t="e">
        <f t="shared" si="183"/>
        <v>#N/A</v>
      </c>
      <c r="E1470" t="e">
        <f t="shared" si="179"/>
        <v>#N/A</v>
      </c>
      <c r="G1470">
        <v>1420</v>
      </c>
      <c r="H1470" s="13" t="e">
        <f t="shared" si="184"/>
        <v>#N/A</v>
      </c>
      <c r="I1470" t="e">
        <f t="shared" si="185"/>
        <v>#N/A</v>
      </c>
      <c r="J1470" t="e">
        <f t="shared" si="180"/>
        <v>#N/A</v>
      </c>
      <c r="K1470" s="27" t="e">
        <f t="shared" si="181"/>
        <v>#N/A</v>
      </c>
    </row>
    <row r="1471" spans="1:11">
      <c r="A1471" s="26">
        <v>1421</v>
      </c>
      <c r="B1471" s="82" t="e">
        <f t="shared" si="182"/>
        <v>#N/A</v>
      </c>
      <c r="C1471" s="58" t="e">
        <f t="shared" si="178"/>
        <v>#N/A</v>
      </c>
      <c r="D1471" s="83" t="e">
        <f t="shared" si="183"/>
        <v>#N/A</v>
      </c>
      <c r="E1471" t="e">
        <f t="shared" si="179"/>
        <v>#N/A</v>
      </c>
      <c r="G1471">
        <v>1421</v>
      </c>
      <c r="H1471" s="13" t="e">
        <f t="shared" si="184"/>
        <v>#N/A</v>
      </c>
      <c r="I1471" t="e">
        <f t="shared" si="185"/>
        <v>#N/A</v>
      </c>
      <c r="J1471" t="e">
        <f t="shared" si="180"/>
        <v>#N/A</v>
      </c>
      <c r="K1471" s="27" t="e">
        <f t="shared" si="181"/>
        <v>#N/A</v>
      </c>
    </row>
    <row r="1472" spans="1:11">
      <c r="A1472" s="26">
        <v>1422</v>
      </c>
      <c r="B1472" s="82" t="e">
        <f t="shared" si="182"/>
        <v>#N/A</v>
      </c>
      <c r="C1472" s="58" t="e">
        <f t="shared" si="178"/>
        <v>#N/A</v>
      </c>
      <c r="D1472" s="83" t="e">
        <f t="shared" si="183"/>
        <v>#N/A</v>
      </c>
      <c r="E1472" t="e">
        <f t="shared" si="179"/>
        <v>#N/A</v>
      </c>
      <c r="G1472">
        <v>1422</v>
      </c>
      <c r="H1472" s="13" t="e">
        <f t="shared" si="184"/>
        <v>#N/A</v>
      </c>
      <c r="I1472" t="e">
        <f t="shared" si="185"/>
        <v>#N/A</v>
      </c>
      <c r="J1472" t="e">
        <f t="shared" si="180"/>
        <v>#N/A</v>
      </c>
      <c r="K1472" s="27" t="e">
        <f t="shared" si="181"/>
        <v>#N/A</v>
      </c>
    </row>
    <row r="1473" spans="1:11">
      <c r="A1473" s="26">
        <v>1423</v>
      </c>
      <c r="B1473" s="82" t="e">
        <f t="shared" si="182"/>
        <v>#N/A</v>
      </c>
      <c r="C1473" s="58" t="e">
        <f t="shared" si="178"/>
        <v>#N/A</v>
      </c>
      <c r="D1473" s="83" t="e">
        <f t="shared" si="183"/>
        <v>#N/A</v>
      </c>
      <c r="E1473" t="e">
        <f t="shared" si="179"/>
        <v>#N/A</v>
      </c>
      <c r="G1473">
        <v>1423</v>
      </c>
      <c r="H1473" s="13" t="e">
        <f t="shared" si="184"/>
        <v>#N/A</v>
      </c>
      <c r="I1473" t="e">
        <f t="shared" si="185"/>
        <v>#N/A</v>
      </c>
      <c r="J1473" t="e">
        <f t="shared" si="180"/>
        <v>#N/A</v>
      </c>
      <c r="K1473" s="27" t="e">
        <f t="shared" si="181"/>
        <v>#N/A</v>
      </c>
    </row>
    <row r="1474" spans="1:11">
      <c r="A1474" s="26">
        <v>1424</v>
      </c>
      <c r="B1474" s="82" t="e">
        <f t="shared" si="182"/>
        <v>#N/A</v>
      </c>
      <c r="C1474" s="58" t="e">
        <f t="shared" si="178"/>
        <v>#N/A</v>
      </c>
      <c r="D1474" s="83" t="e">
        <f t="shared" si="183"/>
        <v>#N/A</v>
      </c>
      <c r="E1474" t="e">
        <f t="shared" si="179"/>
        <v>#N/A</v>
      </c>
      <c r="G1474">
        <v>1424</v>
      </c>
      <c r="H1474" s="13" t="e">
        <f t="shared" si="184"/>
        <v>#N/A</v>
      </c>
      <c r="I1474" t="e">
        <f t="shared" si="185"/>
        <v>#N/A</v>
      </c>
      <c r="J1474" t="e">
        <f t="shared" si="180"/>
        <v>#N/A</v>
      </c>
      <c r="K1474" s="27" t="e">
        <f t="shared" si="181"/>
        <v>#N/A</v>
      </c>
    </row>
    <row r="1475" spans="1:11">
      <c r="A1475" s="26">
        <v>1425</v>
      </c>
      <c r="B1475" s="82" t="e">
        <f t="shared" si="182"/>
        <v>#N/A</v>
      </c>
      <c r="C1475" s="58" t="e">
        <f t="shared" si="178"/>
        <v>#N/A</v>
      </c>
      <c r="D1475" s="83" t="e">
        <f t="shared" si="183"/>
        <v>#N/A</v>
      </c>
      <c r="E1475" t="e">
        <f t="shared" si="179"/>
        <v>#N/A</v>
      </c>
      <c r="G1475">
        <v>1425</v>
      </c>
      <c r="H1475" s="13" t="e">
        <f t="shared" si="184"/>
        <v>#N/A</v>
      </c>
      <c r="I1475" t="e">
        <f t="shared" si="185"/>
        <v>#N/A</v>
      </c>
      <c r="J1475" t="e">
        <f t="shared" si="180"/>
        <v>#N/A</v>
      </c>
      <c r="K1475" s="27" t="e">
        <f t="shared" si="181"/>
        <v>#N/A</v>
      </c>
    </row>
    <row r="1476" spans="1:11">
      <c r="A1476" s="26">
        <v>1426</v>
      </c>
      <c r="B1476" s="82" t="e">
        <f t="shared" si="182"/>
        <v>#N/A</v>
      </c>
      <c r="C1476" s="58" t="e">
        <f t="shared" si="178"/>
        <v>#N/A</v>
      </c>
      <c r="D1476" s="83" t="e">
        <f t="shared" si="183"/>
        <v>#N/A</v>
      </c>
      <c r="E1476" t="e">
        <f t="shared" si="179"/>
        <v>#N/A</v>
      </c>
      <c r="G1476">
        <v>1426</v>
      </c>
      <c r="H1476" s="13" t="e">
        <f t="shared" si="184"/>
        <v>#N/A</v>
      </c>
      <c r="I1476" t="e">
        <f t="shared" si="185"/>
        <v>#N/A</v>
      </c>
      <c r="J1476" t="e">
        <f t="shared" si="180"/>
        <v>#N/A</v>
      </c>
      <c r="K1476" s="27" t="e">
        <f t="shared" si="181"/>
        <v>#N/A</v>
      </c>
    </row>
    <row r="1477" spans="1:11">
      <c r="A1477" s="26">
        <v>1427</v>
      </c>
      <c r="B1477" s="82" t="e">
        <f t="shared" si="182"/>
        <v>#N/A</v>
      </c>
      <c r="C1477" s="58" t="e">
        <f t="shared" si="178"/>
        <v>#N/A</v>
      </c>
      <c r="D1477" s="83" t="e">
        <f t="shared" si="183"/>
        <v>#N/A</v>
      </c>
      <c r="E1477" t="e">
        <f t="shared" si="179"/>
        <v>#N/A</v>
      </c>
      <c r="G1477">
        <v>1427</v>
      </c>
      <c r="H1477" s="13" t="e">
        <f t="shared" si="184"/>
        <v>#N/A</v>
      </c>
      <c r="I1477" t="e">
        <f t="shared" si="185"/>
        <v>#N/A</v>
      </c>
      <c r="J1477" t="e">
        <f t="shared" si="180"/>
        <v>#N/A</v>
      </c>
      <c r="K1477" s="27" t="e">
        <f t="shared" si="181"/>
        <v>#N/A</v>
      </c>
    </row>
    <row r="1478" spans="1:11">
      <c r="A1478" s="26">
        <v>1428</v>
      </c>
      <c r="B1478" s="82" t="e">
        <f t="shared" si="182"/>
        <v>#N/A</v>
      </c>
      <c r="C1478" s="58" t="e">
        <f t="shared" si="178"/>
        <v>#N/A</v>
      </c>
      <c r="D1478" s="83" t="e">
        <f t="shared" si="183"/>
        <v>#N/A</v>
      </c>
      <c r="E1478" t="e">
        <f t="shared" si="179"/>
        <v>#N/A</v>
      </c>
      <c r="G1478">
        <v>1428</v>
      </c>
      <c r="H1478" s="13" t="e">
        <f t="shared" si="184"/>
        <v>#N/A</v>
      </c>
      <c r="I1478" t="e">
        <f t="shared" si="185"/>
        <v>#N/A</v>
      </c>
      <c r="J1478" t="e">
        <f t="shared" si="180"/>
        <v>#N/A</v>
      </c>
      <c r="K1478" s="27" t="e">
        <f t="shared" si="181"/>
        <v>#N/A</v>
      </c>
    </row>
    <row r="1479" spans="1:11">
      <c r="A1479" s="26">
        <v>1429</v>
      </c>
      <c r="B1479" s="82" t="e">
        <f t="shared" si="182"/>
        <v>#N/A</v>
      </c>
      <c r="C1479" s="58" t="e">
        <f t="shared" si="178"/>
        <v>#N/A</v>
      </c>
      <c r="D1479" s="83" t="e">
        <f t="shared" si="183"/>
        <v>#N/A</v>
      </c>
      <c r="E1479" t="e">
        <f t="shared" si="179"/>
        <v>#N/A</v>
      </c>
      <c r="G1479">
        <v>1429</v>
      </c>
      <c r="H1479" s="13" t="e">
        <f t="shared" si="184"/>
        <v>#N/A</v>
      </c>
      <c r="I1479" t="e">
        <f t="shared" si="185"/>
        <v>#N/A</v>
      </c>
      <c r="J1479" t="e">
        <f t="shared" si="180"/>
        <v>#N/A</v>
      </c>
      <c r="K1479" s="27" t="e">
        <f t="shared" si="181"/>
        <v>#N/A</v>
      </c>
    </row>
    <row r="1480" spans="1:11">
      <c r="A1480" s="26">
        <v>1430</v>
      </c>
      <c r="B1480" s="82" t="e">
        <f t="shared" si="182"/>
        <v>#N/A</v>
      </c>
      <c r="C1480" s="58" t="e">
        <f t="shared" si="178"/>
        <v>#N/A</v>
      </c>
      <c r="D1480" s="83" t="e">
        <f t="shared" si="183"/>
        <v>#N/A</v>
      </c>
      <c r="E1480" t="e">
        <f t="shared" si="179"/>
        <v>#N/A</v>
      </c>
      <c r="G1480">
        <v>1430</v>
      </c>
      <c r="H1480" s="13" t="e">
        <f t="shared" si="184"/>
        <v>#N/A</v>
      </c>
      <c r="I1480" t="e">
        <f t="shared" si="185"/>
        <v>#N/A</v>
      </c>
      <c r="J1480" t="e">
        <f t="shared" si="180"/>
        <v>#N/A</v>
      </c>
      <c r="K1480" s="27" t="e">
        <f t="shared" si="181"/>
        <v>#N/A</v>
      </c>
    </row>
    <row r="1481" spans="1:11">
      <c r="A1481" s="26">
        <v>1431</v>
      </c>
      <c r="B1481" s="82" t="e">
        <f t="shared" si="182"/>
        <v>#N/A</v>
      </c>
      <c r="C1481" s="58" t="e">
        <f t="shared" si="178"/>
        <v>#N/A</v>
      </c>
      <c r="D1481" s="83" t="e">
        <f t="shared" si="183"/>
        <v>#N/A</v>
      </c>
      <c r="E1481" t="e">
        <f t="shared" si="179"/>
        <v>#N/A</v>
      </c>
      <c r="G1481">
        <v>1431</v>
      </c>
      <c r="H1481" s="13" t="e">
        <f t="shared" si="184"/>
        <v>#N/A</v>
      </c>
      <c r="I1481" t="e">
        <f t="shared" si="185"/>
        <v>#N/A</v>
      </c>
      <c r="J1481" t="e">
        <f t="shared" si="180"/>
        <v>#N/A</v>
      </c>
      <c r="K1481" s="27" t="e">
        <f t="shared" si="181"/>
        <v>#N/A</v>
      </c>
    </row>
    <row r="1482" spans="1:11">
      <c r="A1482" s="26">
        <v>1432</v>
      </c>
      <c r="B1482" s="82" t="e">
        <f t="shared" si="182"/>
        <v>#N/A</v>
      </c>
      <c r="C1482" s="58" t="e">
        <f t="shared" si="178"/>
        <v>#N/A</v>
      </c>
      <c r="D1482" s="83" t="e">
        <f t="shared" si="183"/>
        <v>#N/A</v>
      </c>
      <c r="E1482" t="e">
        <f t="shared" si="179"/>
        <v>#N/A</v>
      </c>
      <c r="G1482">
        <v>1432</v>
      </c>
      <c r="H1482" s="13" t="e">
        <f t="shared" si="184"/>
        <v>#N/A</v>
      </c>
      <c r="I1482" t="e">
        <f t="shared" si="185"/>
        <v>#N/A</v>
      </c>
      <c r="J1482" t="e">
        <f t="shared" si="180"/>
        <v>#N/A</v>
      </c>
      <c r="K1482" s="27" t="e">
        <f t="shared" si="181"/>
        <v>#N/A</v>
      </c>
    </row>
    <row r="1483" spans="1:11">
      <c r="A1483" s="26">
        <v>1433</v>
      </c>
      <c r="B1483" s="82" t="e">
        <f t="shared" si="182"/>
        <v>#N/A</v>
      </c>
      <c r="C1483" s="58" t="e">
        <f t="shared" si="178"/>
        <v>#N/A</v>
      </c>
      <c r="D1483" s="83" t="e">
        <f t="shared" si="183"/>
        <v>#N/A</v>
      </c>
      <c r="E1483" t="e">
        <f t="shared" si="179"/>
        <v>#N/A</v>
      </c>
      <c r="G1483">
        <v>1433</v>
      </c>
      <c r="H1483" s="13" t="e">
        <f t="shared" si="184"/>
        <v>#N/A</v>
      </c>
      <c r="I1483" t="e">
        <f t="shared" si="185"/>
        <v>#N/A</v>
      </c>
      <c r="J1483" t="e">
        <f t="shared" si="180"/>
        <v>#N/A</v>
      </c>
      <c r="K1483" s="27" t="e">
        <f t="shared" si="181"/>
        <v>#N/A</v>
      </c>
    </row>
    <row r="1484" spans="1:11">
      <c r="A1484" s="26">
        <v>1434</v>
      </c>
      <c r="B1484" s="82" t="e">
        <f t="shared" si="182"/>
        <v>#N/A</v>
      </c>
      <c r="C1484" s="58" t="e">
        <f t="shared" si="178"/>
        <v>#N/A</v>
      </c>
      <c r="D1484" s="83" t="e">
        <f t="shared" si="183"/>
        <v>#N/A</v>
      </c>
      <c r="E1484" t="e">
        <f t="shared" si="179"/>
        <v>#N/A</v>
      </c>
      <c r="G1484">
        <v>1434</v>
      </c>
      <c r="H1484" s="13" t="e">
        <f t="shared" si="184"/>
        <v>#N/A</v>
      </c>
      <c r="I1484" t="e">
        <f t="shared" si="185"/>
        <v>#N/A</v>
      </c>
      <c r="J1484" t="e">
        <f t="shared" si="180"/>
        <v>#N/A</v>
      </c>
      <c r="K1484" s="27" t="e">
        <f t="shared" si="181"/>
        <v>#N/A</v>
      </c>
    </row>
    <row r="1485" spans="1:11">
      <c r="A1485" s="26">
        <v>1435</v>
      </c>
      <c r="B1485" s="82" t="e">
        <f t="shared" si="182"/>
        <v>#N/A</v>
      </c>
      <c r="C1485" s="58" t="e">
        <f t="shared" si="178"/>
        <v>#N/A</v>
      </c>
      <c r="D1485" s="83" t="e">
        <f t="shared" si="183"/>
        <v>#N/A</v>
      </c>
      <c r="E1485" t="e">
        <f t="shared" si="179"/>
        <v>#N/A</v>
      </c>
      <c r="G1485">
        <v>1435</v>
      </c>
      <c r="H1485" s="13" t="e">
        <f t="shared" si="184"/>
        <v>#N/A</v>
      </c>
      <c r="I1485" t="e">
        <f t="shared" si="185"/>
        <v>#N/A</v>
      </c>
      <c r="J1485" t="e">
        <f t="shared" si="180"/>
        <v>#N/A</v>
      </c>
      <c r="K1485" s="27" t="e">
        <f t="shared" si="181"/>
        <v>#N/A</v>
      </c>
    </row>
    <row r="1486" spans="1:11">
      <c r="A1486" s="26">
        <v>1436</v>
      </c>
      <c r="B1486" s="82" t="e">
        <f t="shared" si="182"/>
        <v>#N/A</v>
      </c>
      <c r="C1486" s="58" t="e">
        <f t="shared" si="178"/>
        <v>#N/A</v>
      </c>
      <c r="D1486" s="83" t="e">
        <f t="shared" si="183"/>
        <v>#N/A</v>
      </c>
      <c r="E1486" t="e">
        <f t="shared" si="179"/>
        <v>#N/A</v>
      </c>
      <c r="G1486">
        <v>1436</v>
      </c>
      <c r="H1486" s="13" t="e">
        <f t="shared" si="184"/>
        <v>#N/A</v>
      </c>
      <c r="I1486" t="e">
        <f t="shared" si="185"/>
        <v>#N/A</v>
      </c>
      <c r="J1486" t="e">
        <f t="shared" si="180"/>
        <v>#N/A</v>
      </c>
      <c r="K1486" s="27" t="e">
        <f t="shared" si="181"/>
        <v>#N/A</v>
      </c>
    </row>
    <row r="1487" spans="1:11">
      <c r="A1487" s="26">
        <v>1437</v>
      </c>
      <c r="B1487" s="82" t="e">
        <f t="shared" si="182"/>
        <v>#N/A</v>
      </c>
      <c r="C1487" s="58" t="e">
        <f t="shared" si="178"/>
        <v>#N/A</v>
      </c>
      <c r="D1487" s="83" t="e">
        <f t="shared" si="183"/>
        <v>#N/A</v>
      </c>
      <c r="E1487" t="e">
        <f t="shared" si="179"/>
        <v>#N/A</v>
      </c>
      <c r="G1487">
        <v>1437</v>
      </c>
      <c r="H1487" s="13" t="e">
        <f t="shared" si="184"/>
        <v>#N/A</v>
      </c>
      <c r="I1487" t="e">
        <f t="shared" si="185"/>
        <v>#N/A</v>
      </c>
      <c r="J1487" t="e">
        <f t="shared" si="180"/>
        <v>#N/A</v>
      </c>
      <c r="K1487" s="27" t="e">
        <f t="shared" si="181"/>
        <v>#N/A</v>
      </c>
    </row>
    <row r="1488" spans="1:11">
      <c r="A1488" s="26">
        <v>1438</v>
      </c>
      <c r="B1488" s="82" t="e">
        <f t="shared" si="182"/>
        <v>#N/A</v>
      </c>
      <c r="C1488" s="58" t="e">
        <f t="shared" ref="C1488:C1551" si="186">($C$37-$C$36)/2000+C1487</f>
        <v>#N/A</v>
      </c>
      <c r="D1488" s="83" t="e">
        <f t="shared" si="183"/>
        <v>#N/A</v>
      </c>
      <c r="E1488" t="e">
        <f t="shared" si="179"/>
        <v>#N/A</v>
      </c>
      <c r="G1488">
        <v>1438</v>
      </c>
      <c r="H1488" s="13" t="e">
        <f t="shared" si="184"/>
        <v>#N/A</v>
      </c>
      <c r="I1488" t="e">
        <f t="shared" si="185"/>
        <v>#N/A</v>
      </c>
      <c r="J1488" t="e">
        <f t="shared" si="180"/>
        <v>#N/A</v>
      </c>
      <c r="K1488" s="27" t="e">
        <f t="shared" si="181"/>
        <v>#N/A</v>
      </c>
    </row>
    <row r="1489" spans="1:11">
      <c r="A1489" s="26">
        <v>1439</v>
      </c>
      <c r="B1489" s="82" t="e">
        <f t="shared" si="182"/>
        <v>#N/A</v>
      </c>
      <c r="C1489" s="58" t="e">
        <f t="shared" si="186"/>
        <v>#N/A</v>
      </c>
      <c r="D1489" s="83" t="e">
        <f t="shared" si="183"/>
        <v>#N/A</v>
      </c>
      <c r="E1489" t="e">
        <f t="shared" si="179"/>
        <v>#N/A</v>
      </c>
      <c r="G1489">
        <v>1439</v>
      </c>
      <c r="H1489" s="13" t="e">
        <f t="shared" si="184"/>
        <v>#N/A</v>
      </c>
      <c r="I1489" t="e">
        <f t="shared" si="185"/>
        <v>#N/A</v>
      </c>
      <c r="J1489" t="e">
        <f t="shared" si="180"/>
        <v>#N/A</v>
      </c>
      <c r="K1489" s="27" t="e">
        <f t="shared" si="181"/>
        <v>#N/A</v>
      </c>
    </row>
    <row r="1490" spans="1:11">
      <c r="A1490" s="26">
        <v>1440</v>
      </c>
      <c r="B1490" s="82" t="e">
        <f t="shared" si="182"/>
        <v>#N/A</v>
      </c>
      <c r="C1490" s="58" t="e">
        <f t="shared" si="186"/>
        <v>#N/A</v>
      </c>
      <c r="D1490" s="83" t="e">
        <f t="shared" si="183"/>
        <v>#N/A</v>
      </c>
      <c r="E1490" t="e">
        <f t="shared" si="179"/>
        <v>#N/A</v>
      </c>
      <c r="G1490">
        <v>1440</v>
      </c>
      <c r="H1490" s="13" t="e">
        <f t="shared" si="184"/>
        <v>#N/A</v>
      </c>
      <c r="I1490" t="e">
        <f t="shared" si="185"/>
        <v>#N/A</v>
      </c>
      <c r="J1490" t="e">
        <f t="shared" si="180"/>
        <v>#N/A</v>
      </c>
      <c r="K1490" s="27" t="e">
        <f t="shared" si="181"/>
        <v>#N/A</v>
      </c>
    </row>
    <row r="1491" spans="1:11">
      <c r="A1491" s="26">
        <v>1441</v>
      </c>
      <c r="B1491" s="82" t="e">
        <f t="shared" si="182"/>
        <v>#N/A</v>
      </c>
      <c r="C1491" s="58" t="e">
        <f t="shared" si="186"/>
        <v>#N/A</v>
      </c>
      <c r="D1491" s="83" t="e">
        <f t="shared" si="183"/>
        <v>#N/A</v>
      </c>
      <c r="E1491" t="e">
        <f t="shared" si="179"/>
        <v>#N/A</v>
      </c>
      <c r="G1491">
        <v>1441</v>
      </c>
      <c r="H1491" s="13" t="e">
        <f t="shared" si="184"/>
        <v>#N/A</v>
      </c>
      <c r="I1491" t="e">
        <f t="shared" si="185"/>
        <v>#N/A</v>
      </c>
      <c r="J1491" t="e">
        <f t="shared" si="180"/>
        <v>#N/A</v>
      </c>
      <c r="K1491" s="27" t="e">
        <f t="shared" si="181"/>
        <v>#N/A</v>
      </c>
    </row>
    <row r="1492" spans="1:11">
      <c r="A1492" s="26">
        <v>1442</v>
      </c>
      <c r="B1492" s="82" t="e">
        <f t="shared" si="182"/>
        <v>#N/A</v>
      </c>
      <c r="C1492" s="58" t="e">
        <f t="shared" si="186"/>
        <v>#N/A</v>
      </c>
      <c r="D1492" s="83" t="e">
        <f t="shared" si="183"/>
        <v>#N/A</v>
      </c>
      <c r="E1492" t="e">
        <f t="shared" si="179"/>
        <v>#N/A</v>
      </c>
      <c r="G1492">
        <v>1442</v>
      </c>
      <c r="H1492" s="13" t="e">
        <f t="shared" si="184"/>
        <v>#N/A</v>
      </c>
      <c r="I1492" t="e">
        <f t="shared" si="185"/>
        <v>#N/A</v>
      </c>
      <c r="J1492" t="e">
        <f t="shared" si="180"/>
        <v>#N/A</v>
      </c>
      <c r="K1492" s="27" t="e">
        <f t="shared" si="181"/>
        <v>#N/A</v>
      </c>
    </row>
    <row r="1493" spans="1:11">
      <c r="A1493" s="26">
        <v>1443</v>
      </c>
      <c r="B1493" s="82" t="e">
        <f t="shared" si="182"/>
        <v>#N/A</v>
      </c>
      <c r="C1493" s="58" t="e">
        <f t="shared" si="186"/>
        <v>#N/A</v>
      </c>
      <c r="D1493" s="83" t="e">
        <f t="shared" si="183"/>
        <v>#N/A</v>
      </c>
      <c r="E1493" t="e">
        <f t="shared" si="179"/>
        <v>#N/A</v>
      </c>
      <c r="G1493">
        <v>1443</v>
      </c>
      <c r="H1493" s="13" t="e">
        <f t="shared" si="184"/>
        <v>#N/A</v>
      </c>
      <c r="I1493" t="e">
        <f t="shared" si="185"/>
        <v>#N/A</v>
      </c>
      <c r="J1493" t="e">
        <f t="shared" si="180"/>
        <v>#N/A</v>
      </c>
      <c r="K1493" s="27" t="e">
        <f t="shared" si="181"/>
        <v>#N/A</v>
      </c>
    </row>
    <row r="1494" spans="1:11">
      <c r="A1494" s="26">
        <v>1444</v>
      </c>
      <c r="B1494" s="82" t="e">
        <f t="shared" si="182"/>
        <v>#N/A</v>
      </c>
      <c r="C1494" s="58" t="e">
        <f t="shared" si="186"/>
        <v>#N/A</v>
      </c>
      <c r="D1494" s="83" t="e">
        <f t="shared" si="183"/>
        <v>#N/A</v>
      </c>
      <c r="E1494" t="e">
        <f t="shared" si="179"/>
        <v>#N/A</v>
      </c>
      <c r="G1494">
        <v>1444</v>
      </c>
      <c r="H1494" s="13" t="e">
        <f t="shared" si="184"/>
        <v>#N/A</v>
      </c>
      <c r="I1494" t="e">
        <f t="shared" si="185"/>
        <v>#N/A</v>
      </c>
      <c r="J1494" t="e">
        <f t="shared" si="180"/>
        <v>#N/A</v>
      </c>
      <c r="K1494" s="27" t="e">
        <f t="shared" si="181"/>
        <v>#N/A</v>
      </c>
    </row>
    <row r="1495" spans="1:11">
      <c r="A1495" s="26">
        <v>1445</v>
      </c>
      <c r="B1495" s="82" t="e">
        <f t="shared" si="182"/>
        <v>#N/A</v>
      </c>
      <c r="C1495" s="58" t="e">
        <f t="shared" si="186"/>
        <v>#N/A</v>
      </c>
      <c r="D1495" s="83" t="e">
        <f t="shared" si="183"/>
        <v>#N/A</v>
      </c>
      <c r="E1495" t="e">
        <f t="shared" si="179"/>
        <v>#N/A</v>
      </c>
      <c r="G1495">
        <v>1445</v>
      </c>
      <c r="H1495" s="13" t="e">
        <f t="shared" si="184"/>
        <v>#N/A</v>
      </c>
      <c r="I1495" t="e">
        <f t="shared" si="185"/>
        <v>#N/A</v>
      </c>
      <c r="J1495" t="e">
        <f t="shared" si="180"/>
        <v>#N/A</v>
      </c>
      <c r="K1495" s="27" t="e">
        <f t="shared" si="181"/>
        <v>#N/A</v>
      </c>
    </row>
    <row r="1496" spans="1:11">
      <c r="A1496" s="26">
        <v>1446</v>
      </c>
      <c r="B1496" s="82" t="e">
        <f t="shared" si="182"/>
        <v>#N/A</v>
      </c>
      <c r="C1496" s="58" t="e">
        <f t="shared" si="186"/>
        <v>#N/A</v>
      </c>
      <c r="D1496" s="83" t="e">
        <f t="shared" si="183"/>
        <v>#N/A</v>
      </c>
      <c r="E1496" t="e">
        <f t="shared" si="179"/>
        <v>#N/A</v>
      </c>
      <c r="G1496">
        <v>1446</v>
      </c>
      <c r="H1496" s="13" t="e">
        <f t="shared" si="184"/>
        <v>#N/A</v>
      </c>
      <c r="I1496" t="e">
        <f t="shared" si="185"/>
        <v>#N/A</v>
      </c>
      <c r="J1496" t="e">
        <f t="shared" si="180"/>
        <v>#N/A</v>
      </c>
      <c r="K1496" s="27" t="e">
        <f t="shared" si="181"/>
        <v>#N/A</v>
      </c>
    </row>
    <row r="1497" spans="1:11">
      <c r="A1497" s="26">
        <v>1447</v>
      </c>
      <c r="B1497" s="82" t="e">
        <f t="shared" si="182"/>
        <v>#N/A</v>
      </c>
      <c r="C1497" s="58" t="e">
        <f t="shared" si="186"/>
        <v>#N/A</v>
      </c>
      <c r="D1497" s="83" t="e">
        <f t="shared" si="183"/>
        <v>#N/A</v>
      </c>
      <c r="E1497" t="e">
        <f t="shared" si="179"/>
        <v>#N/A</v>
      </c>
      <c r="G1497">
        <v>1447</v>
      </c>
      <c r="H1497" s="13" t="e">
        <f t="shared" si="184"/>
        <v>#N/A</v>
      </c>
      <c r="I1497" t="e">
        <f t="shared" si="185"/>
        <v>#N/A</v>
      </c>
      <c r="J1497" t="e">
        <f t="shared" si="180"/>
        <v>#N/A</v>
      </c>
      <c r="K1497" s="27" t="e">
        <f t="shared" si="181"/>
        <v>#N/A</v>
      </c>
    </row>
    <row r="1498" spans="1:11">
      <c r="A1498" s="26">
        <v>1448</v>
      </c>
      <c r="B1498" s="82" t="e">
        <f t="shared" si="182"/>
        <v>#N/A</v>
      </c>
      <c r="C1498" s="58" t="e">
        <f t="shared" si="186"/>
        <v>#N/A</v>
      </c>
      <c r="D1498" s="83" t="e">
        <f t="shared" si="183"/>
        <v>#N/A</v>
      </c>
      <c r="E1498" t="e">
        <f t="shared" si="179"/>
        <v>#N/A</v>
      </c>
      <c r="G1498">
        <v>1448</v>
      </c>
      <c r="H1498" s="13" t="e">
        <f t="shared" si="184"/>
        <v>#N/A</v>
      </c>
      <c r="I1498" t="e">
        <f t="shared" si="185"/>
        <v>#N/A</v>
      </c>
      <c r="J1498" t="e">
        <f t="shared" si="180"/>
        <v>#N/A</v>
      </c>
      <c r="K1498" s="27" t="e">
        <f t="shared" si="181"/>
        <v>#N/A</v>
      </c>
    </row>
    <row r="1499" spans="1:11">
      <c r="A1499" s="26">
        <v>1449</v>
      </c>
      <c r="B1499" s="82" t="e">
        <f t="shared" si="182"/>
        <v>#N/A</v>
      </c>
      <c r="C1499" s="58" t="e">
        <f t="shared" si="186"/>
        <v>#N/A</v>
      </c>
      <c r="D1499" s="83" t="e">
        <f t="shared" si="183"/>
        <v>#N/A</v>
      </c>
      <c r="E1499" t="e">
        <f t="shared" si="179"/>
        <v>#N/A</v>
      </c>
      <c r="G1499">
        <v>1449</v>
      </c>
      <c r="H1499" s="13" t="e">
        <f t="shared" si="184"/>
        <v>#N/A</v>
      </c>
      <c r="I1499" t="e">
        <f t="shared" si="185"/>
        <v>#N/A</v>
      </c>
      <c r="J1499" t="e">
        <f t="shared" si="180"/>
        <v>#N/A</v>
      </c>
      <c r="K1499" s="27" t="e">
        <f t="shared" si="181"/>
        <v>#N/A</v>
      </c>
    </row>
    <row r="1500" spans="1:11">
      <c r="A1500" s="26">
        <v>1450</v>
      </c>
      <c r="B1500" s="82" t="e">
        <f t="shared" si="182"/>
        <v>#N/A</v>
      </c>
      <c r="C1500" s="58" t="e">
        <f t="shared" si="186"/>
        <v>#N/A</v>
      </c>
      <c r="D1500" s="83" t="e">
        <f t="shared" si="183"/>
        <v>#N/A</v>
      </c>
      <c r="E1500" t="e">
        <f t="shared" si="179"/>
        <v>#N/A</v>
      </c>
      <c r="G1500">
        <v>1450</v>
      </c>
      <c r="H1500" s="13" t="e">
        <f t="shared" si="184"/>
        <v>#N/A</v>
      </c>
      <c r="I1500" t="e">
        <f t="shared" si="185"/>
        <v>#N/A</v>
      </c>
      <c r="J1500" t="e">
        <f t="shared" si="180"/>
        <v>#N/A</v>
      </c>
      <c r="K1500" s="27" t="e">
        <f t="shared" si="181"/>
        <v>#N/A</v>
      </c>
    </row>
    <row r="1501" spans="1:11">
      <c r="A1501" s="26">
        <v>1451</v>
      </c>
      <c r="B1501" s="82" t="e">
        <f t="shared" si="182"/>
        <v>#N/A</v>
      </c>
      <c r="C1501" s="58" t="e">
        <f t="shared" si="186"/>
        <v>#N/A</v>
      </c>
      <c r="D1501" s="83" t="e">
        <f t="shared" si="183"/>
        <v>#N/A</v>
      </c>
      <c r="E1501" t="e">
        <f t="shared" si="179"/>
        <v>#N/A</v>
      </c>
      <c r="G1501">
        <v>1451</v>
      </c>
      <c r="H1501" s="13" t="e">
        <f t="shared" si="184"/>
        <v>#N/A</v>
      </c>
      <c r="I1501" t="e">
        <f t="shared" si="185"/>
        <v>#N/A</v>
      </c>
      <c r="J1501" t="e">
        <f t="shared" si="180"/>
        <v>#N/A</v>
      </c>
      <c r="K1501" s="27" t="e">
        <f t="shared" si="181"/>
        <v>#N/A</v>
      </c>
    </row>
    <row r="1502" spans="1:11">
      <c r="A1502" s="26">
        <v>1452</v>
      </c>
      <c r="B1502" s="82" t="e">
        <f t="shared" si="182"/>
        <v>#N/A</v>
      </c>
      <c r="C1502" s="58" t="e">
        <f t="shared" si="186"/>
        <v>#N/A</v>
      </c>
      <c r="D1502" s="83" t="e">
        <f t="shared" si="183"/>
        <v>#N/A</v>
      </c>
      <c r="E1502" t="e">
        <f t="shared" si="179"/>
        <v>#N/A</v>
      </c>
      <c r="G1502">
        <v>1452</v>
      </c>
      <c r="H1502" s="13" t="e">
        <f t="shared" si="184"/>
        <v>#N/A</v>
      </c>
      <c r="I1502" t="e">
        <f t="shared" si="185"/>
        <v>#N/A</v>
      </c>
      <c r="J1502" t="e">
        <f t="shared" si="180"/>
        <v>#N/A</v>
      </c>
      <c r="K1502" s="27" t="e">
        <f t="shared" si="181"/>
        <v>#N/A</v>
      </c>
    </row>
    <row r="1503" spans="1:11">
      <c r="A1503" s="26">
        <v>1453</v>
      </c>
      <c r="B1503" s="82" t="e">
        <f t="shared" si="182"/>
        <v>#N/A</v>
      </c>
      <c r="C1503" s="58" t="e">
        <f t="shared" si="186"/>
        <v>#N/A</v>
      </c>
      <c r="D1503" s="83" t="e">
        <f t="shared" si="183"/>
        <v>#N/A</v>
      </c>
      <c r="E1503" t="e">
        <f t="shared" si="179"/>
        <v>#N/A</v>
      </c>
      <c r="G1503">
        <v>1453</v>
      </c>
      <c r="H1503" s="13" t="e">
        <f t="shared" si="184"/>
        <v>#N/A</v>
      </c>
      <c r="I1503" t="e">
        <f t="shared" si="185"/>
        <v>#N/A</v>
      </c>
      <c r="J1503" t="e">
        <f t="shared" si="180"/>
        <v>#N/A</v>
      </c>
      <c r="K1503" s="27" t="e">
        <f t="shared" si="181"/>
        <v>#N/A</v>
      </c>
    </row>
    <row r="1504" spans="1:11">
      <c r="A1504" s="26">
        <v>1454</v>
      </c>
      <c r="B1504" s="82" t="e">
        <f t="shared" si="182"/>
        <v>#N/A</v>
      </c>
      <c r="C1504" s="58" t="e">
        <f t="shared" si="186"/>
        <v>#N/A</v>
      </c>
      <c r="D1504" s="83" t="e">
        <f t="shared" si="183"/>
        <v>#N/A</v>
      </c>
      <c r="E1504" t="e">
        <f t="shared" si="179"/>
        <v>#N/A</v>
      </c>
      <c r="G1504">
        <v>1454</v>
      </c>
      <c r="H1504" s="13" t="e">
        <f t="shared" si="184"/>
        <v>#N/A</v>
      </c>
      <c r="I1504" t="e">
        <f t="shared" si="185"/>
        <v>#N/A</v>
      </c>
      <c r="J1504" t="e">
        <f t="shared" si="180"/>
        <v>#N/A</v>
      </c>
      <c r="K1504" s="27" t="e">
        <f t="shared" si="181"/>
        <v>#N/A</v>
      </c>
    </row>
    <row r="1505" spans="1:11">
      <c r="A1505" s="26">
        <v>1455</v>
      </c>
      <c r="B1505" s="82" t="e">
        <f t="shared" si="182"/>
        <v>#N/A</v>
      </c>
      <c r="C1505" s="58" t="e">
        <f t="shared" si="186"/>
        <v>#N/A</v>
      </c>
      <c r="D1505" s="83" t="e">
        <f t="shared" si="183"/>
        <v>#N/A</v>
      </c>
      <c r="E1505" t="e">
        <f t="shared" si="179"/>
        <v>#N/A</v>
      </c>
      <c r="G1505">
        <v>1455</v>
      </c>
      <c r="H1505" s="13" t="e">
        <f t="shared" si="184"/>
        <v>#N/A</v>
      </c>
      <c r="I1505" t="e">
        <f t="shared" si="185"/>
        <v>#N/A</v>
      </c>
      <c r="J1505" t="e">
        <f t="shared" si="180"/>
        <v>#N/A</v>
      </c>
      <c r="K1505" s="27" t="e">
        <f t="shared" si="181"/>
        <v>#N/A</v>
      </c>
    </row>
    <row r="1506" spans="1:11">
      <c r="A1506" s="26">
        <v>1456</v>
      </c>
      <c r="B1506" s="82" t="e">
        <f t="shared" si="182"/>
        <v>#N/A</v>
      </c>
      <c r="C1506" s="58" t="e">
        <f t="shared" si="186"/>
        <v>#N/A</v>
      </c>
      <c r="D1506" s="83" t="e">
        <f t="shared" si="183"/>
        <v>#N/A</v>
      </c>
      <c r="E1506" t="e">
        <f t="shared" si="179"/>
        <v>#N/A</v>
      </c>
      <c r="G1506">
        <v>1456</v>
      </c>
      <c r="H1506" s="13" t="e">
        <f t="shared" si="184"/>
        <v>#N/A</v>
      </c>
      <c r="I1506" t="e">
        <f t="shared" si="185"/>
        <v>#N/A</v>
      </c>
      <c r="J1506" t="e">
        <f t="shared" si="180"/>
        <v>#N/A</v>
      </c>
      <c r="K1506" s="27" t="e">
        <f t="shared" si="181"/>
        <v>#N/A</v>
      </c>
    </row>
    <row r="1507" spans="1:11">
      <c r="A1507" s="26">
        <v>1457</v>
      </c>
      <c r="B1507" s="82" t="e">
        <f t="shared" si="182"/>
        <v>#N/A</v>
      </c>
      <c r="C1507" s="58" t="e">
        <f t="shared" si="186"/>
        <v>#N/A</v>
      </c>
      <c r="D1507" s="83" t="e">
        <f t="shared" si="183"/>
        <v>#N/A</v>
      </c>
      <c r="E1507" t="e">
        <f t="shared" si="179"/>
        <v>#N/A</v>
      </c>
      <c r="G1507">
        <v>1457</v>
      </c>
      <c r="H1507" s="13" t="e">
        <f t="shared" si="184"/>
        <v>#N/A</v>
      </c>
      <c r="I1507" t="e">
        <f t="shared" si="185"/>
        <v>#N/A</v>
      </c>
      <c r="J1507" t="e">
        <f t="shared" si="180"/>
        <v>#N/A</v>
      </c>
      <c r="K1507" s="27" t="e">
        <f t="shared" si="181"/>
        <v>#N/A</v>
      </c>
    </row>
    <row r="1508" spans="1:11">
      <c r="A1508" s="26">
        <v>1458</v>
      </c>
      <c r="B1508" s="82" t="e">
        <f t="shared" si="182"/>
        <v>#N/A</v>
      </c>
      <c r="C1508" s="58" t="e">
        <f t="shared" si="186"/>
        <v>#N/A</v>
      </c>
      <c r="D1508" s="83" t="e">
        <f t="shared" si="183"/>
        <v>#N/A</v>
      </c>
      <c r="E1508" t="e">
        <f t="shared" si="179"/>
        <v>#N/A</v>
      </c>
      <c r="G1508">
        <v>1458</v>
      </c>
      <c r="H1508" s="13" t="e">
        <f t="shared" si="184"/>
        <v>#N/A</v>
      </c>
      <c r="I1508" t="e">
        <f t="shared" si="185"/>
        <v>#N/A</v>
      </c>
      <c r="J1508" t="e">
        <f t="shared" si="180"/>
        <v>#N/A</v>
      </c>
      <c r="K1508" s="27" t="e">
        <f t="shared" si="181"/>
        <v>#N/A</v>
      </c>
    </row>
    <row r="1509" spans="1:11">
      <c r="A1509" s="26">
        <v>1459</v>
      </c>
      <c r="B1509" s="82" t="e">
        <f t="shared" si="182"/>
        <v>#N/A</v>
      </c>
      <c r="C1509" s="58" t="e">
        <f t="shared" si="186"/>
        <v>#N/A</v>
      </c>
      <c r="D1509" s="83" t="e">
        <f t="shared" si="183"/>
        <v>#N/A</v>
      </c>
      <c r="E1509" t="e">
        <f t="shared" si="179"/>
        <v>#N/A</v>
      </c>
      <c r="G1509">
        <v>1459</v>
      </c>
      <c r="H1509" s="13" t="e">
        <f t="shared" si="184"/>
        <v>#N/A</v>
      </c>
      <c r="I1509" t="e">
        <f t="shared" si="185"/>
        <v>#N/A</v>
      </c>
      <c r="J1509" t="e">
        <f t="shared" si="180"/>
        <v>#N/A</v>
      </c>
      <c r="K1509" s="27" t="e">
        <f t="shared" si="181"/>
        <v>#N/A</v>
      </c>
    </row>
    <row r="1510" spans="1:11">
      <c r="A1510" s="26">
        <v>1460</v>
      </c>
      <c r="B1510" s="82" t="e">
        <f t="shared" si="182"/>
        <v>#N/A</v>
      </c>
      <c r="C1510" s="58" t="e">
        <f t="shared" si="186"/>
        <v>#N/A</v>
      </c>
      <c r="D1510" s="83" t="e">
        <f t="shared" si="183"/>
        <v>#N/A</v>
      </c>
      <c r="E1510" t="e">
        <f t="shared" si="179"/>
        <v>#N/A</v>
      </c>
      <c r="G1510">
        <v>1460</v>
      </c>
      <c r="H1510" s="13" t="e">
        <f t="shared" si="184"/>
        <v>#N/A</v>
      </c>
      <c r="I1510" t="e">
        <f t="shared" si="185"/>
        <v>#N/A</v>
      </c>
      <c r="J1510" t="e">
        <f t="shared" si="180"/>
        <v>#N/A</v>
      </c>
      <c r="K1510" s="27" t="e">
        <f t="shared" si="181"/>
        <v>#N/A</v>
      </c>
    </row>
    <row r="1511" spans="1:11">
      <c r="A1511" s="26">
        <v>1461</v>
      </c>
      <c r="B1511" s="82" t="e">
        <f t="shared" si="182"/>
        <v>#N/A</v>
      </c>
      <c r="C1511" s="58" t="e">
        <f t="shared" si="186"/>
        <v>#N/A</v>
      </c>
      <c r="D1511" s="83" t="e">
        <f t="shared" si="183"/>
        <v>#N/A</v>
      </c>
      <c r="E1511" t="e">
        <f t="shared" si="179"/>
        <v>#N/A</v>
      </c>
      <c r="G1511">
        <v>1461</v>
      </c>
      <c r="H1511" s="13" t="e">
        <f t="shared" si="184"/>
        <v>#N/A</v>
      </c>
      <c r="I1511" t="e">
        <f t="shared" si="185"/>
        <v>#N/A</v>
      </c>
      <c r="J1511" t="e">
        <f t="shared" si="180"/>
        <v>#N/A</v>
      </c>
      <c r="K1511" s="27" t="e">
        <f t="shared" si="181"/>
        <v>#N/A</v>
      </c>
    </row>
    <row r="1512" spans="1:11">
      <c r="A1512" s="26">
        <v>1462</v>
      </c>
      <c r="B1512" s="82" t="e">
        <f t="shared" si="182"/>
        <v>#N/A</v>
      </c>
      <c r="C1512" s="58" t="e">
        <f t="shared" si="186"/>
        <v>#N/A</v>
      </c>
      <c r="D1512" s="83" t="e">
        <f t="shared" si="183"/>
        <v>#N/A</v>
      </c>
      <c r="E1512" t="e">
        <f t="shared" si="179"/>
        <v>#N/A</v>
      </c>
      <c r="G1512">
        <v>1462</v>
      </c>
      <c r="H1512" s="13" t="e">
        <f t="shared" si="184"/>
        <v>#N/A</v>
      </c>
      <c r="I1512" t="e">
        <f t="shared" si="185"/>
        <v>#N/A</v>
      </c>
      <c r="J1512" t="e">
        <f t="shared" si="180"/>
        <v>#N/A</v>
      </c>
      <c r="K1512" s="27" t="e">
        <f t="shared" si="181"/>
        <v>#N/A</v>
      </c>
    </row>
    <row r="1513" spans="1:11">
      <c r="A1513" s="26">
        <v>1463</v>
      </c>
      <c r="B1513" s="82" t="e">
        <f t="shared" si="182"/>
        <v>#N/A</v>
      </c>
      <c r="C1513" s="58" t="e">
        <f t="shared" si="186"/>
        <v>#N/A</v>
      </c>
      <c r="D1513" s="83" t="e">
        <f t="shared" si="183"/>
        <v>#N/A</v>
      </c>
      <c r="E1513" t="e">
        <f t="shared" si="179"/>
        <v>#N/A</v>
      </c>
      <c r="G1513">
        <v>1463</v>
      </c>
      <c r="H1513" s="13" t="e">
        <f t="shared" si="184"/>
        <v>#N/A</v>
      </c>
      <c r="I1513" t="e">
        <f t="shared" si="185"/>
        <v>#N/A</v>
      </c>
      <c r="J1513" t="e">
        <f t="shared" si="180"/>
        <v>#N/A</v>
      </c>
      <c r="K1513" s="27" t="e">
        <f t="shared" si="181"/>
        <v>#N/A</v>
      </c>
    </row>
    <row r="1514" spans="1:11">
      <c r="A1514" s="26">
        <v>1464</v>
      </c>
      <c r="B1514" s="82" t="e">
        <f t="shared" si="182"/>
        <v>#N/A</v>
      </c>
      <c r="C1514" s="58" t="e">
        <f t="shared" si="186"/>
        <v>#N/A</v>
      </c>
      <c r="D1514" s="83" t="e">
        <f t="shared" si="183"/>
        <v>#N/A</v>
      </c>
      <c r="E1514" t="e">
        <f t="shared" si="179"/>
        <v>#N/A</v>
      </c>
      <c r="G1514">
        <v>1464</v>
      </c>
      <c r="H1514" s="13" t="e">
        <f t="shared" si="184"/>
        <v>#N/A</v>
      </c>
      <c r="I1514" t="e">
        <f t="shared" si="185"/>
        <v>#N/A</v>
      </c>
      <c r="J1514" t="e">
        <f t="shared" si="180"/>
        <v>#N/A</v>
      </c>
      <c r="K1514" s="27" t="e">
        <f t="shared" si="181"/>
        <v>#N/A</v>
      </c>
    </row>
    <row r="1515" spans="1:11">
      <c r="A1515" s="26">
        <v>1465</v>
      </c>
      <c r="B1515" s="82" t="e">
        <f t="shared" si="182"/>
        <v>#N/A</v>
      </c>
      <c r="C1515" s="58" t="e">
        <f t="shared" si="186"/>
        <v>#N/A</v>
      </c>
      <c r="D1515" s="83" t="e">
        <f t="shared" si="183"/>
        <v>#N/A</v>
      </c>
      <c r="E1515" t="e">
        <f t="shared" si="179"/>
        <v>#N/A</v>
      </c>
      <c r="G1515">
        <v>1465</v>
      </c>
      <c r="H1515" s="13" t="e">
        <f t="shared" si="184"/>
        <v>#N/A</v>
      </c>
      <c r="I1515" t="e">
        <f t="shared" si="185"/>
        <v>#N/A</v>
      </c>
      <c r="J1515" t="e">
        <f t="shared" si="180"/>
        <v>#N/A</v>
      </c>
      <c r="K1515" s="27" t="e">
        <f t="shared" si="181"/>
        <v>#N/A</v>
      </c>
    </row>
    <row r="1516" spans="1:11">
      <c r="A1516" s="26">
        <v>1466</v>
      </c>
      <c r="B1516" s="82" t="e">
        <f t="shared" si="182"/>
        <v>#N/A</v>
      </c>
      <c r="C1516" s="58" t="e">
        <f t="shared" si="186"/>
        <v>#N/A</v>
      </c>
      <c r="D1516" s="83" t="e">
        <f t="shared" si="183"/>
        <v>#N/A</v>
      </c>
      <c r="E1516" t="e">
        <f t="shared" si="179"/>
        <v>#N/A</v>
      </c>
      <c r="G1516">
        <v>1466</v>
      </c>
      <c r="H1516" s="13" t="e">
        <f t="shared" si="184"/>
        <v>#N/A</v>
      </c>
      <c r="I1516" t="e">
        <f t="shared" si="185"/>
        <v>#N/A</v>
      </c>
      <c r="J1516" t="e">
        <f t="shared" si="180"/>
        <v>#N/A</v>
      </c>
      <c r="K1516" s="27" t="e">
        <f t="shared" si="181"/>
        <v>#N/A</v>
      </c>
    </row>
    <row r="1517" spans="1:11">
      <c r="A1517" s="26">
        <v>1467</v>
      </c>
      <c r="B1517" s="82" t="e">
        <f t="shared" si="182"/>
        <v>#N/A</v>
      </c>
      <c r="C1517" s="58" t="e">
        <f t="shared" si="186"/>
        <v>#N/A</v>
      </c>
      <c r="D1517" s="83" t="e">
        <f t="shared" si="183"/>
        <v>#N/A</v>
      </c>
      <c r="E1517" t="e">
        <f t="shared" si="179"/>
        <v>#N/A</v>
      </c>
      <c r="G1517">
        <v>1467</v>
      </c>
      <c r="H1517" s="13" t="e">
        <f t="shared" si="184"/>
        <v>#N/A</v>
      </c>
      <c r="I1517" t="e">
        <f t="shared" si="185"/>
        <v>#N/A</v>
      </c>
      <c r="J1517" t="e">
        <f t="shared" si="180"/>
        <v>#N/A</v>
      </c>
      <c r="K1517" s="27" t="e">
        <f t="shared" si="181"/>
        <v>#N/A</v>
      </c>
    </row>
    <row r="1518" spans="1:11">
      <c r="A1518" s="26">
        <v>1468</v>
      </c>
      <c r="B1518" s="82" t="e">
        <f t="shared" si="182"/>
        <v>#N/A</v>
      </c>
      <c r="C1518" s="58" t="e">
        <f t="shared" si="186"/>
        <v>#N/A</v>
      </c>
      <c r="D1518" s="83" t="e">
        <f t="shared" si="183"/>
        <v>#N/A</v>
      </c>
      <c r="E1518" t="e">
        <f t="shared" si="179"/>
        <v>#N/A</v>
      </c>
      <c r="G1518">
        <v>1468</v>
      </c>
      <c r="H1518" s="13" t="e">
        <f t="shared" si="184"/>
        <v>#N/A</v>
      </c>
      <c r="I1518" t="e">
        <f t="shared" si="185"/>
        <v>#N/A</v>
      </c>
      <c r="J1518" t="e">
        <f t="shared" si="180"/>
        <v>#N/A</v>
      </c>
      <c r="K1518" s="27" t="e">
        <f t="shared" si="181"/>
        <v>#N/A</v>
      </c>
    </row>
    <row r="1519" spans="1:11">
      <c r="A1519" s="26">
        <v>1469</v>
      </c>
      <c r="B1519" s="82" t="e">
        <f t="shared" si="182"/>
        <v>#N/A</v>
      </c>
      <c r="C1519" s="58" t="e">
        <f t="shared" si="186"/>
        <v>#N/A</v>
      </c>
      <c r="D1519" s="83" t="e">
        <f t="shared" si="183"/>
        <v>#N/A</v>
      </c>
      <c r="E1519" t="e">
        <f t="shared" si="179"/>
        <v>#N/A</v>
      </c>
      <c r="G1519">
        <v>1469</v>
      </c>
      <c r="H1519" s="13" t="e">
        <f t="shared" si="184"/>
        <v>#N/A</v>
      </c>
      <c r="I1519" t="e">
        <f t="shared" si="185"/>
        <v>#N/A</v>
      </c>
      <c r="J1519" t="e">
        <f t="shared" si="180"/>
        <v>#N/A</v>
      </c>
      <c r="K1519" s="27" t="e">
        <f t="shared" si="181"/>
        <v>#N/A</v>
      </c>
    </row>
    <row r="1520" spans="1:11">
      <c r="A1520" s="26">
        <v>1470</v>
      </c>
      <c r="B1520" s="82" t="e">
        <f t="shared" si="182"/>
        <v>#N/A</v>
      </c>
      <c r="C1520" s="58" t="e">
        <f t="shared" si="186"/>
        <v>#N/A</v>
      </c>
      <c r="D1520" s="83" t="e">
        <f t="shared" si="183"/>
        <v>#N/A</v>
      </c>
      <c r="E1520" t="e">
        <f t="shared" si="179"/>
        <v>#N/A</v>
      </c>
      <c r="G1520">
        <v>1470</v>
      </c>
      <c r="H1520" s="13" t="e">
        <f t="shared" si="184"/>
        <v>#N/A</v>
      </c>
      <c r="I1520" t="e">
        <f t="shared" si="185"/>
        <v>#N/A</v>
      </c>
      <c r="J1520" t="e">
        <f t="shared" si="180"/>
        <v>#N/A</v>
      </c>
      <c r="K1520" s="27" t="e">
        <f t="shared" si="181"/>
        <v>#N/A</v>
      </c>
    </row>
    <row r="1521" spans="1:11">
      <c r="A1521" s="26">
        <v>1471</v>
      </c>
      <c r="B1521" s="82" t="e">
        <f t="shared" si="182"/>
        <v>#N/A</v>
      </c>
      <c r="C1521" s="58" t="e">
        <f t="shared" si="186"/>
        <v>#N/A</v>
      </c>
      <c r="D1521" s="83" t="e">
        <f t="shared" si="183"/>
        <v>#N/A</v>
      </c>
      <c r="E1521" t="e">
        <f t="shared" si="179"/>
        <v>#N/A</v>
      </c>
      <c r="G1521">
        <v>1471</v>
      </c>
      <c r="H1521" s="13" t="e">
        <f t="shared" si="184"/>
        <v>#N/A</v>
      </c>
      <c r="I1521" t="e">
        <f t="shared" si="185"/>
        <v>#N/A</v>
      </c>
      <c r="J1521" t="e">
        <f t="shared" si="180"/>
        <v>#N/A</v>
      </c>
      <c r="K1521" s="27" t="e">
        <f t="shared" si="181"/>
        <v>#N/A</v>
      </c>
    </row>
    <row r="1522" spans="1:11">
      <c r="A1522" s="26">
        <v>1472</v>
      </c>
      <c r="B1522" s="82" t="e">
        <f t="shared" si="182"/>
        <v>#N/A</v>
      </c>
      <c r="C1522" s="58" t="e">
        <f t="shared" si="186"/>
        <v>#N/A</v>
      </c>
      <c r="D1522" s="83" t="e">
        <f t="shared" si="183"/>
        <v>#N/A</v>
      </c>
      <c r="E1522" t="e">
        <f t="shared" si="179"/>
        <v>#N/A</v>
      </c>
      <c r="G1522">
        <v>1472</v>
      </c>
      <c r="H1522" s="13" t="e">
        <f t="shared" si="184"/>
        <v>#N/A</v>
      </c>
      <c r="I1522" t="e">
        <f t="shared" si="185"/>
        <v>#N/A</v>
      </c>
      <c r="J1522" t="e">
        <f t="shared" si="180"/>
        <v>#N/A</v>
      </c>
      <c r="K1522" s="27" t="e">
        <f t="shared" si="181"/>
        <v>#N/A</v>
      </c>
    </row>
    <row r="1523" spans="1:11">
      <c r="A1523" s="26">
        <v>1473</v>
      </c>
      <c r="B1523" s="82" t="e">
        <f t="shared" si="182"/>
        <v>#N/A</v>
      </c>
      <c r="C1523" s="58" t="e">
        <f t="shared" si="186"/>
        <v>#N/A</v>
      </c>
      <c r="D1523" s="83" t="e">
        <f t="shared" si="183"/>
        <v>#N/A</v>
      </c>
      <c r="E1523" t="e">
        <f t="shared" ref="E1523:E1586" si="187">((D1523^2)+(D1523*D1524)+(D1524^2))*B1524/3</f>
        <v>#N/A</v>
      </c>
      <c r="G1523">
        <v>1473</v>
      </c>
      <c r="H1523" s="13" t="e">
        <f t="shared" si="184"/>
        <v>#N/A</v>
      </c>
      <c r="I1523" t="e">
        <f t="shared" si="185"/>
        <v>#N/A</v>
      </c>
      <c r="J1523" t="e">
        <f t="shared" ref="J1523:J1586" si="188">IF($G$28&lt;$C$14,0,((($C$11^2)-((I1523-$C$13)^2))^0.5)+$C$16)</f>
        <v>#N/A</v>
      </c>
      <c r="K1523" s="27" t="e">
        <f t="shared" ref="K1523:K1586" si="189">((J1523^2)+(J1523*J1524)+(J1524^2))*H1524/3</f>
        <v>#N/A</v>
      </c>
    </row>
    <row r="1524" spans="1:11">
      <c r="A1524" s="26">
        <v>1474</v>
      </c>
      <c r="B1524" s="82" t="e">
        <f t="shared" ref="B1524:B1587" si="190">C1524-C1523</f>
        <v>#N/A</v>
      </c>
      <c r="C1524" s="58" t="e">
        <f t="shared" si="186"/>
        <v>#N/A</v>
      </c>
      <c r="D1524" s="83" t="e">
        <f t="shared" ref="D1524:D1587" si="191">IF($G$28&lt;$C$14,0,((($C$11^2)-((C1524-$C$13)^2))^0.5)+$C$16)</f>
        <v>#N/A</v>
      </c>
      <c r="E1524" t="e">
        <f t="shared" si="187"/>
        <v>#N/A</v>
      </c>
      <c r="G1524">
        <v>1474</v>
      </c>
      <c r="H1524" s="13" t="e">
        <f t="shared" ref="H1524:H1587" si="192">I1524-I1523</f>
        <v>#N/A</v>
      </c>
      <c r="I1524" t="e">
        <f t="shared" ref="I1524:I1587" si="193">($G$27-$C$14)/2000+I1523</f>
        <v>#N/A</v>
      </c>
      <c r="J1524" t="e">
        <f t="shared" si="188"/>
        <v>#N/A</v>
      </c>
      <c r="K1524" s="27" t="e">
        <f t="shared" si="189"/>
        <v>#N/A</v>
      </c>
    </row>
    <row r="1525" spans="1:11">
      <c r="A1525" s="26">
        <v>1475</v>
      </c>
      <c r="B1525" s="82" t="e">
        <f t="shared" si="190"/>
        <v>#N/A</v>
      </c>
      <c r="C1525" s="58" t="e">
        <f t="shared" si="186"/>
        <v>#N/A</v>
      </c>
      <c r="D1525" s="83" t="e">
        <f t="shared" si="191"/>
        <v>#N/A</v>
      </c>
      <c r="E1525" t="e">
        <f t="shared" si="187"/>
        <v>#N/A</v>
      </c>
      <c r="G1525">
        <v>1475</v>
      </c>
      <c r="H1525" s="13" t="e">
        <f t="shared" si="192"/>
        <v>#N/A</v>
      </c>
      <c r="I1525" t="e">
        <f t="shared" si="193"/>
        <v>#N/A</v>
      </c>
      <c r="J1525" t="e">
        <f t="shared" si="188"/>
        <v>#N/A</v>
      </c>
      <c r="K1525" s="27" t="e">
        <f t="shared" si="189"/>
        <v>#N/A</v>
      </c>
    </row>
    <row r="1526" spans="1:11">
      <c r="A1526" s="26">
        <v>1476</v>
      </c>
      <c r="B1526" s="82" t="e">
        <f t="shared" si="190"/>
        <v>#N/A</v>
      </c>
      <c r="C1526" s="58" t="e">
        <f t="shared" si="186"/>
        <v>#N/A</v>
      </c>
      <c r="D1526" s="83" t="e">
        <f t="shared" si="191"/>
        <v>#N/A</v>
      </c>
      <c r="E1526" t="e">
        <f t="shared" si="187"/>
        <v>#N/A</v>
      </c>
      <c r="G1526">
        <v>1476</v>
      </c>
      <c r="H1526" s="13" t="e">
        <f t="shared" si="192"/>
        <v>#N/A</v>
      </c>
      <c r="I1526" t="e">
        <f t="shared" si="193"/>
        <v>#N/A</v>
      </c>
      <c r="J1526" t="e">
        <f t="shared" si="188"/>
        <v>#N/A</v>
      </c>
      <c r="K1526" s="27" t="e">
        <f t="shared" si="189"/>
        <v>#N/A</v>
      </c>
    </row>
    <row r="1527" spans="1:11">
      <c r="A1527" s="26">
        <v>1477</v>
      </c>
      <c r="B1527" s="82" t="e">
        <f t="shared" si="190"/>
        <v>#N/A</v>
      </c>
      <c r="C1527" s="58" t="e">
        <f t="shared" si="186"/>
        <v>#N/A</v>
      </c>
      <c r="D1527" s="83" t="e">
        <f t="shared" si="191"/>
        <v>#N/A</v>
      </c>
      <c r="E1527" t="e">
        <f t="shared" si="187"/>
        <v>#N/A</v>
      </c>
      <c r="G1527">
        <v>1477</v>
      </c>
      <c r="H1527" s="13" t="e">
        <f t="shared" si="192"/>
        <v>#N/A</v>
      </c>
      <c r="I1527" t="e">
        <f t="shared" si="193"/>
        <v>#N/A</v>
      </c>
      <c r="J1527" t="e">
        <f t="shared" si="188"/>
        <v>#N/A</v>
      </c>
      <c r="K1527" s="27" t="e">
        <f t="shared" si="189"/>
        <v>#N/A</v>
      </c>
    </row>
    <row r="1528" spans="1:11">
      <c r="A1528" s="26">
        <v>1478</v>
      </c>
      <c r="B1528" s="82" t="e">
        <f t="shared" si="190"/>
        <v>#N/A</v>
      </c>
      <c r="C1528" s="58" t="e">
        <f t="shared" si="186"/>
        <v>#N/A</v>
      </c>
      <c r="D1528" s="83" t="e">
        <f t="shared" si="191"/>
        <v>#N/A</v>
      </c>
      <c r="E1528" t="e">
        <f t="shared" si="187"/>
        <v>#N/A</v>
      </c>
      <c r="G1528">
        <v>1478</v>
      </c>
      <c r="H1528" s="13" t="e">
        <f t="shared" si="192"/>
        <v>#N/A</v>
      </c>
      <c r="I1528" t="e">
        <f t="shared" si="193"/>
        <v>#N/A</v>
      </c>
      <c r="J1528" t="e">
        <f t="shared" si="188"/>
        <v>#N/A</v>
      </c>
      <c r="K1528" s="27" t="e">
        <f t="shared" si="189"/>
        <v>#N/A</v>
      </c>
    </row>
    <row r="1529" spans="1:11">
      <c r="A1529" s="26">
        <v>1479</v>
      </c>
      <c r="B1529" s="82" t="e">
        <f t="shared" si="190"/>
        <v>#N/A</v>
      </c>
      <c r="C1529" s="58" t="e">
        <f t="shared" si="186"/>
        <v>#N/A</v>
      </c>
      <c r="D1529" s="83" t="e">
        <f t="shared" si="191"/>
        <v>#N/A</v>
      </c>
      <c r="E1529" t="e">
        <f t="shared" si="187"/>
        <v>#N/A</v>
      </c>
      <c r="G1529">
        <v>1479</v>
      </c>
      <c r="H1529" s="13" t="e">
        <f t="shared" si="192"/>
        <v>#N/A</v>
      </c>
      <c r="I1529" t="e">
        <f t="shared" si="193"/>
        <v>#N/A</v>
      </c>
      <c r="J1529" t="e">
        <f t="shared" si="188"/>
        <v>#N/A</v>
      </c>
      <c r="K1529" s="27" t="e">
        <f t="shared" si="189"/>
        <v>#N/A</v>
      </c>
    </row>
    <row r="1530" spans="1:11">
      <c r="A1530" s="26">
        <v>1480</v>
      </c>
      <c r="B1530" s="82" t="e">
        <f t="shared" si="190"/>
        <v>#N/A</v>
      </c>
      <c r="C1530" s="58" t="e">
        <f t="shared" si="186"/>
        <v>#N/A</v>
      </c>
      <c r="D1530" s="83" t="e">
        <f t="shared" si="191"/>
        <v>#N/A</v>
      </c>
      <c r="E1530" t="e">
        <f t="shared" si="187"/>
        <v>#N/A</v>
      </c>
      <c r="G1530">
        <v>1480</v>
      </c>
      <c r="H1530" s="13" t="e">
        <f t="shared" si="192"/>
        <v>#N/A</v>
      </c>
      <c r="I1530" t="e">
        <f t="shared" si="193"/>
        <v>#N/A</v>
      </c>
      <c r="J1530" t="e">
        <f t="shared" si="188"/>
        <v>#N/A</v>
      </c>
      <c r="K1530" s="27" t="e">
        <f t="shared" si="189"/>
        <v>#N/A</v>
      </c>
    </row>
    <row r="1531" spans="1:11">
      <c r="A1531" s="26">
        <v>1481</v>
      </c>
      <c r="B1531" s="82" t="e">
        <f t="shared" si="190"/>
        <v>#N/A</v>
      </c>
      <c r="C1531" s="58" t="e">
        <f t="shared" si="186"/>
        <v>#N/A</v>
      </c>
      <c r="D1531" s="83" t="e">
        <f t="shared" si="191"/>
        <v>#N/A</v>
      </c>
      <c r="E1531" t="e">
        <f t="shared" si="187"/>
        <v>#N/A</v>
      </c>
      <c r="G1531">
        <v>1481</v>
      </c>
      <c r="H1531" s="13" t="e">
        <f t="shared" si="192"/>
        <v>#N/A</v>
      </c>
      <c r="I1531" t="e">
        <f t="shared" si="193"/>
        <v>#N/A</v>
      </c>
      <c r="J1531" t="e">
        <f t="shared" si="188"/>
        <v>#N/A</v>
      </c>
      <c r="K1531" s="27" t="e">
        <f t="shared" si="189"/>
        <v>#N/A</v>
      </c>
    </row>
    <row r="1532" spans="1:11">
      <c r="A1532" s="26">
        <v>1482</v>
      </c>
      <c r="B1532" s="82" t="e">
        <f t="shared" si="190"/>
        <v>#N/A</v>
      </c>
      <c r="C1532" s="58" t="e">
        <f t="shared" si="186"/>
        <v>#N/A</v>
      </c>
      <c r="D1532" s="83" t="e">
        <f t="shared" si="191"/>
        <v>#N/A</v>
      </c>
      <c r="E1532" t="e">
        <f t="shared" si="187"/>
        <v>#N/A</v>
      </c>
      <c r="G1532">
        <v>1482</v>
      </c>
      <c r="H1532" s="13" t="e">
        <f t="shared" si="192"/>
        <v>#N/A</v>
      </c>
      <c r="I1532" t="e">
        <f t="shared" si="193"/>
        <v>#N/A</v>
      </c>
      <c r="J1532" t="e">
        <f t="shared" si="188"/>
        <v>#N/A</v>
      </c>
      <c r="K1532" s="27" t="e">
        <f t="shared" si="189"/>
        <v>#N/A</v>
      </c>
    </row>
    <row r="1533" spans="1:11">
      <c r="A1533" s="26">
        <v>1483</v>
      </c>
      <c r="B1533" s="82" t="e">
        <f t="shared" si="190"/>
        <v>#N/A</v>
      </c>
      <c r="C1533" s="58" t="e">
        <f t="shared" si="186"/>
        <v>#N/A</v>
      </c>
      <c r="D1533" s="83" t="e">
        <f t="shared" si="191"/>
        <v>#N/A</v>
      </c>
      <c r="E1533" t="e">
        <f t="shared" si="187"/>
        <v>#N/A</v>
      </c>
      <c r="G1533">
        <v>1483</v>
      </c>
      <c r="H1533" s="13" t="e">
        <f t="shared" si="192"/>
        <v>#N/A</v>
      </c>
      <c r="I1533" t="e">
        <f t="shared" si="193"/>
        <v>#N/A</v>
      </c>
      <c r="J1533" t="e">
        <f t="shared" si="188"/>
        <v>#N/A</v>
      </c>
      <c r="K1533" s="27" t="e">
        <f t="shared" si="189"/>
        <v>#N/A</v>
      </c>
    </row>
    <row r="1534" spans="1:11">
      <c r="A1534" s="26">
        <v>1484</v>
      </c>
      <c r="B1534" s="82" t="e">
        <f t="shared" si="190"/>
        <v>#N/A</v>
      </c>
      <c r="C1534" s="58" t="e">
        <f t="shared" si="186"/>
        <v>#N/A</v>
      </c>
      <c r="D1534" s="83" t="e">
        <f t="shared" si="191"/>
        <v>#N/A</v>
      </c>
      <c r="E1534" t="e">
        <f t="shared" si="187"/>
        <v>#N/A</v>
      </c>
      <c r="G1534">
        <v>1484</v>
      </c>
      <c r="H1534" s="13" t="e">
        <f t="shared" si="192"/>
        <v>#N/A</v>
      </c>
      <c r="I1534" t="e">
        <f t="shared" si="193"/>
        <v>#N/A</v>
      </c>
      <c r="J1534" t="e">
        <f t="shared" si="188"/>
        <v>#N/A</v>
      </c>
      <c r="K1534" s="27" t="e">
        <f t="shared" si="189"/>
        <v>#N/A</v>
      </c>
    </row>
    <row r="1535" spans="1:11">
      <c r="A1535" s="26">
        <v>1485</v>
      </c>
      <c r="B1535" s="82" t="e">
        <f t="shared" si="190"/>
        <v>#N/A</v>
      </c>
      <c r="C1535" s="58" t="e">
        <f t="shared" si="186"/>
        <v>#N/A</v>
      </c>
      <c r="D1535" s="83" t="e">
        <f t="shared" si="191"/>
        <v>#N/A</v>
      </c>
      <c r="E1535" t="e">
        <f t="shared" si="187"/>
        <v>#N/A</v>
      </c>
      <c r="G1535">
        <v>1485</v>
      </c>
      <c r="H1535" s="13" t="e">
        <f t="shared" si="192"/>
        <v>#N/A</v>
      </c>
      <c r="I1535" t="e">
        <f t="shared" si="193"/>
        <v>#N/A</v>
      </c>
      <c r="J1535" t="e">
        <f t="shared" si="188"/>
        <v>#N/A</v>
      </c>
      <c r="K1535" s="27" t="e">
        <f t="shared" si="189"/>
        <v>#N/A</v>
      </c>
    </row>
    <row r="1536" spans="1:11">
      <c r="A1536" s="26">
        <v>1486</v>
      </c>
      <c r="B1536" s="82" t="e">
        <f t="shared" si="190"/>
        <v>#N/A</v>
      </c>
      <c r="C1536" s="58" t="e">
        <f t="shared" si="186"/>
        <v>#N/A</v>
      </c>
      <c r="D1536" s="83" t="e">
        <f t="shared" si="191"/>
        <v>#N/A</v>
      </c>
      <c r="E1536" t="e">
        <f t="shared" si="187"/>
        <v>#N/A</v>
      </c>
      <c r="G1536">
        <v>1486</v>
      </c>
      <c r="H1536" s="13" t="e">
        <f t="shared" si="192"/>
        <v>#N/A</v>
      </c>
      <c r="I1536" t="e">
        <f t="shared" si="193"/>
        <v>#N/A</v>
      </c>
      <c r="J1536" t="e">
        <f t="shared" si="188"/>
        <v>#N/A</v>
      </c>
      <c r="K1536" s="27" t="e">
        <f t="shared" si="189"/>
        <v>#N/A</v>
      </c>
    </row>
    <row r="1537" spans="1:11">
      <c r="A1537" s="26">
        <v>1487</v>
      </c>
      <c r="B1537" s="82" t="e">
        <f t="shared" si="190"/>
        <v>#N/A</v>
      </c>
      <c r="C1537" s="58" t="e">
        <f t="shared" si="186"/>
        <v>#N/A</v>
      </c>
      <c r="D1537" s="83" t="e">
        <f t="shared" si="191"/>
        <v>#N/A</v>
      </c>
      <c r="E1537" t="e">
        <f t="shared" si="187"/>
        <v>#N/A</v>
      </c>
      <c r="G1537">
        <v>1487</v>
      </c>
      <c r="H1537" s="13" t="e">
        <f t="shared" si="192"/>
        <v>#N/A</v>
      </c>
      <c r="I1537" t="e">
        <f t="shared" si="193"/>
        <v>#N/A</v>
      </c>
      <c r="J1537" t="e">
        <f t="shared" si="188"/>
        <v>#N/A</v>
      </c>
      <c r="K1537" s="27" t="e">
        <f t="shared" si="189"/>
        <v>#N/A</v>
      </c>
    </row>
    <row r="1538" spans="1:11">
      <c r="A1538" s="26">
        <v>1488</v>
      </c>
      <c r="B1538" s="82" t="e">
        <f t="shared" si="190"/>
        <v>#N/A</v>
      </c>
      <c r="C1538" s="58" t="e">
        <f t="shared" si="186"/>
        <v>#N/A</v>
      </c>
      <c r="D1538" s="83" t="e">
        <f t="shared" si="191"/>
        <v>#N/A</v>
      </c>
      <c r="E1538" t="e">
        <f t="shared" si="187"/>
        <v>#N/A</v>
      </c>
      <c r="G1538">
        <v>1488</v>
      </c>
      <c r="H1538" s="13" t="e">
        <f t="shared" si="192"/>
        <v>#N/A</v>
      </c>
      <c r="I1538" t="e">
        <f t="shared" si="193"/>
        <v>#N/A</v>
      </c>
      <c r="J1538" t="e">
        <f t="shared" si="188"/>
        <v>#N/A</v>
      </c>
      <c r="K1538" s="27" t="e">
        <f t="shared" si="189"/>
        <v>#N/A</v>
      </c>
    </row>
    <row r="1539" spans="1:11">
      <c r="A1539" s="26">
        <v>1489</v>
      </c>
      <c r="B1539" s="82" t="e">
        <f t="shared" si="190"/>
        <v>#N/A</v>
      </c>
      <c r="C1539" s="58" t="e">
        <f t="shared" si="186"/>
        <v>#N/A</v>
      </c>
      <c r="D1539" s="83" t="e">
        <f t="shared" si="191"/>
        <v>#N/A</v>
      </c>
      <c r="E1539" t="e">
        <f t="shared" si="187"/>
        <v>#N/A</v>
      </c>
      <c r="G1539">
        <v>1489</v>
      </c>
      <c r="H1539" s="13" t="e">
        <f t="shared" si="192"/>
        <v>#N/A</v>
      </c>
      <c r="I1539" t="e">
        <f t="shared" si="193"/>
        <v>#N/A</v>
      </c>
      <c r="J1539" t="e">
        <f t="shared" si="188"/>
        <v>#N/A</v>
      </c>
      <c r="K1539" s="27" t="e">
        <f t="shared" si="189"/>
        <v>#N/A</v>
      </c>
    </row>
    <row r="1540" spans="1:11">
      <c r="A1540" s="26">
        <v>1490</v>
      </c>
      <c r="B1540" s="82" t="e">
        <f t="shared" si="190"/>
        <v>#N/A</v>
      </c>
      <c r="C1540" s="58" t="e">
        <f t="shared" si="186"/>
        <v>#N/A</v>
      </c>
      <c r="D1540" s="83" t="e">
        <f t="shared" si="191"/>
        <v>#N/A</v>
      </c>
      <c r="E1540" t="e">
        <f t="shared" si="187"/>
        <v>#N/A</v>
      </c>
      <c r="G1540">
        <v>1490</v>
      </c>
      <c r="H1540" s="13" t="e">
        <f t="shared" si="192"/>
        <v>#N/A</v>
      </c>
      <c r="I1540" t="e">
        <f t="shared" si="193"/>
        <v>#N/A</v>
      </c>
      <c r="J1540" t="e">
        <f t="shared" si="188"/>
        <v>#N/A</v>
      </c>
      <c r="K1540" s="27" t="e">
        <f t="shared" si="189"/>
        <v>#N/A</v>
      </c>
    </row>
    <row r="1541" spans="1:11">
      <c r="A1541" s="26">
        <v>1491</v>
      </c>
      <c r="B1541" s="82" t="e">
        <f t="shared" si="190"/>
        <v>#N/A</v>
      </c>
      <c r="C1541" s="58" t="e">
        <f t="shared" si="186"/>
        <v>#N/A</v>
      </c>
      <c r="D1541" s="83" t="e">
        <f t="shared" si="191"/>
        <v>#N/A</v>
      </c>
      <c r="E1541" t="e">
        <f t="shared" si="187"/>
        <v>#N/A</v>
      </c>
      <c r="G1541">
        <v>1491</v>
      </c>
      <c r="H1541" s="13" t="e">
        <f t="shared" si="192"/>
        <v>#N/A</v>
      </c>
      <c r="I1541" t="e">
        <f t="shared" si="193"/>
        <v>#N/A</v>
      </c>
      <c r="J1541" t="e">
        <f t="shared" si="188"/>
        <v>#N/A</v>
      </c>
      <c r="K1541" s="27" t="e">
        <f t="shared" si="189"/>
        <v>#N/A</v>
      </c>
    </row>
    <row r="1542" spans="1:11">
      <c r="A1542" s="26">
        <v>1492</v>
      </c>
      <c r="B1542" s="82" t="e">
        <f t="shared" si="190"/>
        <v>#N/A</v>
      </c>
      <c r="C1542" s="58" t="e">
        <f t="shared" si="186"/>
        <v>#N/A</v>
      </c>
      <c r="D1542" s="83" t="e">
        <f t="shared" si="191"/>
        <v>#N/A</v>
      </c>
      <c r="E1542" t="e">
        <f t="shared" si="187"/>
        <v>#N/A</v>
      </c>
      <c r="G1542">
        <v>1492</v>
      </c>
      <c r="H1542" s="13" t="e">
        <f t="shared" si="192"/>
        <v>#N/A</v>
      </c>
      <c r="I1542" t="e">
        <f t="shared" si="193"/>
        <v>#N/A</v>
      </c>
      <c r="J1542" t="e">
        <f t="shared" si="188"/>
        <v>#N/A</v>
      </c>
      <c r="K1542" s="27" t="e">
        <f t="shared" si="189"/>
        <v>#N/A</v>
      </c>
    </row>
    <row r="1543" spans="1:11">
      <c r="A1543" s="26">
        <v>1493</v>
      </c>
      <c r="B1543" s="82" t="e">
        <f t="shared" si="190"/>
        <v>#N/A</v>
      </c>
      <c r="C1543" s="58" t="e">
        <f t="shared" si="186"/>
        <v>#N/A</v>
      </c>
      <c r="D1543" s="83" t="e">
        <f t="shared" si="191"/>
        <v>#N/A</v>
      </c>
      <c r="E1543" t="e">
        <f t="shared" si="187"/>
        <v>#N/A</v>
      </c>
      <c r="G1543">
        <v>1493</v>
      </c>
      <c r="H1543" s="13" t="e">
        <f t="shared" si="192"/>
        <v>#N/A</v>
      </c>
      <c r="I1543" t="e">
        <f t="shared" si="193"/>
        <v>#N/A</v>
      </c>
      <c r="J1543" t="e">
        <f t="shared" si="188"/>
        <v>#N/A</v>
      </c>
      <c r="K1543" s="27" t="e">
        <f t="shared" si="189"/>
        <v>#N/A</v>
      </c>
    </row>
    <row r="1544" spans="1:11">
      <c r="A1544" s="26">
        <v>1494</v>
      </c>
      <c r="B1544" s="82" t="e">
        <f t="shared" si="190"/>
        <v>#N/A</v>
      </c>
      <c r="C1544" s="58" t="e">
        <f t="shared" si="186"/>
        <v>#N/A</v>
      </c>
      <c r="D1544" s="83" t="e">
        <f t="shared" si="191"/>
        <v>#N/A</v>
      </c>
      <c r="E1544" t="e">
        <f t="shared" si="187"/>
        <v>#N/A</v>
      </c>
      <c r="G1544">
        <v>1494</v>
      </c>
      <c r="H1544" s="13" t="e">
        <f t="shared" si="192"/>
        <v>#N/A</v>
      </c>
      <c r="I1544" t="e">
        <f t="shared" si="193"/>
        <v>#N/A</v>
      </c>
      <c r="J1544" t="e">
        <f t="shared" si="188"/>
        <v>#N/A</v>
      </c>
      <c r="K1544" s="27" t="e">
        <f t="shared" si="189"/>
        <v>#N/A</v>
      </c>
    </row>
    <row r="1545" spans="1:11">
      <c r="A1545" s="26">
        <v>1495</v>
      </c>
      <c r="B1545" s="82" t="e">
        <f t="shared" si="190"/>
        <v>#N/A</v>
      </c>
      <c r="C1545" s="58" t="e">
        <f t="shared" si="186"/>
        <v>#N/A</v>
      </c>
      <c r="D1545" s="83" t="e">
        <f t="shared" si="191"/>
        <v>#N/A</v>
      </c>
      <c r="E1545" t="e">
        <f t="shared" si="187"/>
        <v>#N/A</v>
      </c>
      <c r="G1545">
        <v>1495</v>
      </c>
      <c r="H1545" s="13" t="e">
        <f t="shared" si="192"/>
        <v>#N/A</v>
      </c>
      <c r="I1545" t="e">
        <f t="shared" si="193"/>
        <v>#N/A</v>
      </c>
      <c r="J1545" t="e">
        <f t="shared" si="188"/>
        <v>#N/A</v>
      </c>
      <c r="K1545" s="27" t="e">
        <f t="shared" si="189"/>
        <v>#N/A</v>
      </c>
    </row>
    <row r="1546" spans="1:11">
      <c r="A1546" s="26">
        <v>1496</v>
      </c>
      <c r="B1546" s="82" t="e">
        <f t="shared" si="190"/>
        <v>#N/A</v>
      </c>
      <c r="C1546" s="58" t="e">
        <f t="shared" si="186"/>
        <v>#N/A</v>
      </c>
      <c r="D1546" s="83" t="e">
        <f t="shared" si="191"/>
        <v>#N/A</v>
      </c>
      <c r="E1546" t="e">
        <f t="shared" si="187"/>
        <v>#N/A</v>
      </c>
      <c r="G1546">
        <v>1496</v>
      </c>
      <c r="H1546" s="13" t="e">
        <f t="shared" si="192"/>
        <v>#N/A</v>
      </c>
      <c r="I1546" t="e">
        <f t="shared" si="193"/>
        <v>#N/A</v>
      </c>
      <c r="J1546" t="e">
        <f t="shared" si="188"/>
        <v>#N/A</v>
      </c>
      <c r="K1546" s="27" t="e">
        <f t="shared" si="189"/>
        <v>#N/A</v>
      </c>
    </row>
    <row r="1547" spans="1:11">
      <c r="A1547" s="26">
        <v>1497</v>
      </c>
      <c r="B1547" s="82" t="e">
        <f t="shared" si="190"/>
        <v>#N/A</v>
      </c>
      <c r="C1547" s="58" t="e">
        <f t="shared" si="186"/>
        <v>#N/A</v>
      </c>
      <c r="D1547" s="83" t="e">
        <f t="shared" si="191"/>
        <v>#N/A</v>
      </c>
      <c r="E1547" t="e">
        <f t="shared" si="187"/>
        <v>#N/A</v>
      </c>
      <c r="G1547">
        <v>1497</v>
      </c>
      <c r="H1547" s="13" t="e">
        <f t="shared" si="192"/>
        <v>#N/A</v>
      </c>
      <c r="I1547" t="e">
        <f t="shared" si="193"/>
        <v>#N/A</v>
      </c>
      <c r="J1547" t="e">
        <f t="shared" si="188"/>
        <v>#N/A</v>
      </c>
      <c r="K1547" s="27" t="e">
        <f t="shared" si="189"/>
        <v>#N/A</v>
      </c>
    </row>
    <row r="1548" spans="1:11">
      <c r="A1548" s="26">
        <v>1498</v>
      </c>
      <c r="B1548" s="82" t="e">
        <f t="shared" si="190"/>
        <v>#N/A</v>
      </c>
      <c r="C1548" s="58" t="e">
        <f t="shared" si="186"/>
        <v>#N/A</v>
      </c>
      <c r="D1548" s="83" t="e">
        <f t="shared" si="191"/>
        <v>#N/A</v>
      </c>
      <c r="E1548" t="e">
        <f t="shared" si="187"/>
        <v>#N/A</v>
      </c>
      <c r="G1548">
        <v>1498</v>
      </c>
      <c r="H1548" s="13" t="e">
        <f t="shared" si="192"/>
        <v>#N/A</v>
      </c>
      <c r="I1548" t="e">
        <f t="shared" si="193"/>
        <v>#N/A</v>
      </c>
      <c r="J1548" t="e">
        <f t="shared" si="188"/>
        <v>#N/A</v>
      </c>
      <c r="K1548" s="27" t="e">
        <f t="shared" si="189"/>
        <v>#N/A</v>
      </c>
    </row>
    <row r="1549" spans="1:11">
      <c r="A1549" s="26">
        <v>1499</v>
      </c>
      <c r="B1549" s="82" t="e">
        <f t="shared" si="190"/>
        <v>#N/A</v>
      </c>
      <c r="C1549" s="58" t="e">
        <f t="shared" si="186"/>
        <v>#N/A</v>
      </c>
      <c r="D1549" s="83" t="e">
        <f t="shared" si="191"/>
        <v>#N/A</v>
      </c>
      <c r="E1549" t="e">
        <f t="shared" si="187"/>
        <v>#N/A</v>
      </c>
      <c r="G1549">
        <v>1499</v>
      </c>
      <c r="H1549" s="13" t="e">
        <f t="shared" si="192"/>
        <v>#N/A</v>
      </c>
      <c r="I1549" t="e">
        <f t="shared" si="193"/>
        <v>#N/A</v>
      </c>
      <c r="J1549" t="e">
        <f t="shared" si="188"/>
        <v>#N/A</v>
      </c>
      <c r="K1549" s="27" t="e">
        <f t="shared" si="189"/>
        <v>#N/A</v>
      </c>
    </row>
    <row r="1550" spans="1:11">
      <c r="A1550" s="26">
        <v>1500</v>
      </c>
      <c r="B1550" s="82" t="e">
        <f t="shared" si="190"/>
        <v>#N/A</v>
      </c>
      <c r="C1550" s="58" t="e">
        <f t="shared" si="186"/>
        <v>#N/A</v>
      </c>
      <c r="D1550" s="83" t="e">
        <f t="shared" si="191"/>
        <v>#N/A</v>
      </c>
      <c r="E1550" t="e">
        <f t="shared" si="187"/>
        <v>#N/A</v>
      </c>
      <c r="G1550">
        <v>1500</v>
      </c>
      <c r="H1550" s="13" t="e">
        <f t="shared" si="192"/>
        <v>#N/A</v>
      </c>
      <c r="I1550" t="e">
        <f t="shared" si="193"/>
        <v>#N/A</v>
      </c>
      <c r="J1550" t="e">
        <f t="shared" si="188"/>
        <v>#N/A</v>
      </c>
      <c r="K1550" s="27" t="e">
        <f t="shared" si="189"/>
        <v>#N/A</v>
      </c>
    </row>
    <row r="1551" spans="1:11">
      <c r="A1551" s="26">
        <v>1501</v>
      </c>
      <c r="B1551" s="82" t="e">
        <f t="shared" si="190"/>
        <v>#N/A</v>
      </c>
      <c r="C1551" s="58" t="e">
        <f t="shared" si="186"/>
        <v>#N/A</v>
      </c>
      <c r="D1551" s="83" t="e">
        <f t="shared" si="191"/>
        <v>#N/A</v>
      </c>
      <c r="E1551" t="e">
        <f t="shared" si="187"/>
        <v>#N/A</v>
      </c>
      <c r="G1551">
        <v>1501</v>
      </c>
      <c r="H1551" s="13" t="e">
        <f t="shared" si="192"/>
        <v>#N/A</v>
      </c>
      <c r="I1551" t="e">
        <f t="shared" si="193"/>
        <v>#N/A</v>
      </c>
      <c r="J1551" t="e">
        <f t="shared" si="188"/>
        <v>#N/A</v>
      </c>
      <c r="K1551" s="27" t="e">
        <f t="shared" si="189"/>
        <v>#N/A</v>
      </c>
    </row>
    <row r="1552" spans="1:11">
      <c r="A1552" s="26">
        <v>1502</v>
      </c>
      <c r="B1552" s="82" t="e">
        <f t="shared" si="190"/>
        <v>#N/A</v>
      </c>
      <c r="C1552" s="58" t="e">
        <f t="shared" ref="C1552:C1615" si="194">($C$37-$C$36)/2000+C1551</f>
        <v>#N/A</v>
      </c>
      <c r="D1552" s="83" t="e">
        <f t="shared" si="191"/>
        <v>#N/A</v>
      </c>
      <c r="E1552" t="e">
        <f t="shared" si="187"/>
        <v>#N/A</v>
      </c>
      <c r="G1552">
        <v>1502</v>
      </c>
      <c r="H1552" s="13" t="e">
        <f t="shared" si="192"/>
        <v>#N/A</v>
      </c>
      <c r="I1552" t="e">
        <f t="shared" si="193"/>
        <v>#N/A</v>
      </c>
      <c r="J1552" t="e">
        <f t="shared" si="188"/>
        <v>#N/A</v>
      </c>
      <c r="K1552" s="27" t="e">
        <f t="shared" si="189"/>
        <v>#N/A</v>
      </c>
    </row>
    <row r="1553" spans="1:11">
      <c r="A1553" s="26">
        <v>1503</v>
      </c>
      <c r="B1553" s="82" t="e">
        <f t="shared" si="190"/>
        <v>#N/A</v>
      </c>
      <c r="C1553" s="58" t="e">
        <f t="shared" si="194"/>
        <v>#N/A</v>
      </c>
      <c r="D1553" s="83" t="e">
        <f t="shared" si="191"/>
        <v>#N/A</v>
      </c>
      <c r="E1553" t="e">
        <f t="shared" si="187"/>
        <v>#N/A</v>
      </c>
      <c r="G1553">
        <v>1503</v>
      </c>
      <c r="H1553" s="13" t="e">
        <f t="shared" si="192"/>
        <v>#N/A</v>
      </c>
      <c r="I1553" t="e">
        <f t="shared" si="193"/>
        <v>#N/A</v>
      </c>
      <c r="J1553" t="e">
        <f t="shared" si="188"/>
        <v>#N/A</v>
      </c>
      <c r="K1553" s="27" t="e">
        <f t="shared" si="189"/>
        <v>#N/A</v>
      </c>
    </row>
    <row r="1554" spans="1:11">
      <c r="A1554" s="26">
        <v>1504</v>
      </c>
      <c r="B1554" s="82" t="e">
        <f t="shared" si="190"/>
        <v>#N/A</v>
      </c>
      <c r="C1554" s="58" t="e">
        <f t="shared" si="194"/>
        <v>#N/A</v>
      </c>
      <c r="D1554" s="83" t="e">
        <f t="shared" si="191"/>
        <v>#N/A</v>
      </c>
      <c r="E1554" t="e">
        <f t="shared" si="187"/>
        <v>#N/A</v>
      </c>
      <c r="G1554">
        <v>1504</v>
      </c>
      <c r="H1554" s="13" t="e">
        <f t="shared" si="192"/>
        <v>#N/A</v>
      </c>
      <c r="I1554" t="e">
        <f t="shared" si="193"/>
        <v>#N/A</v>
      </c>
      <c r="J1554" t="e">
        <f t="shared" si="188"/>
        <v>#N/A</v>
      </c>
      <c r="K1554" s="27" t="e">
        <f t="shared" si="189"/>
        <v>#N/A</v>
      </c>
    </row>
    <row r="1555" spans="1:11">
      <c r="A1555" s="26">
        <v>1505</v>
      </c>
      <c r="B1555" s="82" t="e">
        <f t="shared" si="190"/>
        <v>#N/A</v>
      </c>
      <c r="C1555" s="58" t="e">
        <f t="shared" si="194"/>
        <v>#N/A</v>
      </c>
      <c r="D1555" s="83" t="e">
        <f t="shared" si="191"/>
        <v>#N/A</v>
      </c>
      <c r="E1555" t="e">
        <f t="shared" si="187"/>
        <v>#N/A</v>
      </c>
      <c r="G1555">
        <v>1505</v>
      </c>
      <c r="H1555" s="13" t="e">
        <f t="shared" si="192"/>
        <v>#N/A</v>
      </c>
      <c r="I1555" t="e">
        <f t="shared" si="193"/>
        <v>#N/A</v>
      </c>
      <c r="J1555" t="e">
        <f t="shared" si="188"/>
        <v>#N/A</v>
      </c>
      <c r="K1555" s="27" t="e">
        <f t="shared" si="189"/>
        <v>#N/A</v>
      </c>
    </row>
    <row r="1556" spans="1:11">
      <c r="A1556" s="26">
        <v>1506</v>
      </c>
      <c r="B1556" s="82" t="e">
        <f t="shared" si="190"/>
        <v>#N/A</v>
      </c>
      <c r="C1556" s="58" t="e">
        <f t="shared" si="194"/>
        <v>#N/A</v>
      </c>
      <c r="D1556" s="83" t="e">
        <f t="shared" si="191"/>
        <v>#N/A</v>
      </c>
      <c r="E1556" t="e">
        <f t="shared" si="187"/>
        <v>#N/A</v>
      </c>
      <c r="G1556">
        <v>1506</v>
      </c>
      <c r="H1556" s="13" t="e">
        <f t="shared" si="192"/>
        <v>#N/A</v>
      </c>
      <c r="I1556" t="e">
        <f t="shared" si="193"/>
        <v>#N/A</v>
      </c>
      <c r="J1556" t="e">
        <f t="shared" si="188"/>
        <v>#N/A</v>
      </c>
      <c r="K1556" s="27" t="e">
        <f t="shared" si="189"/>
        <v>#N/A</v>
      </c>
    </row>
    <row r="1557" spans="1:11">
      <c r="A1557" s="26">
        <v>1507</v>
      </c>
      <c r="B1557" s="82" t="e">
        <f t="shared" si="190"/>
        <v>#N/A</v>
      </c>
      <c r="C1557" s="58" t="e">
        <f t="shared" si="194"/>
        <v>#N/A</v>
      </c>
      <c r="D1557" s="83" t="e">
        <f t="shared" si="191"/>
        <v>#N/A</v>
      </c>
      <c r="E1557" t="e">
        <f t="shared" si="187"/>
        <v>#N/A</v>
      </c>
      <c r="G1557">
        <v>1507</v>
      </c>
      <c r="H1557" s="13" t="e">
        <f t="shared" si="192"/>
        <v>#N/A</v>
      </c>
      <c r="I1557" t="e">
        <f t="shared" si="193"/>
        <v>#N/A</v>
      </c>
      <c r="J1557" t="e">
        <f t="shared" si="188"/>
        <v>#N/A</v>
      </c>
      <c r="K1557" s="27" t="e">
        <f t="shared" si="189"/>
        <v>#N/A</v>
      </c>
    </row>
    <row r="1558" spans="1:11">
      <c r="A1558" s="26">
        <v>1508</v>
      </c>
      <c r="B1558" s="82" t="e">
        <f t="shared" si="190"/>
        <v>#N/A</v>
      </c>
      <c r="C1558" s="58" t="e">
        <f t="shared" si="194"/>
        <v>#N/A</v>
      </c>
      <c r="D1558" s="83" t="e">
        <f t="shared" si="191"/>
        <v>#N/A</v>
      </c>
      <c r="E1558" t="e">
        <f t="shared" si="187"/>
        <v>#N/A</v>
      </c>
      <c r="G1558">
        <v>1508</v>
      </c>
      <c r="H1558" s="13" t="e">
        <f t="shared" si="192"/>
        <v>#N/A</v>
      </c>
      <c r="I1558" t="e">
        <f t="shared" si="193"/>
        <v>#N/A</v>
      </c>
      <c r="J1558" t="e">
        <f t="shared" si="188"/>
        <v>#N/A</v>
      </c>
      <c r="K1558" s="27" t="e">
        <f t="shared" si="189"/>
        <v>#N/A</v>
      </c>
    </row>
    <row r="1559" spans="1:11">
      <c r="A1559" s="26">
        <v>1509</v>
      </c>
      <c r="B1559" s="82" t="e">
        <f t="shared" si="190"/>
        <v>#N/A</v>
      </c>
      <c r="C1559" s="58" t="e">
        <f t="shared" si="194"/>
        <v>#N/A</v>
      </c>
      <c r="D1559" s="83" t="e">
        <f t="shared" si="191"/>
        <v>#N/A</v>
      </c>
      <c r="E1559" t="e">
        <f t="shared" si="187"/>
        <v>#N/A</v>
      </c>
      <c r="G1559">
        <v>1509</v>
      </c>
      <c r="H1559" s="13" t="e">
        <f t="shared" si="192"/>
        <v>#N/A</v>
      </c>
      <c r="I1559" t="e">
        <f t="shared" si="193"/>
        <v>#N/A</v>
      </c>
      <c r="J1559" t="e">
        <f t="shared" si="188"/>
        <v>#N/A</v>
      </c>
      <c r="K1559" s="27" t="e">
        <f t="shared" si="189"/>
        <v>#N/A</v>
      </c>
    </row>
    <row r="1560" spans="1:11">
      <c r="A1560" s="26">
        <v>1510</v>
      </c>
      <c r="B1560" s="82" t="e">
        <f t="shared" si="190"/>
        <v>#N/A</v>
      </c>
      <c r="C1560" s="58" t="e">
        <f t="shared" si="194"/>
        <v>#N/A</v>
      </c>
      <c r="D1560" s="83" t="e">
        <f t="shared" si="191"/>
        <v>#N/A</v>
      </c>
      <c r="E1560" t="e">
        <f t="shared" si="187"/>
        <v>#N/A</v>
      </c>
      <c r="G1560">
        <v>1510</v>
      </c>
      <c r="H1560" s="13" t="e">
        <f t="shared" si="192"/>
        <v>#N/A</v>
      </c>
      <c r="I1560" t="e">
        <f t="shared" si="193"/>
        <v>#N/A</v>
      </c>
      <c r="J1560" t="e">
        <f t="shared" si="188"/>
        <v>#N/A</v>
      </c>
      <c r="K1560" s="27" t="e">
        <f t="shared" si="189"/>
        <v>#N/A</v>
      </c>
    </row>
    <row r="1561" spans="1:11">
      <c r="A1561" s="26">
        <v>1511</v>
      </c>
      <c r="B1561" s="82" t="e">
        <f t="shared" si="190"/>
        <v>#N/A</v>
      </c>
      <c r="C1561" s="58" t="e">
        <f t="shared" si="194"/>
        <v>#N/A</v>
      </c>
      <c r="D1561" s="83" t="e">
        <f t="shared" si="191"/>
        <v>#N/A</v>
      </c>
      <c r="E1561" t="e">
        <f t="shared" si="187"/>
        <v>#N/A</v>
      </c>
      <c r="G1561">
        <v>1511</v>
      </c>
      <c r="H1561" s="13" t="e">
        <f t="shared" si="192"/>
        <v>#N/A</v>
      </c>
      <c r="I1561" t="e">
        <f t="shared" si="193"/>
        <v>#N/A</v>
      </c>
      <c r="J1561" t="e">
        <f t="shared" si="188"/>
        <v>#N/A</v>
      </c>
      <c r="K1561" s="27" t="e">
        <f t="shared" si="189"/>
        <v>#N/A</v>
      </c>
    </row>
    <row r="1562" spans="1:11">
      <c r="A1562" s="26">
        <v>1512</v>
      </c>
      <c r="B1562" s="82" t="e">
        <f t="shared" si="190"/>
        <v>#N/A</v>
      </c>
      <c r="C1562" s="58" t="e">
        <f t="shared" si="194"/>
        <v>#N/A</v>
      </c>
      <c r="D1562" s="83" t="e">
        <f t="shared" si="191"/>
        <v>#N/A</v>
      </c>
      <c r="E1562" t="e">
        <f t="shared" si="187"/>
        <v>#N/A</v>
      </c>
      <c r="G1562">
        <v>1512</v>
      </c>
      <c r="H1562" s="13" t="e">
        <f t="shared" si="192"/>
        <v>#N/A</v>
      </c>
      <c r="I1562" t="e">
        <f t="shared" si="193"/>
        <v>#N/A</v>
      </c>
      <c r="J1562" t="e">
        <f t="shared" si="188"/>
        <v>#N/A</v>
      </c>
      <c r="K1562" s="27" t="e">
        <f t="shared" si="189"/>
        <v>#N/A</v>
      </c>
    </row>
    <row r="1563" spans="1:11">
      <c r="A1563" s="26">
        <v>1513</v>
      </c>
      <c r="B1563" s="82" t="e">
        <f t="shared" si="190"/>
        <v>#N/A</v>
      </c>
      <c r="C1563" s="58" t="e">
        <f t="shared" si="194"/>
        <v>#N/A</v>
      </c>
      <c r="D1563" s="83" t="e">
        <f t="shared" si="191"/>
        <v>#N/A</v>
      </c>
      <c r="E1563" t="e">
        <f t="shared" si="187"/>
        <v>#N/A</v>
      </c>
      <c r="G1563">
        <v>1513</v>
      </c>
      <c r="H1563" s="13" t="e">
        <f t="shared" si="192"/>
        <v>#N/A</v>
      </c>
      <c r="I1563" t="e">
        <f t="shared" si="193"/>
        <v>#N/A</v>
      </c>
      <c r="J1563" t="e">
        <f t="shared" si="188"/>
        <v>#N/A</v>
      </c>
      <c r="K1563" s="27" t="e">
        <f t="shared" si="189"/>
        <v>#N/A</v>
      </c>
    </row>
    <row r="1564" spans="1:11">
      <c r="A1564" s="26">
        <v>1514</v>
      </c>
      <c r="B1564" s="82" t="e">
        <f t="shared" si="190"/>
        <v>#N/A</v>
      </c>
      <c r="C1564" s="58" t="e">
        <f t="shared" si="194"/>
        <v>#N/A</v>
      </c>
      <c r="D1564" s="83" t="e">
        <f t="shared" si="191"/>
        <v>#N/A</v>
      </c>
      <c r="E1564" t="e">
        <f t="shared" si="187"/>
        <v>#N/A</v>
      </c>
      <c r="G1564">
        <v>1514</v>
      </c>
      <c r="H1564" s="13" t="e">
        <f t="shared" si="192"/>
        <v>#N/A</v>
      </c>
      <c r="I1564" t="e">
        <f t="shared" si="193"/>
        <v>#N/A</v>
      </c>
      <c r="J1564" t="e">
        <f t="shared" si="188"/>
        <v>#N/A</v>
      </c>
      <c r="K1564" s="27" t="e">
        <f t="shared" si="189"/>
        <v>#N/A</v>
      </c>
    </row>
    <row r="1565" spans="1:11">
      <c r="A1565" s="26">
        <v>1515</v>
      </c>
      <c r="B1565" s="82" t="e">
        <f t="shared" si="190"/>
        <v>#N/A</v>
      </c>
      <c r="C1565" s="58" t="e">
        <f t="shared" si="194"/>
        <v>#N/A</v>
      </c>
      <c r="D1565" s="83" t="e">
        <f t="shared" si="191"/>
        <v>#N/A</v>
      </c>
      <c r="E1565" t="e">
        <f t="shared" si="187"/>
        <v>#N/A</v>
      </c>
      <c r="G1565">
        <v>1515</v>
      </c>
      <c r="H1565" s="13" t="e">
        <f t="shared" si="192"/>
        <v>#N/A</v>
      </c>
      <c r="I1565" t="e">
        <f t="shared" si="193"/>
        <v>#N/A</v>
      </c>
      <c r="J1565" t="e">
        <f t="shared" si="188"/>
        <v>#N/A</v>
      </c>
      <c r="K1565" s="27" t="e">
        <f t="shared" si="189"/>
        <v>#N/A</v>
      </c>
    </row>
    <row r="1566" spans="1:11">
      <c r="A1566" s="26">
        <v>1516</v>
      </c>
      <c r="B1566" s="82" t="e">
        <f t="shared" si="190"/>
        <v>#N/A</v>
      </c>
      <c r="C1566" s="58" t="e">
        <f t="shared" si="194"/>
        <v>#N/A</v>
      </c>
      <c r="D1566" s="83" t="e">
        <f t="shared" si="191"/>
        <v>#N/A</v>
      </c>
      <c r="E1566" t="e">
        <f t="shared" si="187"/>
        <v>#N/A</v>
      </c>
      <c r="G1566">
        <v>1516</v>
      </c>
      <c r="H1566" s="13" t="e">
        <f t="shared" si="192"/>
        <v>#N/A</v>
      </c>
      <c r="I1566" t="e">
        <f t="shared" si="193"/>
        <v>#N/A</v>
      </c>
      <c r="J1566" t="e">
        <f t="shared" si="188"/>
        <v>#N/A</v>
      </c>
      <c r="K1566" s="27" t="e">
        <f t="shared" si="189"/>
        <v>#N/A</v>
      </c>
    </row>
    <row r="1567" spans="1:11">
      <c r="A1567" s="26">
        <v>1517</v>
      </c>
      <c r="B1567" s="82" t="e">
        <f t="shared" si="190"/>
        <v>#N/A</v>
      </c>
      <c r="C1567" s="58" t="e">
        <f t="shared" si="194"/>
        <v>#N/A</v>
      </c>
      <c r="D1567" s="83" t="e">
        <f t="shared" si="191"/>
        <v>#N/A</v>
      </c>
      <c r="E1567" t="e">
        <f t="shared" si="187"/>
        <v>#N/A</v>
      </c>
      <c r="G1567">
        <v>1517</v>
      </c>
      <c r="H1567" s="13" t="e">
        <f t="shared" si="192"/>
        <v>#N/A</v>
      </c>
      <c r="I1567" t="e">
        <f t="shared" si="193"/>
        <v>#N/A</v>
      </c>
      <c r="J1567" t="e">
        <f t="shared" si="188"/>
        <v>#N/A</v>
      </c>
      <c r="K1567" s="27" t="e">
        <f t="shared" si="189"/>
        <v>#N/A</v>
      </c>
    </row>
    <row r="1568" spans="1:11">
      <c r="A1568" s="26">
        <v>1518</v>
      </c>
      <c r="B1568" s="82" t="e">
        <f t="shared" si="190"/>
        <v>#N/A</v>
      </c>
      <c r="C1568" s="58" t="e">
        <f t="shared" si="194"/>
        <v>#N/A</v>
      </c>
      <c r="D1568" s="83" t="e">
        <f t="shared" si="191"/>
        <v>#N/A</v>
      </c>
      <c r="E1568" t="e">
        <f t="shared" si="187"/>
        <v>#N/A</v>
      </c>
      <c r="G1568">
        <v>1518</v>
      </c>
      <c r="H1568" s="13" t="e">
        <f t="shared" si="192"/>
        <v>#N/A</v>
      </c>
      <c r="I1568" t="e">
        <f t="shared" si="193"/>
        <v>#N/A</v>
      </c>
      <c r="J1568" t="e">
        <f t="shared" si="188"/>
        <v>#N/A</v>
      </c>
      <c r="K1568" s="27" t="e">
        <f t="shared" si="189"/>
        <v>#N/A</v>
      </c>
    </row>
    <row r="1569" spans="1:11">
      <c r="A1569" s="26">
        <v>1519</v>
      </c>
      <c r="B1569" s="82" t="e">
        <f t="shared" si="190"/>
        <v>#N/A</v>
      </c>
      <c r="C1569" s="58" t="e">
        <f t="shared" si="194"/>
        <v>#N/A</v>
      </c>
      <c r="D1569" s="83" t="e">
        <f t="shared" si="191"/>
        <v>#N/A</v>
      </c>
      <c r="E1569" t="e">
        <f t="shared" si="187"/>
        <v>#N/A</v>
      </c>
      <c r="G1569">
        <v>1519</v>
      </c>
      <c r="H1569" s="13" t="e">
        <f t="shared" si="192"/>
        <v>#N/A</v>
      </c>
      <c r="I1569" t="e">
        <f t="shared" si="193"/>
        <v>#N/A</v>
      </c>
      <c r="J1569" t="e">
        <f t="shared" si="188"/>
        <v>#N/A</v>
      </c>
      <c r="K1569" s="27" t="e">
        <f t="shared" si="189"/>
        <v>#N/A</v>
      </c>
    </row>
    <row r="1570" spans="1:11">
      <c r="A1570" s="26">
        <v>1520</v>
      </c>
      <c r="B1570" s="82" t="e">
        <f t="shared" si="190"/>
        <v>#N/A</v>
      </c>
      <c r="C1570" s="58" t="e">
        <f t="shared" si="194"/>
        <v>#N/A</v>
      </c>
      <c r="D1570" s="83" t="e">
        <f t="shared" si="191"/>
        <v>#N/A</v>
      </c>
      <c r="E1570" t="e">
        <f t="shared" si="187"/>
        <v>#N/A</v>
      </c>
      <c r="G1570">
        <v>1520</v>
      </c>
      <c r="H1570" s="13" t="e">
        <f t="shared" si="192"/>
        <v>#N/A</v>
      </c>
      <c r="I1570" t="e">
        <f t="shared" si="193"/>
        <v>#N/A</v>
      </c>
      <c r="J1570" t="e">
        <f t="shared" si="188"/>
        <v>#N/A</v>
      </c>
      <c r="K1570" s="27" t="e">
        <f t="shared" si="189"/>
        <v>#N/A</v>
      </c>
    </row>
    <row r="1571" spans="1:11">
      <c r="A1571" s="26">
        <v>1521</v>
      </c>
      <c r="B1571" s="82" t="e">
        <f t="shared" si="190"/>
        <v>#N/A</v>
      </c>
      <c r="C1571" s="58" t="e">
        <f t="shared" si="194"/>
        <v>#N/A</v>
      </c>
      <c r="D1571" s="83" t="e">
        <f t="shared" si="191"/>
        <v>#N/A</v>
      </c>
      <c r="E1571" t="e">
        <f t="shared" si="187"/>
        <v>#N/A</v>
      </c>
      <c r="G1571">
        <v>1521</v>
      </c>
      <c r="H1571" s="13" t="e">
        <f t="shared" si="192"/>
        <v>#N/A</v>
      </c>
      <c r="I1571" t="e">
        <f t="shared" si="193"/>
        <v>#N/A</v>
      </c>
      <c r="J1571" t="e">
        <f t="shared" si="188"/>
        <v>#N/A</v>
      </c>
      <c r="K1571" s="27" t="e">
        <f t="shared" si="189"/>
        <v>#N/A</v>
      </c>
    </row>
    <row r="1572" spans="1:11">
      <c r="A1572" s="26">
        <v>1522</v>
      </c>
      <c r="B1572" s="82" t="e">
        <f t="shared" si="190"/>
        <v>#N/A</v>
      </c>
      <c r="C1572" s="58" t="e">
        <f t="shared" si="194"/>
        <v>#N/A</v>
      </c>
      <c r="D1572" s="83" t="e">
        <f t="shared" si="191"/>
        <v>#N/A</v>
      </c>
      <c r="E1572" t="e">
        <f t="shared" si="187"/>
        <v>#N/A</v>
      </c>
      <c r="G1572">
        <v>1522</v>
      </c>
      <c r="H1572" s="13" t="e">
        <f t="shared" si="192"/>
        <v>#N/A</v>
      </c>
      <c r="I1572" t="e">
        <f t="shared" si="193"/>
        <v>#N/A</v>
      </c>
      <c r="J1572" t="e">
        <f t="shared" si="188"/>
        <v>#N/A</v>
      </c>
      <c r="K1572" s="27" t="e">
        <f t="shared" si="189"/>
        <v>#N/A</v>
      </c>
    </row>
    <row r="1573" spans="1:11">
      <c r="A1573" s="26">
        <v>1523</v>
      </c>
      <c r="B1573" s="82" t="e">
        <f t="shared" si="190"/>
        <v>#N/A</v>
      </c>
      <c r="C1573" s="58" t="e">
        <f t="shared" si="194"/>
        <v>#N/A</v>
      </c>
      <c r="D1573" s="83" t="e">
        <f t="shared" si="191"/>
        <v>#N/A</v>
      </c>
      <c r="E1573" t="e">
        <f t="shared" si="187"/>
        <v>#N/A</v>
      </c>
      <c r="G1573">
        <v>1523</v>
      </c>
      <c r="H1573" s="13" t="e">
        <f t="shared" si="192"/>
        <v>#N/A</v>
      </c>
      <c r="I1573" t="e">
        <f t="shared" si="193"/>
        <v>#N/A</v>
      </c>
      <c r="J1573" t="e">
        <f t="shared" si="188"/>
        <v>#N/A</v>
      </c>
      <c r="K1573" s="27" t="e">
        <f t="shared" si="189"/>
        <v>#N/A</v>
      </c>
    </row>
    <row r="1574" spans="1:11">
      <c r="A1574" s="26">
        <v>1524</v>
      </c>
      <c r="B1574" s="82" t="e">
        <f t="shared" si="190"/>
        <v>#N/A</v>
      </c>
      <c r="C1574" s="58" t="e">
        <f t="shared" si="194"/>
        <v>#N/A</v>
      </c>
      <c r="D1574" s="83" t="e">
        <f t="shared" si="191"/>
        <v>#N/A</v>
      </c>
      <c r="E1574" t="e">
        <f t="shared" si="187"/>
        <v>#N/A</v>
      </c>
      <c r="G1574">
        <v>1524</v>
      </c>
      <c r="H1574" s="13" t="e">
        <f t="shared" si="192"/>
        <v>#N/A</v>
      </c>
      <c r="I1574" t="e">
        <f t="shared" si="193"/>
        <v>#N/A</v>
      </c>
      <c r="J1574" t="e">
        <f t="shared" si="188"/>
        <v>#N/A</v>
      </c>
      <c r="K1574" s="27" t="e">
        <f t="shared" si="189"/>
        <v>#N/A</v>
      </c>
    </row>
    <row r="1575" spans="1:11">
      <c r="A1575" s="26">
        <v>1525</v>
      </c>
      <c r="B1575" s="82" t="e">
        <f t="shared" si="190"/>
        <v>#N/A</v>
      </c>
      <c r="C1575" s="58" t="e">
        <f t="shared" si="194"/>
        <v>#N/A</v>
      </c>
      <c r="D1575" s="83" t="e">
        <f t="shared" si="191"/>
        <v>#N/A</v>
      </c>
      <c r="E1575" t="e">
        <f t="shared" si="187"/>
        <v>#N/A</v>
      </c>
      <c r="G1575">
        <v>1525</v>
      </c>
      <c r="H1575" s="13" t="e">
        <f t="shared" si="192"/>
        <v>#N/A</v>
      </c>
      <c r="I1575" t="e">
        <f t="shared" si="193"/>
        <v>#N/A</v>
      </c>
      <c r="J1575" t="e">
        <f t="shared" si="188"/>
        <v>#N/A</v>
      </c>
      <c r="K1575" s="27" t="e">
        <f t="shared" si="189"/>
        <v>#N/A</v>
      </c>
    </row>
    <row r="1576" spans="1:11">
      <c r="A1576" s="26">
        <v>1526</v>
      </c>
      <c r="B1576" s="82" t="e">
        <f t="shared" si="190"/>
        <v>#N/A</v>
      </c>
      <c r="C1576" s="58" t="e">
        <f t="shared" si="194"/>
        <v>#N/A</v>
      </c>
      <c r="D1576" s="83" t="e">
        <f t="shared" si="191"/>
        <v>#N/A</v>
      </c>
      <c r="E1576" t="e">
        <f t="shared" si="187"/>
        <v>#N/A</v>
      </c>
      <c r="G1576">
        <v>1526</v>
      </c>
      <c r="H1576" s="13" t="e">
        <f t="shared" si="192"/>
        <v>#N/A</v>
      </c>
      <c r="I1576" t="e">
        <f t="shared" si="193"/>
        <v>#N/A</v>
      </c>
      <c r="J1576" t="e">
        <f t="shared" si="188"/>
        <v>#N/A</v>
      </c>
      <c r="K1576" s="27" t="e">
        <f t="shared" si="189"/>
        <v>#N/A</v>
      </c>
    </row>
    <row r="1577" spans="1:11">
      <c r="A1577" s="26">
        <v>1527</v>
      </c>
      <c r="B1577" s="82" t="e">
        <f t="shared" si="190"/>
        <v>#N/A</v>
      </c>
      <c r="C1577" s="58" t="e">
        <f t="shared" si="194"/>
        <v>#N/A</v>
      </c>
      <c r="D1577" s="83" t="e">
        <f t="shared" si="191"/>
        <v>#N/A</v>
      </c>
      <c r="E1577" t="e">
        <f t="shared" si="187"/>
        <v>#N/A</v>
      </c>
      <c r="G1577">
        <v>1527</v>
      </c>
      <c r="H1577" s="13" t="e">
        <f t="shared" si="192"/>
        <v>#N/A</v>
      </c>
      <c r="I1577" t="e">
        <f t="shared" si="193"/>
        <v>#N/A</v>
      </c>
      <c r="J1577" t="e">
        <f t="shared" si="188"/>
        <v>#N/A</v>
      </c>
      <c r="K1577" s="27" t="e">
        <f t="shared" si="189"/>
        <v>#N/A</v>
      </c>
    </row>
    <row r="1578" spans="1:11">
      <c r="A1578" s="26">
        <v>1528</v>
      </c>
      <c r="B1578" s="82" t="e">
        <f t="shared" si="190"/>
        <v>#N/A</v>
      </c>
      <c r="C1578" s="58" t="e">
        <f t="shared" si="194"/>
        <v>#N/A</v>
      </c>
      <c r="D1578" s="83" t="e">
        <f t="shared" si="191"/>
        <v>#N/A</v>
      </c>
      <c r="E1578" t="e">
        <f t="shared" si="187"/>
        <v>#N/A</v>
      </c>
      <c r="G1578">
        <v>1528</v>
      </c>
      <c r="H1578" s="13" t="e">
        <f t="shared" si="192"/>
        <v>#N/A</v>
      </c>
      <c r="I1578" t="e">
        <f t="shared" si="193"/>
        <v>#N/A</v>
      </c>
      <c r="J1578" t="e">
        <f t="shared" si="188"/>
        <v>#N/A</v>
      </c>
      <c r="K1578" s="27" t="e">
        <f t="shared" si="189"/>
        <v>#N/A</v>
      </c>
    </row>
    <row r="1579" spans="1:11">
      <c r="A1579" s="26">
        <v>1529</v>
      </c>
      <c r="B1579" s="82" t="e">
        <f t="shared" si="190"/>
        <v>#N/A</v>
      </c>
      <c r="C1579" s="58" t="e">
        <f t="shared" si="194"/>
        <v>#N/A</v>
      </c>
      <c r="D1579" s="83" t="e">
        <f t="shared" si="191"/>
        <v>#N/A</v>
      </c>
      <c r="E1579" t="e">
        <f t="shared" si="187"/>
        <v>#N/A</v>
      </c>
      <c r="G1579">
        <v>1529</v>
      </c>
      <c r="H1579" s="13" t="e">
        <f t="shared" si="192"/>
        <v>#N/A</v>
      </c>
      <c r="I1579" t="e">
        <f t="shared" si="193"/>
        <v>#N/A</v>
      </c>
      <c r="J1579" t="e">
        <f t="shared" si="188"/>
        <v>#N/A</v>
      </c>
      <c r="K1579" s="27" t="e">
        <f t="shared" si="189"/>
        <v>#N/A</v>
      </c>
    </row>
    <row r="1580" spans="1:11">
      <c r="A1580" s="26">
        <v>1530</v>
      </c>
      <c r="B1580" s="82" t="e">
        <f t="shared" si="190"/>
        <v>#N/A</v>
      </c>
      <c r="C1580" s="58" t="e">
        <f t="shared" si="194"/>
        <v>#N/A</v>
      </c>
      <c r="D1580" s="83" t="e">
        <f t="shared" si="191"/>
        <v>#N/A</v>
      </c>
      <c r="E1580" t="e">
        <f t="shared" si="187"/>
        <v>#N/A</v>
      </c>
      <c r="G1580">
        <v>1530</v>
      </c>
      <c r="H1580" s="13" t="e">
        <f t="shared" si="192"/>
        <v>#N/A</v>
      </c>
      <c r="I1580" t="e">
        <f t="shared" si="193"/>
        <v>#N/A</v>
      </c>
      <c r="J1580" t="e">
        <f t="shared" si="188"/>
        <v>#N/A</v>
      </c>
      <c r="K1580" s="27" t="e">
        <f t="shared" si="189"/>
        <v>#N/A</v>
      </c>
    </row>
    <row r="1581" spans="1:11">
      <c r="A1581" s="26">
        <v>1531</v>
      </c>
      <c r="B1581" s="82" t="e">
        <f t="shared" si="190"/>
        <v>#N/A</v>
      </c>
      <c r="C1581" s="58" t="e">
        <f t="shared" si="194"/>
        <v>#N/A</v>
      </c>
      <c r="D1581" s="83" t="e">
        <f t="shared" si="191"/>
        <v>#N/A</v>
      </c>
      <c r="E1581" t="e">
        <f t="shared" si="187"/>
        <v>#N/A</v>
      </c>
      <c r="G1581">
        <v>1531</v>
      </c>
      <c r="H1581" s="13" t="e">
        <f t="shared" si="192"/>
        <v>#N/A</v>
      </c>
      <c r="I1581" t="e">
        <f t="shared" si="193"/>
        <v>#N/A</v>
      </c>
      <c r="J1581" t="e">
        <f t="shared" si="188"/>
        <v>#N/A</v>
      </c>
      <c r="K1581" s="27" t="e">
        <f t="shared" si="189"/>
        <v>#N/A</v>
      </c>
    </row>
    <row r="1582" spans="1:11">
      <c r="A1582" s="26">
        <v>1532</v>
      </c>
      <c r="B1582" s="82" t="e">
        <f t="shared" si="190"/>
        <v>#N/A</v>
      </c>
      <c r="C1582" s="58" t="e">
        <f t="shared" si="194"/>
        <v>#N/A</v>
      </c>
      <c r="D1582" s="83" t="e">
        <f t="shared" si="191"/>
        <v>#N/A</v>
      </c>
      <c r="E1582" t="e">
        <f t="shared" si="187"/>
        <v>#N/A</v>
      </c>
      <c r="G1582">
        <v>1532</v>
      </c>
      <c r="H1582" s="13" t="e">
        <f t="shared" si="192"/>
        <v>#N/A</v>
      </c>
      <c r="I1582" t="e">
        <f t="shared" si="193"/>
        <v>#N/A</v>
      </c>
      <c r="J1582" t="e">
        <f t="shared" si="188"/>
        <v>#N/A</v>
      </c>
      <c r="K1582" s="27" t="e">
        <f t="shared" si="189"/>
        <v>#N/A</v>
      </c>
    </row>
    <row r="1583" spans="1:11">
      <c r="A1583" s="26">
        <v>1533</v>
      </c>
      <c r="B1583" s="82" t="e">
        <f t="shared" si="190"/>
        <v>#N/A</v>
      </c>
      <c r="C1583" s="58" t="e">
        <f t="shared" si="194"/>
        <v>#N/A</v>
      </c>
      <c r="D1583" s="83" t="e">
        <f t="shared" si="191"/>
        <v>#N/A</v>
      </c>
      <c r="E1583" t="e">
        <f t="shared" si="187"/>
        <v>#N/A</v>
      </c>
      <c r="G1583">
        <v>1533</v>
      </c>
      <c r="H1583" s="13" t="e">
        <f t="shared" si="192"/>
        <v>#N/A</v>
      </c>
      <c r="I1583" t="e">
        <f t="shared" si="193"/>
        <v>#N/A</v>
      </c>
      <c r="J1583" t="e">
        <f t="shared" si="188"/>
        <v>#N/A</v>
      </c>
      <c r="K1583" s="27" t="e">
        <f t="shared" si="189"/>
        <v>#N/A</v>
      </c>
    </row>
    <row r="1584" spans="1:11">
      <c r="A1584" s="26">
        <v>1534</v>
      </c>
      <c r="B1584" s="82" t="e">
        <f t="shared" si="190"/>
        <v>#N/A</v>
      </c>
      <c r="C1584" s="58" t="e">
        <f t="shared" si="194"/>
        <v>#N/A</v>
      </c>
      <c r="D1584" s="83" t="e">
        <f t="shared" si="191"/>
        <v>#N/A</v>
      </c>
      <c r="E1584" t="e">
        <f t="shared" si="187"/>
        <v>#N/A</v>
      </c>
      <c r="G1584">
        <v>1534</v>
      </c>
      <c r="H1584" s="13" t="e">
        <f t="shared" si="192"/>
        <v>#N/A</v>
      </c>
      <c r="I1584" t="e">
        <f t="shared" si="193"/>
        <v>#N/A</v>
      </c>
      <c r="J1584" t="e">
        <f t="shared" si="188"/>
        <v>#N/A</v>
      </c>
      <c r="K1584" s="27" t="e">
        <f t="shared" si="189"/>
        <v>#N/A</v>
      </c>
    </row>
    <row r="1585" spans="1:11">
      <c r="A1585" s="26">
        <v>1535</v>
      </c>
      <c r="B1585" s="82" t="e">
        <f t="shared" si="190"/>
        <v>#N/A</v>
      </c>
      <c r="C1585" s="58" t="e">
        <f t="shared" si="194"/>
        <v>#N/A</v>
      </c>
      <c r="D1585" s="83" t="e">
        <f t="shared" si="191"/>
        <v>#N/A</v>
      </c>
      <c r="E1585" t="e">
        <f t="shared" si="187"/>
        <v>#N/A</v>
      </c>
      <c r="G1585">
        <v>1535</v>
      </c>
      <c r="H1585" s="13" t="e">
        <f t="shared" si="192"/>
        <v>#N/A</v>
      </c>
      <c r="I1585" t="e">
        <f t="shared" si="193"/>
        <v>#N/A</v>
      </c>
      <c r="J1585" t="e">
        <f t="shared" si="188"/>
        <v>#N/A</v>
      </c>
      <c r="K1585" s="27" t="e">
        <f t="shared" si="189"/>
        <v>#N/A</v>
      </c>
    </row>
    <row r="1586" spans="1:11">
      <c r="A1586" s="26">
        <v>1536</v>
      </c>
      <c r="B1586" s="82" t="e">
        <f t="shared" si="190"/>
        <v>#N/A</v>
      </c>
      <c r="C1586" s="58" t="e">
        <f t="shared" si="194"/>
        <v>#N/A</v>
      </c>
      <c r="D1586" s="83" t="e">
        <f t="shared" si="191"/>
        <v>#N/A</v>
      </c>
      <c r="E1586" t="e">
        <f t="shared" si="187"/>
        <v>#N/A</v>
      </c>
      <c r="G1586">
        <v>1536</v>
      </c>
      <c r="H1586" s="13" t="e">
        <f t="shared" si="192"/>
        <v>#N/A</v>
      </c>
      <c r="I1586" t="e">
        <f t="shared" si="193"/>
        <v>#N/A</v>
      </c>
      <c r="J1586" t="e">
        <f t="shared" si="188"/>
        <v>#N/A</v>
      </c>
      <c r="K1586" s="27" t="e">
        <f t="shared" si="189"/>
        <v>#N/A</v>
      </c>
    </row>
    <row r="1587" spans="1:11">
      <c r="A1587" s="26">
        <v>1537</v>
      </c>
      <c r="B1587" s="82" t="e">
        <f t="shared" si="190"/>
        <v>#N/A</v>
      </c>
      <c r="C1587" s="58" t="e">
        <f t="shared" si="194"/>
        <v>#N/A</v>
      </c>
      <c r="D1587" s="83" t="e">
        <f t="shared" si="191"/>
        <v>#N/A</v>
      </c>
      <c r="E1587" t="e">
        <f t="shared" ref="E1587:E1650" si="195">((D1587^2)+(D1587*D1588)+(D1588^2))*B1588/3</f>
        <v>#N/A</v>
      </c>
      <c r="G1587">
        <v>1537</v>
      </c>
      <c r="H1587" s="13" t="e">
        <f t="shared" si="192"/>
        <v>#N/A</v>
      </c>
      <c r="I1587" t="e">
        <f t="shared" si="193"/>
        <v>#N/A</v>
      </c>
      <c r="J1587" t="e">
        <f t="shared" ref="J1587:J1650" si="196">IF($G$28&lt;$C$14,0,((($C$11^2)-((I1587-$C$13)^2))^0.5)+$C$16)</f>
        <v>#N/A</v>
      </c>
      <c r="K1587" s="27" t="e">
        <f t="shared" ref="K1587:K1650" si="197">((J1587^2)+(J1587*J1588)+(J1588^2))*H1588/3</f>
        <v>#N/A</v>
      </c>
    </row>
    <row r="1588" spans="1:11">
      <c r="A1588" s="26">
        <v>1538</v>
      </c>
      <c r="B1588" s="82" t="e">
        <f t="shared" ref="B1588:B1651" si="198">C1588-C1587</f>
        <v>#N/A</v>
      </c>
      <c r="C1588" s="58" t="e">
        <f t="shared" si="194"/>
        <v>#N/A</v>
      </c>
      <c r="D1588" s="83" t="e">
        <f t="shared" ref="D1588:D1651" si="199">IF($G$28&lt;$C$14,0,((($C$11^2)-((C1588-$C$13)^2))^0.5)+$C$16)</f>
        <v>#N/A</v>
      </c>
      <c r="E1588" t="e">
        <f t="shared" si="195"/>
        <v>#N/A</v>
      </c>
      <c r="G1588">
        <v>1538</v>
      </c>
      <c r="H1588" s="13" t="e">
        <f t="shared" ref="H1588:H1651" si="200">I1588-I1587</f>
        <v>#N/A</v>
      </c>
      <c r="I1588" t="e">
        <f t="shared" ref="I1588:I1651" si="201">($G$27-$C$14)/2000+I1587</f>
        <v>#N/A</v>
      </c>
      <c r="J1588" t="e">
        <f t="shared" si="196"/>
        <v>#N/A</v>
      </c>
      <c r="K1588" s="27" t="e">
        <f t="shared" si="197"/>
        <v>#N/A</v>
      </c>
    </row>
    <row r="1589" spans="1:11">
      <c r="A1589" s="26">
        <v>1539</v>
      </c>
      <c r="B1589" s="82" t="e">
        <f t="shared" si="198"/>
        <v>#N/A</v>
      </c>
      <c r="C1589" s="58" t="e">
        <f t="shared" si="194"/>
        <v>#N/A</v>
      </c>
      <c r="D1589" s="83" t="e">
        <f t="shared" si="199"/>
        <v>#N/A</v>
      </c>
      <c r="E1589" t="e">
        <f t="shared" si="195"/>
        <v>#N/A</v>
      </c>
      <c r="G1589">
        <v>1539</v>
      </c>
      <c r="H1589" s="13" t="e">
        <f t="shared" si="200"/>
        <v>#N/A</v>
      </c>
      <c r="I1589" t="e">
        <f t="shared" si="201"/>
        <v>#N/A</v>
      </c>
      <c r="J1589" t="e">
        <f t="shared" si="196"/>
        <v>#N/A</v>
      </c>
      <c r="K1589" s="27" t="e">
        <f t="shared" si="197"/>
        <v>#N/A</v>
      </c>
    </row>
    <row r="1590" spans="1:11">
      <c r="A1590" s="26">
        <v>1540</v>
      </c>
      <c r="B1590" s="82" t="e">
        <f t="shared" si="198"/>
        <v>#N/A</v>
      </c>
      <c r="C1590" s="58" t="e">
        <f t="shared" si="194"/>
        <v>#N/A</v>
      </c>
      <c r="D1590" s="83" t="e">
        <f t="shared" si="199"/>
        <v>#N/A</v>
      </c>
      <c r="E1590" t="e">
        <f t="shared" si="195"/>
        <v>#N/A</v>
      </c>
      <c r="G1590">
        <v>1540</v>
      </c>
      <c r="H1590" s="13" t="e">
        <f t="shared" si="200"/>
        <v>#N/A</v>
      </c>
      <c r="I1590" t="e">
        <f t="shared" si="201"/>
        <v>#N/A</v>
      </c>
      <c r="J1590" t="e">
        <f t="shared" si="196"/>
        <v>#N/A</v>
      </c>
      <c r="K1590" s="27" t="e">
        <f t="shared" si="197"/>
        <v>#N/A</v>
      </c>
    </row>
    <row r="1591" spans="1:11">
      <c r="A1591" s="26">
        <v>1541</v>
      </c>
      <c r="B1591" s="82" t="e">
        <f t="shared" si="198"/>
        <v>#N/A</v>
      </c>
      <c r="C1591" s="58" t="e">
        <f t="shared" si="194"/>
        <v>#N/A</v>
      </c>
      <c r="D1591" s="83" t="e">
        <f t="shared" si="199"/>
        <v>#N/A</v>
      </c>
      <c r="E1591" t="e">
        <f t="shared" si="195"/>
        <v>#N/A</v>
      </c>
      <c r="G1591">
        <v>1541</v>
      </c>
      <c r="H1591" s="13" t="e">
        <f t="shared" si="200"/>
        <v>#N/A</v>
      </c>
      <c r="I1591" t="e">
        <f t="shared" si="201"/>
        <v>#N/A</v>
      </c>
      <c r="J1591" t="e">
        <f t="shared" si="196"/>
        <v>#N/A</v>
      </c>
      <c r="K1591" s="27" t="e">
        <f t="shared" si="197"/>
        <v>#N/A</v>
      </c>
    </row>
    <row r="1592" spans="1:11">
      <c r="A1592" s="26">
        <v>1542</v>
      </c>
      <c r="B1592" s="82" t="e">
        <f t="shared" si="198"/>
        <v>#N/A</v>
      </c>
      <c r="C1592" s="58" t="e">
        <f t="shared" si="194"/>
        <v>#N/A</v>
      </c>
      <c r="D1592" s="83" t="e">
        <f t="shared" si="199"/>
        <v>#N/A</v>
      </c>
      <c r="E1592" t="e">
        <f t="shared" si="195"/>
        <v>#N/A</v>
      </c>
      <c r="G1592">
        <v>1542</v>
      </c>
      <c r="H1592" s="13" t="e">
        <f t="shared" si="200"/>
        <v>#N/A</v>
      </c>
      <c r="I1592" t="e">
        <f t="shared" si="201"/>
        <v>#N/A</v>
      </c>
      <c r="J1592" t="e">
        <f t="shared" si="196"/>
        <v>#N/A</v>
      </c>
      <c r="K1592" s="27" t="e">
        <f t="shared" si="197"/>
        <v>#N/A</v>
      </c>
    </row>
    <row r="1593" spans="1:11">
      <c r="A1593" s="26">
        <v>1543</v>
      </c>
      <c r="B1593" s="82" t="e">
        <f t="shared" si="198"/>
        <v>#N/A</v>
      </c>
      <c r="C1593" s="58" t="e">
        <f t="shared" si="194"/>
        <v>#N/A</v>
      </c>
      <c r="D1593" s="83" t="e">
        <f t="shared" si="199"/>
        <v>#N/A</v>
      </c>
      <c r="E1593" t="e">
        <f t="shared" si="195"/>
        <v>#N/A</v>
      </c>
      <c r="G1593">
        <v>1543</v>
      </c>
      <c r="H1593" s="13" t="e">
        <f t="shared" si="200"/>
        <v>#N/A</v>
      </c>
      <c r="I1593" t="e">
        <f t="shared" si="201"/>
        <v>#N/A</v>
      </c>
      <c r="J1593" t="e">
        <f t="shared" si="196"/>
        <v>#N/A</v>
      </c>
      <c r="K1593" s="27" t="e">
        <f t="shared" si="197"/>
        <v>#N/A</v>
      </c>
    </row>
    <row r="1594" spans="1:11">
      <c r="A1594" s="26">
        <v>1544</v>
      </c>
      <c r="B1594" s="82" t="e">
        <f t="shared" si="198"/>
        <v>#N/A</v>
      </c>
      <c r="C1594" s="58" t="e">
        <f t="shared" si="194"/>
        <v>#N/A</v>
      </c>
      <c r="D1594" s="83" t="e">
        <f t="shared" si="199"/>
        <v>#N/A</v>
      </c>
      <c r="E1594" t="e">
        <f t="shared" si="195"/>
        <v>#N/A</v>
      </c>
      <c r="G1594">
        <v>1544</v>
      </c>
      <c r="H1594" s="13" t="e">
        <f t="shared" si="200"/>
        <v>#N/A</v>
      </c>
      <c r="I1594" t="e">
        <f t="shared" si="201"/>
        <v>#N/A</v>
      </c>
      <c r="J1594" t="e">
        <f t="shared" si="196"/>
        <v>#N/A</v>
      </c>
      <c r="K1594" s="27" t="e">
        <f t="shared" si="197"/>
        <v>#N/A</v>
      </c>
    </row>
    <row r="1595" spans="1:11">
      <c r="A1595" s="26">
        <v>1545</v>
      </c>
      <c r="B1595" s="82" t="e">
        <f t="shared" si="198"/>
        <v>#N/A</v>
      </c>
      <c r="C1595" s="58" t="e">
        <f t="shared" si="194"/>
        <v>#N/A</v>
      </c>
      <c r="D1595" s="83" t="e">
        <f t="shared" si="199"/>
        <v>#N/A</v>
      </c>
      <c r="E1595" t="e">
        <f t="shared" si="195"/>
        <v>#N/A</v>
      </c>
      <c r="G1595">
        <v>1545</v>
      </c>
      <c r="H1595" s="13" t="e">
        <f t="shared" si="200"/>
        <v>#N/A</v>
      </c>
      <c r="I1595" t="e">
        <f t="shared" si="201"/>
        <v>#N/A</v>
      </c>
      <c r="J1595" t="e">
        <f t="shared" si="196"/>
        <v>#N/A</v>
      </c>
      <c r="K1595" s="27" t="e">
        <f t="shared" si="197"/>
        <v>#N/A</v>
      </c>
    </row>
    <row r="1596" spans="1:11">
      <c r="A1596" s="26">
        <v>1546</v>
      </c>
      <c r="B1596" s="82" t="e">
        <f t="shared" si="198"/>
        <v>#N/A</v>
      </c>
      <c r="C1596" s="58" t="e">
        <f t="shared" si="194"/>
        <v>#N/A</v>
      </c>
      <c r="D1596" s="83" t="e">
        <f t="shared" si="199"/>
        <v>#N/A</v>
      </c>
      <c r="E1596" t="e">
        <f t="shared" si="195"/>
        <v>#N/A</v>
      </c>
      <c r="G1596">
        <v>1546</v>
      </c>
      <c r="H1596" s="13" t="e">
        <f t="shared" si="200"/>
        <v>#N/A</v>
      </c>
      <c r="I1596" t="e">
        <f t="shared" si="201"/>
        <v>#N/A</v>
      </c>
      <c r="J1596" t="e">
        <f t="shared" si="196"/>
        <v>#N/A</v>
      </c>
      <c r="K1596" s="27" t="e">
        <f t="shared" si="197"/>
        <v>#N/A</v>
      </c>
    </row>
    <row r="1597" spans="1:11">
      <c r="A1597" s="26">
        <v>1547</v>
      </c>
      <c r="B1597" s="82" t="e">
        <f t="shared" si="198"/>
        <v>#N/A</v>
      </c>
      <c r="C1597" s="58" t="e">
        <f t="shared" si="194"/>
        <v>#N/A</v>
      </c>
      <c r="D1597" s="83" t="e">
        <f t="shared" si="199"/>
        <v>#N/A</v>
      </c>
      <c r="E1597" t="e">
        <f t="shared" si="195"/>
        <v>#N/A</v>
      </c>
      <c r="G1597">
        <v>1547</v>
      </c>
      <c r="H1597" s="13" t="e">
        <f t="shared" si="200"/>
        <v>#N/A</v>
      </c>
      <c r="I1597" t="e">
        <f t="shared" si="201"/>
        <v>#N/A</v>
      </c>
      <c r="J1597" t="e">
        <f t="shared" si="196"/>
        <v>#N/A</v>
      </c>
      <c r="K1597" s="27" t="e">
        <f t="shared" si="197"/>
        <v>#N/A</v>
      </c>
    </row>
    <row r="1598" spans="1:11">
      <c r="A1598" s="26">
        <v>1548</v>
      </c>
      <c r="B1598" s="82" t="e">
        <f t="shared" si="198"/>
        <v>#N/A</v>
      </c>
      <c r="C1598" s="58" t="e">
        <f t="shared" si="194"/>
        <v>#N/A</v>
      </c>
      <c r="D1598" s="83" t="e">
        <f t="shared" si="199"/>
        <v>#N/A</v>
      </c>
      <c r="E1598" t="e">
        <f t="shared" si="195"/>
        <v>#N/A</v>
      </c>
      <c r="G1598">
        <v>1548</v>
      </c>
      <c r="H1598" s="13" t="e">
        <f t="shared" si="200"/>
        <v>#N/A</v>
      </c>
      <c r="I1598" t="e">
        <f t="shared" si="201"/>
        <v>#N/A</v>
      </c>
      <c r="J1598" t="e">
        <f t="shared" si="196"/>
        <v>#N/A</v>
      </c>
      <c r="K1598" s="27" t="e">
        <f t="shared" si="197"/>
        <v>#N/A</v>
      </c>
    </row>
    <row r="1599" spans="1:11">
      <c r="A1599" s="26">
        <v>1549</v>
      </c>
      <c r="B1599" s="82" t="e">
        <f t="shared" si="198"/>
        <v>#N/A</v>
      </c>
      <c r="C1599" s="58" t="e">
        <f t="shared" si="194"/>
        <v>#N/A</v>
      </c>
      <c r="D1599" s="83" t="e">
        <f t="shared" si="199"/>
        <v>#N/A</v>
      </c>
      <c r="E1599" t="e">
        <f t="shared" si="195"/>
        <v>#N/A</v>
      </c>
      <c r="G1599">
        <v>1549</v>
      </c>
      <c r="H1599" s="13" t="e">
        <f t="shared" si="200"/>
        <v>#N/A</v>
      </c>
      <c r="I1599" t="e">
        <f t="shared" si="201"/>
        <v>#N/A</v>
      </c>
      <c r="J1599" t="e">
        <f t="shared" si="196"/>
        <v>#N/A</v>
      </c>
      <c r="K1599" s="27" t="e">
        <f t="shared" si="197"/>
        <v>#N/A</v>
      </c>
    </row>
    <row r="1600" spans="1:11">
      <c r="A1600" s="26">
        <v>1550</v>
      </c>
      <c r="B1600" s="82" t="e">
        <f t="shared" si="198"/>
        <v>#N/A</v>
      </c>
      <c r="C1600" s="58" t="e">
        <f t="shared" si="194"/>
        <v>#N/A</v>
      </c>
      <c r="D1600" s="83" t="e">
        <f t="shared" si="199"/>
        <v>#N/A</v>
      </c>
      <c r="E1600" t="e">
        <f t="shared" si="195"/>
        <v>#N/A</v>
      </c>
      <c r="G1600">
        <v>1550</v>
      </c>
      <c r="H1600" s="13" t="e">
        <f t="shared" si="200"/>
        <v>#N/A</v>
      </c>
      <c r="I1600" t="e">
        <f t="shared" si="201"/>
        <v>#N/A</v>
      </c>
      <c r="J1600" t="e">
        <f t="shared" si="196"/>
        <v>#N/A</v>
      </c>
      <c r="K1600" s="27" t="e">
        <f t="shared" si="197"/>
        <v>#N/A</v>
      </c>
    </row>
    <row r="1601" spans="1:11">
      <c r="A1601" s="26">
        <v>1551</v>
      </c>
      <c r="B1601" s="82" t="e">
        <f t="shared" si="198"/>
        <v>#N/A</v>
      </c>
      <c r="C1601" s="58" t="e">
        <f t="shared" si="194"/>
        <v>#N/A</v>
      </c>
      <c r="D1601" s="83" t="e">
        <f t="shared" si="199"/>
        <v>#N/A</v>
      </c>
      <c r="E1601" t="e">
        <f t="shared" si="195"/>
        <v>#N/A</v>
      </c>
      <c r="G1601">
        <v>1551</v>
      </c>
      <c r="H1601" s="13" t="e">
        <f t="shared" si="200"/>
        <v>#N/A</v>
      </c>
      <c r="I1601" t="e">
        <f t="shared" si="201"/>
        <v>#N/A</v>
      </c>
      <c r="J1601" t="e">
        <f t="shared" si="196"/>
        <v>#N/A</v>
      </c>
      <c r="K1601" s="27" t="e">
        <f t="shared" si="197"/>
        <v>#N/A</v>
      </c>
    </row>
    <row r="1602" spans="1:11">
      <c r="A1602" s="26">
        <v>1552</v>
      </c>
      <c r="B1602" s="82" t="e">
        <f t="shared" si="198"/>
        <v>#N/A</v>
      </c>
      <c r="C1602" s="58" t="e">
        <f t="shared" si="194"/>
        <v>#N/A</v>
      </c>
      <c r="D1602" s="83" t="e">
        <f t="shared" si="199"/>
        <v>#N/A</v>
      </c>
      <c r="E1602" t="e">
        <f t="shared" si="195"/>
        <v>#N/A</v>
      </c>
      <c r="G1602">
        <v>1552</v>
      </c>
      <c r="H1602" s="13" t="e">
        <f t="shared" si="200"/>
        <v>#N/A</v>
      </c>
      <c r="I1602" t="e">
        <f t="shared" si="201"/>
        <v>#N/A</v>
      </c>
      <c r="J1602" t="e">
        <f t="shared" si="196"/>
        <v>#N/A</v>
      </c>
      <c r="K1602" s="27" t="e">
        <f t="shared" si="197"/>
        <v>#N/A</v>
      </c>
    </row>
    <row r="1603" spans="1:11">
      <c r="A1603" s="26">
        <v>1553</v>
      </c>
      <c r="B1603" s="82" t="e">
        <f t="shared" si="198"/>
        <v>#N/A</v>
      </c>
      <c r="C1603" s="58" t="e">
        <f t="shared" si="194"/>
        <v>#N/A</v>
      </c>
      <c r="D1603" s="83" t="e">
        <f t="shared" si="199"/>
        <v>#N/A</v>
      </c>
      <c r="E1603" t="e">
        <f t="shared" si="195"/>
        <v>#N/A</v>
      </c>
      <c r="G1603">
        <v>1553</v>
      </c>
      <c r="H1603" s="13" t="e">
        <f t="shared" si="200"/>
        <v>#N/A</v>
      </c>
      <c r="I1603" t="e">
        <f t="shared" si="201"/>
        <v>#N/A</v>
      </c>
      <c r="J1603" t="e">
        <f t="shared" si="196"/>
        <v>#N/A</v>
      </c>
      <c r="K1603" s="27" t="e">
        <f t="shared" si="197"/>
        <v>#N/A</v>
      </c>
    </row>
    <row r="1604" spans="1:11">
      <c r="A1604" s="26">
        <v>1554</v>
      </c>
      <c r="B1604" s="82" t="e">
        <f t="shared" si="198"/>
        <v>#N/A</v>
      </c>
      <c r="C1604" s="58" t="e">
        <f t="shared" si="194"/>
        <v>#N/A</v>
      </c>
      <c r="D1604" s="83" t="e">
        <f t="shared" si="199"/>
        <v>#N/A</v>
      </c>
      <c r="E1604" t="e">
        <f t="shared" si="195"/>
        <v>#N/A</v>
      </c>
      <c r="G1604">
        <v>1554</v>
      </c>
      <c r="H1604" s="13" t="e">
        <f t="shared" si="200"/>
        <v>#N/A</v>
      </c>
      <c r="I1604" t="e">
        <f t="shared" si="201"/>
        <v>#N/A</v>
      </c>
      <c r="J1604" t="e">
        <f t="shared" si="196"/>
        <v>#N/A</v>
      </c>
      <c r="K1604" s="27" t="e">
        <f t="shared" si="197"/>
        <v>#N/A</v>
      </c>
    </row>
    <row r="1605" spans="1:11">
      <c r="A1605" s="26">
        <v>1555</v>
      </c>
      <c r="B1605" s="82" t="e">
        <f t="shared" si="198"/>
        <v>#N/A</v>
      </c>
      <c r="C1605" s="58" t="e">
        <f t="shared" si="194"/>
        <v>#N/A</v>
      </c>
      <c r="D1605" s="83" t="e">
        <f t="shared" si="199"/>
        <v>#N/A</v>
      </c>
      <c r="E1605" t="e">
        <f t="shared" si="195"/>
        <v>#N/A</v>
      </c>
      <c r="G1605">
        <v>1555</v>
      </c>
      <c r="H1605" s="13" t="e">
        <f t="shared" si="200"/>
        <v>#N/A</v>
      </c>
      <c r="I1605" t="e">
        <f t="shared" si="201"/>
        <v>#N/A</v>
      </c>
      <c r="J1605" t="e">
        <f t="shared" si="196"/>
        <v>#N/A</v>
      </c>
      <c r="K1605" s="27" t="e">
        <f t="shared" si="197"/>
        <v>#N/A</v>
      </c>
    </row>
    <row r="1606" spans="1:11">
      <c r="A1606" s="26">
        <v>1556</v>
      </c>
      <c r="B1606" s="82" t="e">
        <f t="shared" si="198"/>
        <v>#N/A</v>
      </c>
      <c r="C1606" s="58" t="e">
        <f t="shared" si="194"/>
        <v>#N/A</v>
      </c>
      <c r="D1606" s="83" t="e">
        <f t="shared" si="199"/>
        <v>#N/A</v>
      </c>
      <c r="E1606" t="e">
        <f t="shared" si="195"/>
        <v>#N/A</v>
      </c>
      <c r="G1606">
        <v>1556</v>
      </c>
      <c r="H1606" s="13" t="e">
        <f t="shared" si="200"/>
        <v>#N/A</v>
      </c>
      <c r="I1606" t="e">
        <f t="shared" si="201"/>
        <v>#N/A</v>
      </c>
      <c r="J1606" t="e">
        <f t="shared" si="196"/>
        <v>#N/A</v>
      </c>
      <c r="K1606" s="27" t="e">
        <f t="shared" si="197"/>
        <v>#N/A</v>
      </c>
    </row>
    <row r="1607" spans="1:11">
      <c r="A1607" s="26">
        <v>1557</v>
      </c>
      <c r="B1607" s="82" t="e">
        <f t="shared" si="198"/>
        <v>#N/A</v>
      </c>
      <c r="C1607" s="58" t="e">
        <f t="shared" si="194"/>
        <v>#N/A</v>
      </c>
      <c r="D1607" s="83" t="e">
        <f t="shared" si="199"/>
        <v>#N/A</v>
      </c>
      <c r="E1607" t="e">
        <f t="shared" si="195"/>
        <v>#N/A</v>
      </c>
      <c r="G1607">
        <v>1557</v>
      </c>
      <c r="H1607" s="13" t="e">
        <f t="shared" si="200"/>
        <v>#N/A</v>
      </c>
      <c r="I1607" t="e">
        <f t="shared" si="201"/>
        <v>#N/A</v>
      </c>
      <c r="J1607" t="e">
        <f t="shared" si="196"/>
        <v>#N/A</v>
      </c>
      <c r="K1607" s="27" t="e">
        <f t="shared" si="197"/>
        <v>#N/A</v>
      </c>
    </row>
    <row r="1608" spans="1:11">
      <c r="A1608" s="26">
        <v>1558</v>
      </c>
      <c r="B1608" s="82" t="e">
        <f t="shared" si="198"/>
        <v>#N/A</v>
      </c>
      <c r="C1608" s="58" t="e">
        <f t="shared" si="194"/>
        <v>#N/A</v>
      </c>
      <c r="D1608" s="83" t="e">
        <f t="shared" si="199"/>
        <v>#N/A</v>
      </c>
      <c r="E1608" t="e">
        <f t="shared" si="195"/>
        <v>#N/A</v>
      </c>
      <c r="G1608">
        <v>1558</v>
      </c>
      <c r="H1608" s="13" t="e">
        <f t="shared" si="200"/>
        <v>#N/A</v>
      </c>
      <c r="I1608" t="e">
        <f t="shared" si="201"/>
        <v>#N/A</v>
      </c>
      <c r="J1608" t="e">
        <f t="shared" si="196"/>
        <v>#N/A</v>
      </c>
      <c r="K1608" s="27" t="e">
        <f t="shared" si="197"/>
        <v>#N/A</v>
      </c>
    </row>
    <row r="1609" spans="1:11">
      <c r="A1609" s="26">
        <v>1559</v>
      </c>
      <c r="B1609" s="82" t="e">
        <f t="shared" si="198"/>
        <v>#N/A</v>
      </c>
      <c r="C1609" s="58" t="e">
        <f t="shared" si="194"/>
        <v>#N/A</v>
      </c>
      <c r="D1609" s="83" t="e">
        <f t="shared" si="199"/>
        <v>#N/A</v>
      </c>
      <c r="E1609" t="e">
        <f t="shared" si="195"/>
        <v>#N/A</v>
      </c>
      <c r="G1609">
        <v>1559</v>
      </c>
      <c r="H1609" s="13" t="e">
        <f t="shared" si="200"/>
        <v>#N/A</v>
      </c>
      <c r="I1609" t="e">
        <f t="shared" si="201"/>
        <v>#N/A</v>
      </c>
      <c r="J1609" t="e">
        <f t="shared" si="196"/>
        <v>#N/A</v>
      </c>
      <c r="K1609" s="27" t="e">
        <f t="shared" si="197"/>
        <v>#N/A</v>
      </c>
    </row>
    <row r="1610" spans="1:11">
      <c r="A1610" s="26">
        <v>1560</v>
      </c>
      <c r="B1610" s="82" t="e">
        <f t="shared" si="198"/>
        <v>#N/A</v>
      </c>
      <c r="C1610" s="58" t="e">
        <f t="shared" si="194"/>
        <v>#N/A</v>
      </c>
      <c r="D1610" s="83" t="e">
        <f t="shared" si="199"/>
        <v>#N/A</v>
      </c>
      <c r="E1610" t="e">
        <f t="shared" si="195"/>
        <v>#N/A</v>
      </c>
      <c r="G1610">
        <v>1560</v>
      </c>
      <c r="H1610" s="13" t="e">
        <f t="shared" si="200"/>
        <v>#N/A</v>
      </c>
      <c r="I1610" t="e">
        <f t="shared" si="201"/>
        <v>#N/A</v>
      </c>
      <c r="J1610" t="e">
        <f t="shared" si="196"/>
        <v>#N/A</v>
      </c>
      <c r="K1610" s="27" t="e">
        <f t="shared" si="197"/>
        <v>#N/A</v>
      </c>
    </row>
    <row r="1611" spans="1:11">
      <c r="A1611" s="26">
        <v>1561</v>
      </c>
      <c r="B1611" s="82" t="e">
        <f t="shared" si="198"/>
        <v>#N/A</v>
      </c>
      <c r="C1611" s="58" t="e">
        <f t="shared" si="194"/>
        <v>#N/A</v>
      </c>
      <c r="D1611" s="83" t="e">
        <f t="shared" si="199"/>
        <v>#N/A</v>
      </c>
      <c r="E1611" t="e">
        <f t="shared" si="195"/>
        <v>#N/A</v>
      </c>
      <c r="G1611">
        <v>1561</v>
      </c>
      <c r="H1611" s="13" t="e">
        <f t="shared" si="200"/>
        <v>#N/A</v>
      </c>
      <c r="I1611" t="e">
        <f t="shared" si="201"/>
        <v>#N/A</v>
      </c>
      <c r="J1611" t="e">
        <f t="shared" si="196"/>
        <v>#N/A</v>
      </c>
      <c r="K1611" s="27" t="e">
        <f t="shared" si="197"/>
        <v>#N/A</v>
      </c>
    </row>
    <row r="1612" spans="1:11">
      <c r="A1612" s="26">
        <v>1562</v>
      </c>
      <c r="B1612" s="82" t="e">
        <f t="shared" si="198"/>
        <v>#N/A</v>
      </c>
      <c r="C1612" s="58" t="e">
        <f t="shared" si="194"/>
        <v>#N/A</v>
      </c>
      <c r="D1612" s="83" t="e">
        <f t="shared" si="199"/>
        <v>#N/A</v>
      </c>
      <c r="E1612" t="e">
        <f t="shared" si="195"/>
        <v>#N/A</v>
      </c>
      <c r="G1612">
        <v>1562</v>
      </c>
      <c r="H1612" s="13" t="e">
        <f t="shared" si="200"/>
        <v>#N/A</v>
      </c>
      <c r="I1612" t="e">
        <f t="shared" si="201"/>
        <v>#N/A</v>
      </c>
      <c r="J1612" t="e">
        <f t="shared" si="196"/>
        <v>#N/A</v>
      </c>
      <c r="K1612" s="27" t="e">
        <f t="shared" si="197"/>
        <v>#N/A</v>
      </c>
    </row>
    <row r="1613" spans="1:11">
      <c r="A1613" s="26">
        <v>1563</v>
      </c>
      <c r="B1613" s="82" t="e">
        <f t="shared" si="198"/>
        <v>#N/A</v>
      </c>
      <c r="C1613" s="58" t="e">
        <f t="shared" si="194"/>
        <v>#N/A</v>
      </c>
      <c r="D1613" s="83" t="e">
        <f t="shared" si="199"/>
        <v>#N/A</v>
      </c>
      <c r="E1613" t="e">
        <f t="shared" si="195"/>
        <v>#N/A</v>
      </c>
      <c r="G1613">
        <v>1563</v>
      </c>
      <c r="H1613" s="13" t="e">
        <f t="shared" si="200"/>
        <v>#N/A</v>
      </c>
      <c r="I1613" t="e">
        <f t="shared" si="201"/>
        <v>#N/A</v>
      </c>
      <c r="J1613" t="e">
        <f t="shared" si="196"/>
        <v>#N/A</v>
      </c>
      <c r="K1613" s="27" t="e">
        <f t="shared" si="197"/>
        <v>#N/A</v>
      </c>
    </row>
    <row r="1614" spans="1:11">
      <c r="A1614" s="26">
        <v>1564</v>
      </c>
      <c r="B1614" s="82" t="e">
        <f t="shared" si="198"/>
        <v>#N/A</v>
      </c>
      <c r="C1614" s="58" t="e">
        <f t="shared" si="194"/>
        <v>#N/A</v>
      </c>
      <c r="D1614" s="83" t="e">
        <f t="shared" si="199"/>
        <v>#N/A</v>
      </c>
      <c r="E1614" t="e">
        <f t="shared" si="195"/>
        <v>#N/A</v>
      </c>
      <c r="G1614">
        <v>1564</v>
      </c>
      <c r="H1614" s="13" t="e">
        <f t="shared" si="200"/>
        <v>#N/A</v>
      </c>
      <c r="I1614" t="e">
        <f t="shared" si="201"/>
        <v>#N/A</v>
      </c>
      <c r="J1614" t="e">
        <f t="shared" si="196"/>
        <v>#N/A</v>
      </c>
      <c r="K1614" s="27" t="e">
        <f t="shared" si="197"/>
        <v>#N/A</v>
      </c>
    </row>
    <row r="1615" spans="1:11">
      <c r="A1615" s="26">
        <v>1565</v>
      </c>
      <c r="B1615" s="82" t="e">
        <f t="shared" si="198"/>
        <v>#N/A</v>
      </c>
      <c r="C1615" s="58" t="e">
        <f t="shared" si="194"/>
        <v>#N/A</v>
      </c>
      <c r="D1615" s="83" t="e">
        <f t="shared" si="199"/>
        <v>#N/A</v>
      </c>
      <c r="E1615" t="e">
        <f t="shared" si="195"/>
        <v>#N/A</v>
      </c>
      <c r="G1615">
        <v>1565</v>
      </c>
      <c r="H1615" s="13" t="e">
        <f t="shared" si="200"/>
        <v>#N/A</v>
      </c>
      <c r="I1615" t="e">
        <f t="shared" si="201"/>
        <v>#N/A</v>
      </c>
      <c r="J1615" t="e">
        <f t="shared" si="196"/>
        <v>#N/A</v>
      </c>
      <c r="K1615" s="27" t="e">
        <f t="shared" si="197"/>
        <v>#N/A</v>
      </c>
    </row>
    <row r="1616" spans="1:11">
      <c r="A1616" s="26">
        <v>1566</v>
      </c>
      <c r="B1616" s="82" t="e">
        <f t="shared" si="198"/>
        <v>#N/A</v>
      </c>
      <c r="C1616" s="58" t="e">
        <f t="shared" ref="C1616:C1679" si="202">($C$37-$C$36)/2000+C1615</f>
        <v>#N/A</v>
      </c>
      <c r="D1616" s="83" t="e">
        <f t="shared" si="199"/>
        <v>#N/A</v>
      </c>
      <c r="E1616" t="e">
        <f t="shared" si="195"/>
        <v>#N/A</v>
      </c>
      <c r="G1616">
        <v>1566</v>
      </c>
      <c r="H1616" s="13" t="e">
        <f t="shared" si="200"/>
        <v>#N/A</v>
      </c>
      <c r="I1616" t="e">
        <f t="shared" si="201"/>
        <v>#N/A</v>
      </c>
      <c r="J1616" t="e">
        <f t="shared" si="196"/>
        <v>#N/A</v>
      </c>
      <c r="K1616" s="27" t="e">
        <f t="shared" si="197"/>
        <v>#N/A</v>
      </c>
    </row>
    <row r="1617" spans="1:11">
      <c r="A1617" s="26">
        <v>1567</v>
      </c>
      <c r="B1617" s="82" t="e">
        <f t="shared" si="198"/>
        <v>#N/A</v>
      </c>
      <c r="C1617" s="58" t="e">
        <f t="shared" si="202"/>
        <v>#N/A</v>
      </c>
      <c r="D1617" s="83" t="e">
        <f t="shared" si="199"/>
        <v>#N/A</v>
      </c>
      <c r="E1617" t="e">
        <f t="shared" si="195"/>
        <v>#N/A</v>
      </c>
      <c r="G1617">
        <v>1567</v>
      </c>
      <c r="H1617" s="13" t="e">
        <f t="shared" si="200"/>
        <v>#N/A</v>
      </c>
      <c r="I1617" t="e">
        <f t="shared" si="201"/>
        <v>#N/A</v>
      </c>
      <c r="J1617" t="e">
        <f t="shared" si="196"/>
        <v>#N/A</v>
      </c>
      <c r="K1617" s="27" t="e">
        <f t="shared" si="197"/>
        <v>#N/A</v>
      </c>
    </row>
    <row r="1618" spans="1:11">
      <c r="A1618" s="26">
        <v>1568</v>
      </c>
      <c r="B1618" s="82" t="e">
        <f t="shared" si="198"/>
        <v>#N/A</v>
      </c>
      <c r="C1618" s="58" t="e">
        <f t="shared" si="202"/>
        <v>#N/A</v>
      </c>
      <c r="D1618" s="83" t="e">
        <f t="shared" si="199"/>
        <v>#N/A</v>
      </c>
      <c r="E1618" t="e">
        <f t="shared" si="195"/>
        <v>#N/A</v>
      </c>
      <c r="G1618">
        <v>1568</v>
      </c>
      <c r="H1618" s="13" t="e">
        <f t="shared" si="200"/>
        <v>#N/A</v>
      </c>
      <c r="I1618" t="e">
        <f t="shared" si="201"/>
        <v>#N/A</v>
      </c>
      <c r="J1618" t="e">
        <f t="shared" si="196"/>
        <v>#N/A</v>
      </c>
      <c r="K1618" s="27" t="e">
        <f t="shared" si="197"/>
        <v>#N/A</v>
      </c>
    </row>
    <row r="1619" spans="1:11">
      <c r="A1619" s="26">
        <v>1569</v>
      </c>
      <c r="B1619" s="82" t="e">
        <f t="shared" si="198"/>
        <v>#N/A</v>
      </c>
      <c r="C1619" s="58" t="e">
        <f t="shared" si="202"/>
        <v>#N/A</v>
      </c>
      <c r="D1619" s="83" t="e">
        <f t="shared" si="199"/>
        <v>#N/A</v>
      </c>
      <c r="E1619" t="e">
        <f t="shared" si="195"/>
        <v>#N/A</v>
      </c>
      <c r="G1619">
        <v>1569</v>
      </c>
      <c r="H1619" s="13" t="e">
        <f t="shared" si="200"/>
        <v>#N/A</v>
      </c>
      <c r="I1619" t="e">
        <f t="shared" si="201"/>
        <v>#N/A</v>
      </c>
      <c r="J1619" t="e">
        <f t="shared" si="196"/>
        <v>#N/A</v>
      </c>
      <c r="K1619" s="27" t="e">
        <f t="shared" si="197"/>
        <v>#N/A</v>
      </c>
    </row>
    <row r="1620" spans="1:11">
      <c r="A1620" s="26">
        <v>1570</v>
      </c>
      <c r="B1620" s="82" t="e">
        <f t="shared" si="198"/>
        <v>#N/A</v>
      </c>
      <c r="C1620" s="58" t="e">
        <f t="shared" si="202"/>
        <v>#N/A</v>
      </c>
      <c r="D1620" s="83" t="e">
        <f t="shared" si="199"/>
        <v>#N/A</v>
      </c>
      <c r="E1620" t="e">
        <f t="shared" si="195"/>
        <v>#N/A</v>
      </c>
      <c r="G1620">
        <v>1570</v>
      </c>
      <c r="H1620" s="13" t="e">
        <f t="shared" si="200"/>
        <v>#N/A</v>
      </c>
      <c r="I1620" t="e">
        <f t="shared" si="201"/>
        <v>#N/A</v>
      </c>
      <c r="J1620" t="e">
        <f t="shared" si="196"/>
        <v>#N/A</v>
      </c>
      <c r="K1620" s="27" t="e">
        <f t="shared" si="197"/>
        <v>#N/A</v>
      </c>
    </row>
    <row r="1621" spans="1:11">
      <c r="A1621" s="26">
        <v>1571</v>
      </c>
      <c r="B1621" s="82" t="e">
        <f t="shared" si="198"/>
        <v>#N/A</v>
      </c>
      <c r="C1621" s="58" t="e">
        <f t="shared" si="202"/>
        <v>#N/A</v>
      </c>
      <c r="D1621" s="83" t="e">
        <f t="shared" si="199"/>
        <v>#N/A</v>
      </c>
      <c r="E1621" t="e">
        <f t="shared" si="195"/>
        <v>#N/A</v>
      </c>
      <c r="G1621">
        <v>1571</v>
      </c>
      <c r="H1621" s="13" t="e">
        <f t="shared" si="200"/>
        <v>#N/A</v>
      </c>
      <c r="I1621" t="e">
        <f t="shared" si="201"/>
        <v>#N/A</v>
      </c>
      <c r="J1621" t="e">
        <f t="shared" si="196"/>
        <v>#N/A</v>
      </c>
      <c r="K1621" s="27" t="e">
        <f t="shared" si="197"/>
        <v>#N/A</v>
      </c>
    </row>
    <row r="1622" spans="1:11">
      <c r="A1622" s="26">
        <v>1572</v>
      </c>
      <c r="B1622" s="82" t="e">
        <f t="shared" si="198"/>
        <v>#N/A</v>
      </c>
      <c r="C1622" s="58" t="e">
        <f t="shared" si="202"/>
        <v>#N/A</v>
      </c>
      <c r="D1622" s="83" t="e">
        <f t="shared" si="199"/>
        <v>#N/A</v>
      </c>
      <c r="E1622" t="e">
        <f t="shared" si="195"/>
        <v>#N/A</v>
      </c>
      <c r="G1622">
        <v>1572</v>
      </c>
      <c r="H1622" s="13" t="e">
        <f t="shared" si="200"/>
        <v>#N/A</v>
      </c>
      <c r="I1622" t="e">
        <f t="shared" si="201"/>
        <v>#N/A</v>
      </c>
      <c r="J1622" t="e">
        <f t="shared" si="196"/>
        <v>#N/A</v>
      </c>
      <c r="K1622" s="27" t="e">
        <f t="shared" si="197"/>
        <v>#N/A</v>
      </c>
    </row>
    <row r="1623" spans="1:11">
      <c r="A1623" s="26">
        <v>1573</v>
      </c>
      <c r="B1623" s="82" t="e">
        <f t="shared" si="198"/>
        <v>#N/A</v>
      </c>
      <c r="C1623" s="58" t="e">
        <f t="shared" si="202"/>
        <v>#N/A</v>
      </c>
      <c r="D1623" s="83" t="e">
        <f t="shared" si="199"/>
        <v>#N/A</v>
      </c>
      <c r="E1623" t="e">
        <f t="shared" si="195"/>
        <v>#N/A</v>
      </c>
      <c r="G1623">
        <v>1573</v>
      </c>
      <c r="H1623" s="13" t="e">
        <f t="shared" si="200"/>
        <v>#N/A</v>
      </c>
      <c r="I1623" t="e">
        <f t="shared" si="201"/>
        <v>#N/A</v>
      </c>
      <c r="J1623" t="e">
        <f t="shared" si="196"/>
        <v>#N/A</v>
      </c>
      <c r="K1623" s="27" t="e">
        <f t="shared" si="197"/>
        <v>#N/A</v>
      </c>
    </row>
    <row r="1624" spans="1:11">
      <c r="A1624" s="26">
        <v>1574</v>
      </c>
      <c r="B1624" s="82" t="e">
        <f t="shared" si="198"/>
        <v>#N/A</v>
      </c>
      <c r="C1624" s="58" t="e">
        <f t="shared" si="202"/>
        <v>#N/A</v>
      </c>
      <c r="D1624" s="83" t="e">
        <f t="shared" si="199"/>
        <v>#N/A</v>
      </c>
      <c r="E1624" t="e">
        <f t="shared" si="195"/>
        <v>#N/A</v>
      </c>
      <c r="G1624">
        <v>1574</v>
      </c>
      <c r="H1624" s="13" t="e">
        <f t="shared" si="200"/>
        <v>#N/A</v>
      </c>
      <c r="I1624" t="e">
        <f t="shared" si="201"/>
        <v>#N/A</v>
      </c>
      <c r="J1624" t="e">
        <f t="shared" si="196"/>
        <v>#N/A</v>
      </c>
      <c r="K1624" s="27" t="e">
        <f t="shared" si="197"/>
        <v>#N/A</v>
      </c>
    </row>
    <row r="1625" spans="1:11">
      <c r="A1625" s="26">
        <v>1575</v>
      </c>
      <c r="B1625" s="82" t="e">
        <f t="shared" si="198"/>
        <v>#N/A</v>
      </c>
      <c r="C1625" s="58" t="e">
        <f t="shared" si="202"/>
        <v>#N/A</v>
      </c>
      <c r="D1625" s="83" t="e">
        <f t="shared" si="199"/>
        <v>#N/A</v>
      </c>
      <c r="E1625" t="e">
        <f t="shared" si="195"/>
        <v>#N/A</v>
      </c>
      <c r="G1625">
        <v>1575</v>
      </c>
      <c r="H1625" s="13" t="e">
        <f t="shared" si="200"/>
        <v>#N/A</v>
      </c>
      <c r="I1625" t="e">
        <f t="shared" si="201"/>
        <v>#N/A</v>
      </c>
      <c r="J1625" t="e">
        <f t="shared" si="196"/>
        <v>#N/A</v>
      </c>
      <c r="K1625" s="27" t="e">
        <f t="shared" si="197"/>
        <v>#N/A</v>
      </c>
    </row>
    <row r="1626" spans="1:11">
      <c r="A1626" s="26">
        <v>1576</v>
      </c>
      <c r="B1626" s="82" t="e">
        <f t="shared" si="198"/>
        <v>#N/A</v>
      </c>
      <c r="C1626" s="58" t="e">
        <f t="shared" si="202"/>
        <v>#N/A</v>
      </c>
      <c r="D1626" s="83" t="e">
        <f t="shared" si="199"/>
        <v>#N/A</v>
      </c>
      <c r="E1626" t="e">
        <f t="shared" si="195"/>
        <v>#N/A</v>
      </c>
      <c r="G1626">
        <v>1576</v>
      </c>
      <c r="H1626" s="13" t="e">
        <f t="shared" si="200"/>
        <v>#N/A</v>
      </c>
      <c r="I1626" t="e">
        <f t="shared" si="201"/>
        <v>#N/A</v>
      </c>
      <c r="J1626" t="e">
        <f t="shared" si="196"/>
        <v>#N/A</v>
      </c>
      <c r="K1626" s="27" t="e">
        <f t="shared" si="197"/>
        <v>#N/A</v>
      </c>
    </row>
    <row r="1627" spans="1:11">
      <c r="A1627" s="26">
        <v>1577</v>
      </c>
      <c r="B1627" s="82" t="e">
        <f t="shared" si="198"/>
        <v>#N/A</v>
      </c>
      <c r="C1627" s="58" t="e">
        <f t="shared" si="202"/>
        <v>#N/A</v>
      </c>
      <c r="D1627" s="83" t="e">
        <f t="shared" si="199"/>
        <v>#N/A</v>
      </c>
      <c r="E1627" t="e">
        <f t="shared" si="195"/>
        <v>#N/A</v>
      </c>
      <c r="G1627">
        <v>1577</v>
      </c>
      <c r="H1627" s="13" t="e">
        <f t="shared" si="200"/>
        <v>#N/A</v>
      </c>
      <c r="I1627" t="e">
        <f t="shared" si="201"/>
        <v>#N/A</v>
      </c>
      <c r="J1627" t="e">
        <f t="shared" si="196"/>
        <v>#N/A</v>
      </c>
      <c r="K1627" s="27" t="e">
        <f t="shared" si="197"/>
        <v>#N/A</v>
      </c>
    </row>
    <row r="1628" spans="1:11">
      <c r="A1628" s="26">
        <v>1578</v>
      </c>
      <c r="B1628" s="82" t="e">
        <f t="shared" si="198"/>
        <v>#N/A</v>
      </c>
      <c r="C1628" s="58" t="e">
        <f t="shared" si="202"/>
        <v>#N/A</v>
      </c>
      <c r="D1628" s="83" t="e">
        <f t="shared" si="199"/>
        <v>#N/A</v>
      </c>
      <c r="E1628" t="e">
        <f t="shared" si="195"/>
        <v>#N/A</v>
      </c>
      <c r="G1628">
        <v>1578</v>
      </c>
      <c r="H1628" s="13" t="e">
        <f t="shared" si="200"/>
        <v>#N/A</v>
      </c>
      <c r="I1628" t="e">
        <f t="shared" si="201"/>
        <v>#N/A</v>
      </c>
      <c r="J1628" t="e">
        <f t="shared" si="196"/>
        <v>#N/A</v>
      </c>
      <c r="K1628" s="27" t="e">
        <f t="shared" si="197"/>
        <v>#N/A</v>
      </c>
    </row>
    <row r="1629" spans="1:11">
      <c r="A1629" s="26">
        <v>1579</v>
      </c>
      <c r="B1629" s="82" t="e">
        <f t="shared" si="198"/>
        <v>#N/A</v>
      </c>
      <c r="C1629" s="58" t="e">
        <f t="shared" si="202"/>
        <v>#N/A</v>
      </c>
      <c r="D1629" s="83" t="e">
        <f t="shared" si="199"/>
        <v>#N/A</v>
      </c>
      <c r="E1629" t="e">
        <f t="shared" si="195"/>
        <v>#N/A</v>
      </c>
      <c r="G1629">
        <v>1579</v>
      </c>
      <c r="H1629" s="13" t="e">
        <f t="shared" si="200"/>
        <v>#N/A</v>
      </c>
      <c r="I1629" t="e">
        <f t="shared" si="201"/>
        <v>#N/A</v>
      </c>
      <c r="J1629" t="e">
        <f t="shared" si="196"/>
        <v>#N/A</v>
      </c>
      <c r="K1629" s="27" t="e">
        <f t="shared" si="197"/>
        <v>#N/A</v>
      </c>
    </row>
    <row r="1630" spans="1:11">
      <c r="A1630" s="26">
        <v>1580</v>
      </c>
      <c r="B1630" s="82" t="e">
        <f t="shared" si="198"/>
        <v>#N/A</v>
      </c>
      <c r="C1630" s="58" t="e">
        <f t="shared" si="202"/>
        <v>#N/A</v>
      </c>
      <c r="D1630" s="83" t="e">
        <f t="shared" si="199"/>
        <v>#N/A</v>
      </c>
      <c r="E1630" t="e">
        <f t="shared" si="195"/>
        <v>#N/A</v>
      </c>
      <c r="G1630">
        <v>1580</v>
      </c>
      <c r="H1630" s="13" t="e">
        <f t="shared" si="200"/>
        <v>#N/A</v>
      </c>
      <c r="I1630" t="e">
        <f t="shared" si="201"/>
        <v>#N/A</v>
      </c>
      <c r="J1630" t="e">
        <f t="shared" si="196"/>
        <v>#N/A</v>
      </c>
      <c r="K1630" s="27" t="e">
        <f t="shared" si="197"/>
        <v>#N/A</v>
      </c>
    </row>
    <row r="1631" spans="1:11">
      <c r="A1631" s="26">
        <v>1581</v>
      </c>
      <c r="B1631" s="82" t="e">
        <f t="shared" si="198"/>
        <v>#N/A</v>
      </c>
      <c r="C1631" s="58" t="e">
        <f t="shared" si="202"/>
        <v>#N/A</v>
      </c>
      <c r="D1631" s="83" t="e">
        <f t="shared" si="199"/>
        <v>#N/A</v>
      </c>
      <c r="E1631" t="e">
        <f t="shared" si="195"/>
        <v>#N/A</v>
      </c>
      <c r="G1631">
        <v>1581</v>
      </c>
      <c r="H1631" s="13" t="e">
        <f t="shared" si="200"/>
        <v>#N/A</v>
      </c>
      <c r="I1631" t="e">
        <f t="shared" si="201"/>
        <v>#N/A</v>
      </c>
      <c r="J1631" t="e">
        <f t="shared" si="196"/>
        <v>#N/A</v>
      </c>
      <c r="K1631" s="27" t="e">
        <f t="shared" si="197"/>
        <v>#N/A</v>
      </c>
    </row>
    <row r="1632" spans="1:11">
      <c r="A1632" s="26">
        <v>1582</v>
      </c>
      <c r="B1632" s="82" t="e">
        <f t="shared" si="198"/>
        <v>#N/A</v>
      </c>
      <c r="C1632" s="58" t="e">
        <f t="shared" si="202"/>
        <v>#N/A</v>
      </c>
      <c r="D1632" s="83" t="e">
        <f t="shared" si="199"/>
        <v>#N/A</v>
      </c>
      <c r="E1632" t="e">
        <f t="shared" si="195"/>
        <v>#N/A</v>
      </c>
      <c r="G1632">
        <v>1582</v>
      </c>
      <c r="H1632" s="13" t="e">
        <f t="shared" si="200"/>
        <v>#N/A</v>
      </c>
      <c r="I1632" t="e">
        <f t="shared" si="201"/>
        <v>#N/A</v>
      </c>
      <c r="J1632" t="e">
        <f t="shared" si="196"/>
        <v>#N/A</v>
      </c>
      <c r="K1632" s="27" t="e">
        <f t="shared" si="197"/>
        <v>#N/A</v>
      </c>
    </row>
    <row r="1633" spans="1:11">
      <c r="A1633" s="26">
        <v>1583</v>
      </c>
      <c r="B1633" s="82" t="e">
        <f t="shared" si="198"/>
        <v>#N/A</v>
      </c>
      <c r="C1633" s="58" t="e">
        <f t="shared" si="202"/>
        <v>#N/A</v>
      </c>
      <c r="D1633" s="83" t="e">
        <f t="shared" si="199"/>
        <v>#N/A</v>
      </c>
      <c r="E1633" t="e">
        <f t="shared" si="195"/>
        <v>#N/A</v>
      </c>
      <c r="G1633">
        <v>1583</v>
      </c>
      <c r="H1633" s="13" t="e">
        <f t="shared" si="200"/>
        <v>#N/A</v>
      </c>
      <c r="I1633" t="e">
        <f t="shared" si="201"/>
        <v>#N/A</v>
      </c>
      <c r="J1633" t="e">
        <f t="shared" si="196"/>
        <v>#N/A</v>
      </c>
      <c r="K1633" s="27" t="e">
        <f t="shared" si="197"/>
        <v>#N/A</v>
      </c>
    </row>
    <row r="1634" spans="1:11">
      <c r="A1634" s="26">
        <v>1584</v>
      </c>
      <c r="B1634" s="82" t="e">
        <f t="shared" si="198"/>
        <v>#N/A</v>
      </c>
      <c r="C1634" s="58" t="e">
        <f t="shared" si="202"/>
        <v>#N/A</v>
      </c>
      <c r="D1634" s="83" t="e">
        <f t="shared" si="199"/>
        <v>#N/A</v>
      </c>
      <c r="E1634" t="e">
        <f t="shared" si="195"/>
        <v>#N/A</v>
      </c>
      <c r="G1634">
        <v>1584</v>
      </c>
      <c r="H1634" s="13" t="e">
        <f t="shared" si="200"/>
        <v>#N/A</v>
      </c>
      <c r="I1634" t="e">
        <f t="shared" si="201"/>
        <v>#N/A</v>
      </c>
      <c r="J1634" t="e">
        <f t="shared" si="196"/>
        <v>#N/A</v>
      </c>
      <c r="K1634" s="27" t="e">
        <f t="shared" si="197"/>
        <v>#N/A</v>
      </c>
    </row>
    <row r="1635" spans="1:11">
      <c r="A1635" s="26">
        <v>1585</v>
      </c>
      <c r="B1635" s="82" t="e">
        <f t="shared" si="198"/>
        <v>#N/A</v>
      </c>
      <c r="C1635" s="58" t="e">
        <f t="shared" si="202"/>
        <v>#N/A</v>
      </c>
      <c r="D1635" s="83" t="e">
        <f t="shared" si="199"/>
        <v>#N/A</v>
      </c>
      <c r="E1635" t="e">
        <f t="shared" si="195"/>
        <v>#N/A</v>
      </c>
      <c r="G1635">
        <v>1585</v>
      </c>
      <c r="H1635" s="13" t="e">
        <f t="shared" si="200"/>
        <v>#N/A</v>
      </c>
      <c r="I1635" t="e">
        <f t="shared" si="201"/>
        <v>#N/A</v>
      </c>
      <c r="J1635" t="e">
        <f t="shared" si="196"/>
        <v>#N/A</v>
      </c>
      <c r="K1635" s="27" t="e">
        <f t="shared" si="197"/>
        <v>#N/A</v>
      </c>
    </row>
    <row r="1636" spans="1:11">
      <c r="A1636" s="26">
        <v>1586</v>
      </c>
      <c r="B1636" s="82" t="e">
        <f t="shared" si="198"/>
        <v>#N/A</v>
      </c>
      <c r="C1636" s="58" t="e">
        <f t="shared" si="202"/>
        <v>#N/A</v>
      </c>
      <c r="D1636" s="83" t="e">
        <f t="shared" si="199"/>
        <v>#N/A</v>
      </c>
      <c r="E1636" t="e">
        <f t="shared" si="195"/>
        <v>#N/A</v>
      </c>
      <c r="G1636">
        <v>1586</v>
      </c>
      <c r="H1636" s="13" t="e">
        <f t="shared" si="200"/>
        <v>#N/A</v>
      </c>
      <c r="I1636" t="e">
        <f t="shared" si="201"/>
        <v>#N/A</v>
      </c>
      <c r="J1636" t="e">
        <f t="shared" si="196"/>
        <v>#N/A</v>
      </c>
      <c r="K1636" s="27" t="e">
        <f t="shared" si="197"/>
        <v>#N/A</v>
      </c>
    </row>
    <row r="1637" spans="1:11">
      <c r="A1637" s="26">
        <v>1587</v>
      </c>
      <c r="B1637" s="82" t="e">
        <f t="shared" si="198"/>
        <v>#N/A</v>
      </c>
      <c r="C1637" s="58" t="e">
        <f t="shared" si="202"/>
        <v>#N/A</v>
      </c>
      <c r="D1637" s="83" t="e">
        <f t="shared" si="199"/>
        <v>#N/A</v>
      </c>
      <c r="E1637" t="e">
        <f t="shared" si="195"/>
        <v>#N/A</v>
      </c>
      <c r="G1637">
        <v>1587</v>
      </c>
      <c r="H1637" s="13" t="e">
        <f t="shared" si="200"/>
        <v>#N/A</v>
      </c>
      <c r="I1637" t="e">
        <f t="shared" si="201"/>
        <v>#N/A</v>
      </c>
      <c r="J1637" t="e">
        <f t="shared" si="196"/>
        <v>#N/A</v>
      </c>
      <c r="K1637" s="27" t="e">
        <f t="shared" si="197"/>
        <v>#N/A</v>
      </c>
    </row>
    <row r="1638" spans="1:11">
      <c r="A1638" s="26">
        <v>1588</v>
      </c>
      <c r="B1638" s="82" t="e">
        <f t="shared" si="198"/>
        <v>#N/A</v>
      </c>
      <c r="C1638" s="58" t="e">
        <f t="shared" si="202"/>
        <v>#N/A</v>
      </c>
      <c r="D1638" s="83" t="e">
        <f t="shared" si="199"/>
        <v>#N/A</v>
      </c>
      <c r="E1638" t="e">
        <f t="shared" si="195"/>
        <v>#N/A</v>
      </c>
      <c r="G1638">
        <v>1588</v>
      </c>
      <c r="H1638" s="13" t="e">
        <f t="shared" si="200"/>
        <v>#N/A</v>
      </c>
      <c r="I1638" t="e">
        <f t="shared" si="201"/>
        <v>#N/A</v>
      </c>
      <c r="J1638" t="e">
        <f t="shared" si="196"/>
        <v>#N/A</v>
      </c>
      <c r="K1638" s="27" t="e">
        <f t="shared" si="197"/>
        <v>#N/A</v>
      </c>
    </row>
    <row r="1639" spans="1:11">
      <c r="A1639" s="26">
        <v>1589</v>
      </c>
      <c r="B1639" s="82" t="e">
        <f t="shared" si="198"/>
        <v>#N/A</v>
      </c>
      <c r="C1639" s="58" t="e">
        <f t="shared" si="202"/>
        <v>#N/A</v>
      </c>
      <c r="D1639" s="83" t="e">
        <f t="shared" si="199"/>
        <v>#N/A</v>
      </c>
      <c r="E1639" t="e">
        <f t="shared" si="195"/>
        <v>#N/A</v>
      </c>
      <c r="G1639">
        <v>1589</v>
      </c>
      <c r="H1639" s="13" t="e">
        <f t="shared" si="200"/>
        <v>#N/A</v>
      </c>
      <c r="I1639" t="e">
        <f t="shared" si="201"/>
        <v>#N/A</v>
      </c>
      <c r="J1639" t="e">
        <f t="shared" si="196"/>
        <v>#N/A</v>
      </c>
      <c r="K1639" s="27" t="e">
        <f t="shared" si="197"/>
        <v>#N/A</v>
      </c>
    </row>
    <row r="1640" spans="1:11">
      <c r="A1640" s="26">
        <v>1590</v>
      </c>
      <c r="B1640" s="82" t="e">
        <f t="shared" si="198"/>
        <v>#N/A</v>
      </c>
      <c r="C1640" s="58" t="e">
        <f t="shared" si="202"/>
        <v>#N/A</v>
      </c>
      <c r="D1640" s="83" t="e">
        <f t="shared" si="199"/>
        <v>#N/A</v>
      </c>
      <c r="E1640" t="e">
        <f t="shared" si="195"/>
        <v>#N/A</v>
      </c>
      <c r="G1640">
        <v>1590</v>
      </c>
      <c r="H1640" s="13" t="e">
        <f t="shared" si="200"/>
        <v>#N/A</v>
      </c>
      <c r="I1640" t="e">
        <f t="shared" si="201"/>
        <v>#N/A</v>
      </c>
      <c r="J1640" t="e">
        <f t="shared" si="196"/>
        <v>#N/A</v>
      </c>
      <c r="K1640" s="27" t="e">
        <f t="shared" si="197"/>
        <v>#N/A</v>
      </c>
    </row>
    <row r="1641" spans="1:11">
      <c r="A1641" s="26">
        <v>1591</v>
      </c>
      <c r="B1641" s="82" t="e">
        <f t="shared" si="198"/>
        <v>#N/A</v>
      </c>
      <c r="C1641" s="58" t="e">
        <f t="shared" si="202"/>
        <v>#N/A</v>
      </c>
      <c r="D1641" s="83" t="e">
        <f t="shared" si="199"/>
        <v>#N/A</v>
      </c>
      <c r="E1641" t="e">
        <f t="shared" si="195"/>
        <v>#N/A</v>
      </c>
      <c r="G1641">
        <v>1591</v>
      </c>
      <c r="H1641" s="13" t="e">
        <f t="shared" si="200"/>
        <v>#N/A</v>
      </c>
      <c r="I1641" t="e">
        <f t="shared" si="201"/>
        <v>#N/A</v>
      </c>
      <c r="J1641" t="e">
        <f t="shared" si="196"/>
        <v>#N/A</v>
      </c>
      <c r="K1641" s="27" t="e">
        <f t="shared" si="197"/>
        <v>#N/A</v>
      </c>
    </row>
    <row r="1642" spans="1:11">
      <c r="A1642" s="26">
        <v>1592</v>
      </c>
      <c r="B1642" s="82" t="e">
        <f t="shared" si="198"/>
        <v>#N/A</v>
      </c>
      <c r="C1642" s="58" t="e">
        <f t="shared" si="202"/>
        <v>#N/A</v>
      </c>
      <c r="D1642" s="83" t="e">
        <f t="shared" si="199"/>
        <v>#N/A</v>
      </c>
      <c r="E1642" t="e">
        <f t="shared" si="195"/>
        <v>#N/A</v>
      </c>
      <c r="G1642">
        <v>1592</v>
      </c>
      <c r="H1642" s="13" t="e">
        <f t="shared" si="200"/>
        <v>#N/A</v>
      </c>
      <c r="I1642" t="e">
        <f t="shared" si="201"/>
        <v>#N/A</v>
      </c>
      <c r="J1642" t="e">
        <f t="shared" si="196"/>
        <v>#N/A</v>
      </c>
      <c r="K1642" s="27" t="e">
        <f t="shared" si="197"/>
        <v>#N/A</v>
      </c>
    </row>
    <row r="1643" spans="1:11">
      <c r="A1643" s="26">
        <v>1593</v>
      </c>
      <c r="B1643" s="82" t="e">
        <f t="shared" si="198"/>
        <v>#N/A</v>
      </c>
      <c r="C1643" s="58" t="e">
        <f t="shared" si="202"/>
        <v>#N/A</v>
      </c>
      <c r="D1643" s="83" t="e">
        <f t="shared" si="199"/>
        <v>#N/A</v>
      </c>
      <c r="E1643" t="e">
        <f t="shared" si="195"/>
        <v>#N/A</v>
      </c>
      <c r="G1643">
        <v>1593</v>
      </c>
      <c r="H1643" s="13" t="e">
        <f t="shared" si="200"/>
        <v>#N/A</v>
      </c>
      <c r="I1643" t="e">
        <f t="shared" si="201"/>
        <v>#N/A</v>
      </c>
      <c r="J1643" t="e">
        <f t="shared" si="196"/>
        <v>#N/A</v>
      </c>
      <c r="K1643" s="27" t="e">
        <f t="shared" si="197"/>
        <v>#N/A</v>
      </c>
    </row>
    <row r="1644" spans="1:11">
      <c r="A1644" s="26">
        <v>1594</v>
      </c>
      <c r="B1644" s="82" t="e">
        <f t="shared" si="198"/>
        <v>#N/A</v>
      </c>
      <c r="C1644" s="58" t="e">
        <f t="shared" si="202"/>
        <v>#N/A</v>
      </c>
      <c r="D1644" s="83" t="e">
        <f t="shared" si="199"/>
        <v>#N/A</v>
      </c>
      <c r="E1644" t="e">
        <f t="shared" si="195"/>
        <v>#N/A</v>
      </c>
      <c r="G1644">
        <v>1594</v>
      </c>
      <c r="H1644" s="13" t="e">
        <f t="shared" si="200"/>
        <v>#N/A</v>
      </c>
      <c r="I1644" t="e">
        <f t="shared" si="201"/>
        <v>#N/A</v>
      </c>
      <c r="J1644" t="e">
        <f t="shared" si="196"/>
        <v>#N/A</v>
      </c>
      <c r="K1644" s="27" t="e">
        <f t="shared" si="197"/>
        <v>#N/A</v>
      </c>
    </row>
    <row r="1645" spans="1:11">
      <c r="A1645" s="26">
        <v>1595</v>
      </c>
      <c r="B1645" s="82" t="e">
        <f t="shared" si="198"/>
        <v>#N/A</v>
      </c>
      <c r="C1645" s="58" t="e">
        <f t="shared" si="202"/>
        <v>#N/A</v>
      </c>
      <c r="D1645" s="83" t="e">
        <f t="shared" si="199"/>
        <v>#N/A</v>
      </c>
      <c r="E1645" t="e">
        <f t="shared" si="195"/>
        <v>#N/A</v>
      </c>
      <c r="G1645">
        <v>1595</v>
      </c>
      <c r="H1645" s="13" t="e">
        <f t="shared" si="200"/>
        <v>#N/A</v>
      </c>
      <c r="I1645" t="e">
        <f t="shared" si="201"/>
        <v>#N/A</v>
      </c>
      <c r="J1645" t="e">
        <f t="shared" si="196"/>
        <v>#N/A</v>
      </c>
      <c r="K1645" s="27" t="e">
        <f t="shared" si="197"/>
        <v>#N/A</v>
      </c>
    </row>
    <row r="1646" spans="1:11">
      <c r="A1646" s="26">
        <v>1596</v>
      </c>
      <c r="B1646" s="82" t="e">
        <f t="shared" si="198"/>
        <v>#N/A</v>
      </c>
      <c r="C1646" s="58" t="e">
        <f t="shared" si="202"/>
        <v>#N/A</v>
      </c>
      <c r="D1646" s="83" t="e">
        <f t="shared" si="199"/>
        <v>#N/A</v>
      </c>
      <c r="E1646" t="e">
        <f t="shared" si="195"/>
        <v>#N/A</v>
      </c>
      <c r="G1646">
        <v>1596</v>
      </c>
      <c r="H1646" s="13" t="e">
        <f t="shared" si="200"/>
        <v>#N/A</v>
      </c>
      <c r="I1646" t="e">
        <f t="shared" si="201"/>
        <v>#N/A</v>
      </c>
      <c r="J1646" t="e">
        <f t="shared" si="196"/>
        <v>#N/A</v>
      </c>
      <c r="K1646" s="27" t="e">
        <f t="shared" si="197"/>
        <v>#N/A</v>
      </c>
    </row>
    <row r="1647" spans="1:11">
      <c r="A1647" s="26">
        <v>1597</v>
      </c>
      <c r="B1647" s="82" t="e">
        <f t="shared" si="198"/>
        <v>#N/A</v>
      </c>
      <c r="C1647" s="58" t="e">
        <f t="shared" si="202"/>
        <v>#N/A</v>
      </c>
      <c r="D1647" s="83" t="e">
        <f t="shared" si="199"/>
        <v>#N/A</v>
      </c>
      <c r="E1647" t="e">
        <f t="shared" si="195"/>
        <v>#N/A</v>
      </c>
      <c r="G1647">
        <v>1597</v>
      </c>
      <c r="H1647" s="13" t="e">
        <f t="shared" si="200"/>
        <v>#N/A</v>
      </c>
      <c r="I1647" t="e">
        <f t="shared" si="201"/>
        <v>#N/A</v>
      </c>
      <c r="J1647" t="e">
        <f t="shared" si="196"/>
        <v>#N/A</v>
      </c>
      <c r="K1647" s="27" t="e">
        <f t="shared" si="197"/>
        <v>#N/A</v>
      </c>
    </row>
    <row r="1648" spans="1:11">
      <c r="A1648" s="26">
        <v>1598</v>
      </c>
      <c r="B1648" s="82" t="e">
        <f t="shared" si="198"/>
        <v>#N/A</v>
      </c>
      <c r="C1648" s="58" t="e">
        <f t="shared" si="202"/>
        <v>#N/A</v>
      </c>
      <c r="D1648" s="83" t="e">
        <f t="shared" si="199"/>
        <v>#N/A</v>
      </c>
      <c r="E1648" t="e">
        <f t="shared" si="195"/>
        <v>#N/A</v>
      </c>
      <c r="G1648">
        <v>1598</v>
      </c>
      <c r="H1648" s="13" t="e">
        <f t="shared" si="200"/>
        <v>#N/A</v>
      </c>
      <c r="I1648" t="e">
        <f t="shared" si="201"/>
        <v>#N/A</v>
      </c>
      <c r="J1648" t="e">
        <f t="shared" si="196"/>
        <v>#N/A</v>
      </c>
      <c r="K1648" s="27" t="e">
        <f t="shared" si="197"/>
        <v>#N/A</v>
      </c>
    </row>
    <row r="1649" spans="1:11">
      <c r="A1649" s="26">
        <v>1599</v>
      </c>
      <c r="B1649" s="82" t="e">
        <f t="shared" si="198"/>
        <v>#N/A</v>
      </c>
      <c r="C1649" s="58" t="e">
        <f t="shared" si="202"/>
        <v>#N/A</v>
      </c>
      <c r="D1649" s="83" t="e">
        <f t="shared" si="199"/>
        <v>#N/A</v>
      </c>
      <c r="E1649" t="e">
        <f t="shared" si="195"/>
        <v>#N/A</v>
      </c>
      <c r="G1649">
        <v>1599</v>
      </c>
      <c r="H1649" s="13" t="e">
        <f t="shared" si="200"/>
        <v>#N/A</v>
      </c>
      <c r="I1649" t="e">
        <f t="shared" si="201"/>
        <v>#N/A</v>
      </c>
      <c r="J1649" t="e">
        <f t="shared" si="196"/>
        <v>#N/A</v>
      </c>
      <c r="K1649" s="27" t="e">
        <f t="shared" si="197"/>
        <v>#N/A</v>
      </c>
    </row>
    <row r="1650" spans="1:11">
      <c r="A1650" s="26">
        <v>1600</v>
      </c>
      <c r="B1650" s="82" t="e">
        <f t="shared" si="198"/>
        <v>#N/A</v>
      </c>
      <c r="C1650" s="58" t="e">
        <f t="shared" si="202"/>
        <v>#N/A</v>
      </c>
      <c r="D1650" s="83" t="e">
        <f t="shared" si="199"/>
        <v>#N/A</v>
      </c>
      <c r="E1650" t="e">
        <f t="shared" si="195"/>
        <v>#N/A</v>
      </c>
      <c r="G1650">
        <v>1600</v>
      </c>
      <c r="H1650" s="13" t="e">
        <f t="shared" si="200"/>
        <v>#N/A</v>
      </c>
      <c r="I1650" t="e">
        <f t="shared" si="201"/>
        <v>#N/A</v>
      </c>
      <c r="J1650" t="e">
        <f t="shared" si="196"/>
        <v>#N/A</v>
      </c>
      <c r="K1650" s="27" t="e">
        <f t="shared" si="197"/>
        <v>#N/A</v>
      </c>
    </row>
    <row r="1651" spans="1:11">
      <c r="A1651" s="26">
        <v>1601</v>
      </c>
      <c r="B1651" s="82" t="e">
        <f t="shared" si="198"/>
        <v>#N/A</v>
      </c>
      <c r="C1651" s="58" t="e">
        <f t="shared" si="202"/>
        <v>#N/A</v>
      </c>
      <c r="D1651" s="83" t="e">
        <f t="shared" si="199"/>
        <v>#N/A</v>
      </c>
      <c r="E1651" t="e">
        <f t="shared" ref="E1651:E1714" si="203">((D1651^2)+(D1651*D1652)+(D1652^2))*B1652/3</f>
        <v>#N/A</v>
      </c>
      <c r="G1651">
        <v>1601</v>
      </c>
      <c r="H1651" s="13" t="e">
        <f t="shared" si="200"/>
        <v>#N/A</v>
      </c>
      <c r="I1651" t="e">
        <f t="shared" si="201"/>
        <v>#N/A</v>
      </c>
      <c r="J1651" t="e">
        <f t="shared" ref="J1651:J1714" si="204">IF($G$28&lt;$C$14,0,((($C$11^2)-((I1651-$C$13)^2))^0.5)+$C$16)</f>
        <v>#N/A</v>
      </c>
      <c r="K1651" s="27" t="e">
        <f t="shared" ref="K1651:K1714" si="205">((J1651^2)+(J1651*J1652)+(J1652^2))*H1652/3</f>
        <v>#N/A</v>
      </c>
    </row>
    <row r="1652" spans="1:11">
      <c r="A1652" s="26">
        <v>1602</v>
      </c>
      <c r="B1652" s="82" t="e">
        <f t="shared" ref="B1652:B1715" si="206">C1652-C1651</f>
        <v>#N/A</v>
      </c>
      <c r="C1652" s="58" t="e">
        <f t="shared" si="202"/>
        <v>#N/A</v>
      </c>
      <c r="D1652" s="83" t="e">
        <f t="shared" ref="D1652:D1715" si="207">IF($G$28&lt;$C$14,0,((($C$11^2)-((C1652-$C$13)^2))^0.5)+$C$16)</f>
        <v>#N/A</v>
      </c>
      <c r="E1652" t="e">
        <f t="shared" si="203"/>
        <v>#N/A</v>
      </c>
      <c r="G1652">
        <v>1602</v>
      </c>
      <c r="H1652" s="13" t="e">
        <f t="shared" ref="H1652:H1715" si="208">I1652-I1651</f>
        <v>#N/A</v>
      </c>
      <c r="I1652" t="e">
        <f t="shared" ref="I1652:I1715" si="209">($G$27-$C$14)/2000+I1651</f>
        <v>#N/A</v>
      </c>
      <c r="J1652" t="e">
        <f t="shared" si="204"/>
        <v>#N/A</v>
      </c>
      <c r="K1652" s="27" t="e">
        <f t="shared" si="205"/>
        <v>#N/A</v>
      </c>
    </row>
    <row r="1653" spans="1:11">
      <c r="A1653" s="26">
        <v>1603</v>
      </c>
      <c r="B1653" s="82" t="e">
        <f t="shared" si="206"/>
        <v>#N/A</v>
      </c>
      <c r="C1653" s="58" t="e">
        <f t="shared" si="202"/>
        <v>#N/A</v>
      </c>
      <c r="D1653" s="83" t="e">
        <f t="shared" si="207"/>
        <v>#N/A</v>
      </c>
      <c r="E1653" t="e">
        <f t="shared" si="203"/>
        <v>#N/A</v>
      </c>
      <c r="G1653">
        <v>1603</v>
      </c>
      <c r="H1653" s="13" t="e">
        <f t="shared" si="208"/>
        <v>#N/A</v>
      </c>
      <c r="I1653" t="e">
        <f t="shared" si="209"/>
        <v>#N/A</v>
      </c>
      <c r="J1653" t="e">
        <f t="shared" si="204"/>
        <v>#N/A</v>
      </c>
      <c r="K1653" s="27" t="e">
        <f t="shared" si="205"/>
        <v>#N/A</v>
      </c>
    </row>
    <row r="1654" spans="1:11">
      <c r="A1654" s="26">
        <v>1604</v>
      </c>
      <c r="B1654" s="82" t="e">
        <f t="shared" si="206"/>
        <v>#N/A</v>
      </c>
      <c r="C1654" s="58" t="e">
        <f t="shared" si="202"/>
        <v>#N/A</v>
      </c>
      <c r="D1654" s="83" t="e">
        <f t="shared" si="207"/>
        <v>#N/A</v>
      </c>
      <c r="E1654" t="e">
        <f t="shared" si="203"/>
        <v>#N/A</v>
      </c>
      <c r="G1654">
        <v>1604</v>
      </c>
      <c r="H1654" s="13" t="e">
        <f t="shared" si="208"/>
        <v>#N/A</v>
      </c>
      <c r="I1654" t="e">
        <f t="shared" si="209"/>
        <v>#N/A</v>
      </c>
      <c r="J1654" t="e">
        <f t="shared" si="204"/>
        <v>#N/A</v>
      </c>
      <c r="K1654" s="27" t="e">
        <f t="shared" si="205"/>
        <v>#N/A</v>
      </c>
    </row>
    <row r="1655" spans="1:11">
      <c r="A1655" s="26">
        <v>1605</v>
      </c>
      <c r="B1655" s="82" t="e">
        <f t="shared" si="206"/>
        <v>#N/A</v>
      </c>
      <c r="C1655" s="58" t="e">
        <f t="shared" si="202"/>
        <v>#N/A</v>
      </c>
      <c r="D1655" s="83" t="e">
        <f t="shared" si="207"/>
        <v>#N/A</v>
      </c>
      <c r="E1655" t="e">
        <f t="shared" si="203"/>
        <v>#N/A</v>
      </c>
      <c r="G1655">
        <v>1605</v>
      </c>
      <c r="H1655" s="13" t="e">
        <f t="shared" si="208"/>
        <v>#N/A</v>
      </c>
      <c r="I1655" t="e">
        <f t="shared" si="209"/>
        <v>#N/A</v>
      </c>
      <c r="J1655" t="e">
        <f t="shared" si="204"/>
        <v>#N/A</v>
      </c>
      <c r="K1655" s="27" t="e">
        <f t="shared" si="205"/>
        <v>#N/A</v>
      </c>
    </row>
    <row r="1656" spans="1:11">
      <c r="A1656" s="26">
        <v>1606</v>
      </c>
      <c r="B1656" s="82" t="e">
        <f t="shared" si="206"/>
        <v>#N/A</v>
      </c>
      <c r="C1656" s="58" t="e">
        <f t="shared" si="202"/>
        <v>#N/A</v>
      </c>
      <c r="D1656" s="83" t="e">
        <f t="shared" si="207"/>
        <v>#N/A</v>
      </c>
      <c r="E1656" t="e">
        <f t="shared" si="203"/>
        <v>#N/A</v>
      </c>
      <c r="G1656">
        <v>1606</v>
      </c>
      <c r="H1656" s="13" t="e">
        <f t="shared" si="208"/>
        <v>#N/A</v>
      </c>
      <c r="I1656" t="e">
        <f t="shared" si="209"/>
        <v>#N/A</v>
      </c>
      <c r="J1656" t="e">
        <f t="shared" si="204"/>
        <v>#N/A</v>
      </c>
      <c r="K1656" s="27" t="e">
        <f t="shared" si="205"/>
        <v>#N/A</v>
      </c>
    </row>
    <row r="1657" spans="1:11">
      <c r="A1657" s="26">
        <v>1607</v>
      </c>
      <c r="B1657" s="82" t="e">
        <f t="shared" si="206"/>
        <v>#N/A</v>
      </c>
      <c r="C1657" s="58" t="e">
        <f t="shared" si="202"/>
        <v>#N/A</v>
      </c>
      <c r="D1657" s="83" t="e">
        <f t="shared" si="207"/>
        <v>#N/A</v>
      </c>
      <c r="E1657" t="e">
        <f t="shared" si="203"/>
        <v>#N/A</v>
      </c>
      <c r="G1657">
        <v>1607</v>
      </c>
      <c r="H1657" s="13" t="e">
        <f t="shared" si="208"/>
        <v>#N/A</v>
      </c>
      <c r="I1657" t="e">
        <f t="shared" si="209"/>
        <v>#N/A</v>
      </c>
      <c r="J1657" t="e">
        <f t="shared" si="204"/>
        <v>#N/A</v>
      </c>
      <c r="K1657" s="27" t="e">
        <f t="shared" si="205"/>
        <v>#N/A</v>
      </c>
    </row>
    <row r="1658" spans="1:11">
      <c r="A1658" s="26">
        <v>1608</v>
      </c>
      <c r="B1658" s="82" t="e">
        <f t="shared" si="206"/>
        <v>#N/A</v>
      </c>
      <c r="C1658" s="58" t="e">
        <f t="shared" si="202"/>
        <v>#N/A</v>
      </c>
      <c r="D1658" s="83" t="e">
        <f t="shared" si="207"/>
        <v>#N/A</v>
      </c>
      <c r="E1658" t="e">
        <f t="shared" si="203"/>
        <v>#N/A</v>
      </c>
      <c r="G1658">
        <v>1608</v>
      </c>
      <c r="H1658" s="13" t="e">
        <f t="shared" si="208"/>
        <v>#N/A</v>
      </c>
      <c r="I1658" t="e">
        <f t="shared" si="209"/>
        <v>#N/A</v>
      </c>
      <c r="J1658" t="e">
        <f t="shared" si="204"/>
        <v>#N/A</v>
      </c>
      <c r="K1658" s="27" t="e">
        <f t="shared" si="205"/>
        <v>#N/A</v>
      </c>
    </row>
    <row r="1659" spans="1:11">
      <c r="A1659" s="26">
        <v>1609</v>
      </c>
      <c r="B1659" s="82" t="e">
        <f t="shared" si="206"/>
        <v>#N/A</v>
      </c>
      <c r="C1659" s="58" t="e">
        <f t="shared" si="202"/>
        <v>#N/A</v>
      </c>
      <c r="D1659" s="83" t="e">
        <f t="shared" si="207"/>
        <v>#N/A</v>
      </c>
      <c r="E1659" t="e">
        <f t="shared" si="203"/>
        <v>#N/A</v>
      </c>
      <c r="G1659">
        <v>1609</v>
      </c>
      <c r="H1659" s="13" t="e">
        <f t="shared" si="208"/>
        <v>#N/A</v>
      </c>
      <c r="I1659" t="e">
        <f t="shared" si="209"/>
        <v>#N/A</v>
      </c>
      <c r="J1659" t="e">
        <f t="shared" si="204"/>
        <v>#N/A</v>
      </c>
      <c r="K1659" s="27" t="e">
        <f t="shared" si="205"/>
        <v>#N/A</v>
      </c>
    </row>
    <row r="1660" spans="1:11">
      <c r="A1660" s="26">
        <v>1610</v>
      </c>
      <c r="B1660" s="82" t="e">
        <f t="shared" si="206"/>
        <v>#N/A</v>
      </c>
      <c r="C1660" s="58" t="e">
        <f t="shared" si="202"/>
        <v>#N/A</v>
      </c>
      <c r="D1660" s="83" t="e">
        <f t="shared" si="207"/>
        <v>#N/A</v>
      </c>
      <c r="E1660" t="e">
        <f t="shared" si="203"/>
        <v>#N/A</v>
      </c>
      <c r="G1660">
        <v>1610</v>
      </c>
      <c r="H1660" s="13" t="e">
        <f t="shared" si="208"/>
        <v>#N/A</v>
      </c>
      <c r="I1660" t="e">
        <f t="shared" si="209"/>
        <v>#N/A</v>
      </c>
      <c r="J1660" t="e">
        <f t="shared" si="204"/>
        <v>#N/A</v>
      </c>
      <c r="K1660" s="27" t="e">
        <f t="shared" si="205"/>
        <v>#N/A</v>
      </c>
    </row>
    <row r="1661" spans="1:11">
      <c r="A1661" s="26">
        <v>1611</v>
      </c>
      <c r="B1661" s="82" t="e">
        <f t="shared" si="206"/>
        <v>#N/A</v>
      </c>
      <c r="C1661" s="58" t="e">
        <f t="shared" si="202"/>
        <v>#N/A</v>
      </c>
      <c r="D1661" s="83" t="e">
        <f t="shared" si="207"/>
        <v>#N/A</v>
      </c>
      <c r="E1661" t="e">
        <f t="shared" si="203"/>
        <v>#N/A</v>
      </c>
      <c r="G1661">
        <v>1611</v>
      </c>
      <c r="H1661" s="13" t="e">
        <f t="shared" si="208"/>
        <v>#N/A</v>
      </c>
      <c r="I1661" t="e">
        <f t="shared" si="209"/>
        <v>#N/A</v>
      </c>
      <c r="J1661" t="e">
        <f t="shared" si="204"/>
        <v>#N/A</v>
      </c>
      <c r="K1661" s="27" t="e">
        <f t="shared" si="205"/>
        <v>#N/A</v>
      </c>
    </row>
    <row r="1662" spans="1:11">
      <c r="A1662" s="26">
        <v>1612</v>
      </c>
      <c r="B1662" s="82" t="e">
        <f t="shared" si="206"/>
        <v>#N/A</v>
      </c>
      <c r="C1662" s="58" t="e">
        <f t="shared" si="202"/>
        <v>#N/A</v>
      </c>
      <c r="D1662" s="83" t="e">
        <f t="shared" si="207"/>
        <v>#N/A</v>
      </c>
      <c r="E1662" t="e">
        <f t="shared" si="203"/>
        <v>#N/A</v>
      </c>
      <c r="G1662">
        <v>1612</v>
      </c>
      <c r="H1662" s="13" t="e">
        <f t="shared" si="208"/>
        <v>#N/A</v>
      </c>
      <c r="I1662" t="e">
        <f t="shared" si="209"/>
        <v>#N/A</v>
      </c>
      <c r="J1662" t="e">
        <f t="shared" si="204"/>
        <v>#N/A</v>
      </c>
      <c r="K1662" s="27" t="e">
        <f t="shared" si="205"/>
        <v>#N/A</v>
      </c>
    </row>
    <row r="1663" spans="1:11">
      <c r="A1663" s="26">
        <v>1613</v>
      </c>
      <c r="B1663" s="82" t="e">
        <f t="shared" si="206"/>
        <v>#N/A</v>
      </c>
      <c r="C1663" s="58" t="e">
        <f t="shared" si="202"/>
        <v>#N/A</v>
      </c>
      <c r="D1663" s="83" t="e">
        <f t="shared" si="207"/>
        <v>#N/A</v>
      </c>
      <c r="E1663" t="e">
        <f t="shared" si="203"/>
        <v>#N/A</v>
      </c>
      <c r="G1663">
        <v>1613</v>
      </c>
      <c r="H1663" s="13" t="e">
        <f t="shared" si="208"/>
        <v>#N/A</v>
      </c>
      <c r="I1663" t="e">
        <f t="shared" si="209"/>
        <v>#N/A</v>
      </c>
      <c r="J1663" t="e">
        <f t="shared" si="204"/>
        <v>#N/A</v>
      </c>
      <c r="K1663" s="27" t="e">
        <f t="shared" si="205"/>
        <v>#N/A</v>
      </c>
    </row>
    <row r="1664" spans="1:11">
      <c r="A1664" s="26">
        <v>1614</v>
      </c>
      <c r="B1664" s="82" t="e">
        <f t="shared" si="206"/>
        <v>#N/A</v>
      </c>
      <c r="C1664" s="58" t="e">
        <f t="shared" si="202"/>
        <v>#N/A</v>
      </c>
      <c r="D1664" s="83" t="e">
        <f t="shared" si="207"/>
        <v>#N/A</v>
      </c>
      <c r="E1664" t="e">
        <f t="shared" si="203"/>
        <v>#N/A</v>
      </c>
      <c r="G1664">
        <v>1614</v>
      </c>
      <c r="H1664" s="13" t="e">
        <f t="shared" si="208"/>
        <v>#N/A</v>
      </c>
      <c r="I1664" t="e">
        <f t="shared" si="209"/>
        <v>#N/A</v>
      </c>
      <c r="J1664" t="e">
        <f t="shared" si="204"/>
        <v>#N/A</v>
      </c>
      <c r="K1664" s="27" t="e">
        <f t="shared" si="205"/>
        <v>#N/A</v>
      </c>
    </row>
    <row r="1665" spans="1:11">
      <c r="A1665" s="26">
        <v>1615</v>
      </c>
      <c r="B1665" s="82" t="e">
        <f t="shared" si="206"/>
        <v>#N/A</v>
      </c>
      <c r="C1665" s="58" t="e">
        <f t="shared" si="202"/>
        <v>#N/A</v>
      </c>
      <c r="D1665" s="83" t="e">
        <f t="shared" si="207"/>
        <v>#N/A</v>
      </c>
      <c r="E1665" t="e">
        <f t="shared" si="203"/>
        <v>#N/A</v>
      </c>
      <c r="G1665">
        <v>1615</v>
      </c>
      <c r="H1665" s="13" t="e">
        <f t="shared" si="208"/>
        <v>#N/A</v>
      </c>
      <c r="I1665" t="e">
        <f t="shared" si="209"/>
        <v>#N/A</v>
      </c>
      <c r="J1665" t="e">
        <f t="shared" si="204"/>
        <v>#N/A</v>
      </c>
      <c r="K1665" s="27" t="e">
        <f t="shared" si="205"/>
        <v>#N/A</v>
      </c>
    </row>
    <row r="1666" spans="1:11">
      <c r="A1666" s="26">
        <v>1616</v>
      </c>
      <c r="B1666" s="82" t="e">
        <f t="shared" si="206"/>
        <v>#N/A</v>
      </c>
      <c r="C1666" s="58" t="e">
        <f t="shared" si="202"/>
        <v>#N/A</v>
      </c>
      <c r="D1666" s="83" t="e">
        <f t="shared" si="207"/>
        <v>#N/A</v>
      </c>
      <c r="E1666" t="e">
        <f t="shared" si="203"/>
        <v>#N/A</v>
      </c>
      <c r="G1666">
        <v>1616</v>
      </c>
      <c r="H1666" s="13" t="e">
        <f t="shared" si="208"/>
        <v>#N/A</v>
      </c>
      <c r="I1666" t="e">
        <f t="shared" si="209"/>
        <v>#N/A</v>
      </c>
      <c r="J1666" t="e">
        <f t="shared" si="204"/>
        <v>#N/A</v>
      </c>
      <c r="K1666" s="27" t="e">
        <f t="shared" si="205"/>
        <v>#N/A</v>
      </c>
    </row>
    <row r="1667" spans="1:11">
      <c r="A1667" s="26">
        <v>1617</v>
      </c>
      <c r="B1667" s="82" t="e">
        <f t="shared" si="206"/>
        <v>#N/A</v>
      </c>
      <c r="C1667" s="58" t="e">
        <f t="shared" si="202"/>
        <v>#N/A</v>
      </c>
      <c r="D1667" s="83" t="e">
        <f t="shared" si="207"/>
        <v>#N/A</v>
      </c>
      <c r="E1667" t="e">
        <f t="shared" si="203"/>
        <v>#N/A</v>
      </c>
      <c r="G1667">
        <v>1617</v>
      </c>
      <c r="H1667" s="13" t="e">
        <f t="shared" si="208"/>
        <v>#N/A</v>
      </c>
      <c r="I1667" t="e">
        <f t="shared" si="209"/>
        <v>#N/A</v>
      </c>
      <c r="J1667" t="e">
        <f t="shared" si="204"/>
        <v>#N/A</v>
      </c>
      <c r="K1667" s="27" t="e">
        <f t="shared" si="205"/>
        <v>#N/A</v>
      </c>
    </row>
    <row r="1668" spans="1:11">
      <c r="A1668" s="26">
        <v>1618</v>
      </c>
      <c r="B1668" s="82" t="e">
        <f t="shared" si="206"/>
        <v>#N/A</v>
      </c>
      <c r="C1668" s="58" t="e">
        <f t="shared" si="202"/>
        <v>#N/A</v>
      </c>
      <c r="D1668" s="83" t="e">
        <f t="shared" si="207"/>
        <v>#N/A</v>
      </c>
      <c r="E1668" t="e">
        <f t="shared" si="203"/>
        <v>#N/A</v>
      </c>
      <c r="G1668">
        <v>1618</v>
      </c>
      <c r="H1668" s="13" t="e">
        <f t="shared" si="208"/>
        <v>#N/A</v>
      </c>
      <c r="I1668" t="e">
        <f t="shared" si="209"/>
        <v>#N/A</v>
      </c>
      <c r="J1668" t="e">
        <f t="shared" si="204"/>
        <v>#N/A</v>
      </c>
      <c r="K1668" s="27" t="e">
        <f t="shared" si="205"/>
        <v>#N/A</v>
      </c>
    </row>
    <row r="1669" spans="1:11">
      <c r="A1669" s="26">
        <v>1619</v>
      </c>
      <c r="B1669" s="82" t="e">
        <f t="shared" si="206"/>
        <v>#N/A</v>
      </c>
      <c r="C1669" s="58" t="e">
        <f t="shared" si="202"/>
        <v>#N/A</v>
      </c>
      <c r="D1669" s="83" t="e">
        <f t="shared" si="207"/>
        <v>#N/A</v>
      </c>
      <c r="E1669" t="e">
        <f t="shared" si="203"/>
        <v>#N/A</v>
      </c>
      <c r="G1669">
        <v>1619</v>
      </c>
      <c r="H1669" s="13" t="e">
        <f t="shared" si="208"/>
        <v>#N/A</v>
      </c>
      <c r="I1669" t="e">
        <f t="shared" si="209"/>
        <v>#N/A</v>
      </c>
      <c r="J1669" t="e">
        <f t="shared" si="204"/>
        <v>#N/A</v>
      </c>
      <c r="K1669" s="27" t="e">
        <f t="shared" si="205"/>
        <v>#N/A</v>
      </c>
    </row>
    <row r="1670" spans="1:11">
      <c r="A1670" s="26">
        <v>1620</v>
      </c>
      <c r="B1670" s="82" t="e">
        <f t="shared" si="206"/>
        <v>#N/A</v>
      </c>
      <c r="C1670" s="58" t="e">
        <f t="shared" si="202"/>
        <v>#N/A</v>
      </c>
      <c r="D1670" s="83" t="e">
        <f t="shared" si="207"/>
        <v>#N/A</v>
      </c>
      <c r="E1670" t="e">
        <f t="shared" si="203"/>
        <v>#N/A</v>
      </c>
      <c r="G1670">
        <v>1620</v>
      </c>
      <c r="H1670" s="13" t="e">
        <f t="shared" si="208"/>
        <v>#N/A</v>
      </c>
      <c r="I1670" t="e">
        <f t="shared" si="209"/>
        <v>#N/A</v>
      </c>
      <c r="J1670" t="e">
        <f t="shared" si="204"/>
        <v>#N/A</v>
      </c>
      <c r="K1670" s="27" t="e">
        <f t="shared" si="205"/>
        <v>#N/A</v>
      </c>
    </row>
    <row r="1671" spans="1:11">
      <c r="A1671" s="26">
        <v>1621</v>
      </c>
      <c r="B1671" s="82" t="e">
        <f t="shared" si="206"/>
        <v>#N/A</v>
      </c>
      <c r="C1671" s="58" t="e">
        <f t="shared" si="202"/>
        <v>#N/A</v>
      </c>
      <c r="D1671" s="83" t="e">
        <f t="shared" si="207"/>
        <v>#N/A</v>
      </c>
      <c r="E1671" t="e">
        <f t="shared" si="203"/>
        <v>#N/A</v>
      </c>
      <c r="G1671">
        <v>1621</v>
      </c>
      <c r="H1671" s="13" t="e">
        <f t="shared" si="208"/>
        <v>#N/A</v>
      </c>
      <c r="I1671" t="e">
        <f t="shared" si="209"/>
        <v>#N/A</v>
      </c>
      <c r="J1671" t="e">
        <f t="shared" si="204"/>
        <v>#N/A</v>
      </c>
      <c r="K1671" s="27" t="e">
        <f t="shared" si="205"/>
        <v>#N/A</v>
      </c>
    </row>
    <row r="1672" spans="1:11">
      <c r="A1672" s="26">
        <v>1622</v>
      </c>
      <c r="B1672" s="82" t="e">
        <f t="shared" si="206"/>
        <v>#N/A</v>
      </c>
      <c r="C1672" s="58" t="e">
        <f t="shared" si="202"/>
        <v>#N/A</v>
      </c>
      <c r="D1672" s="83" t="e">
        <f t="shared" si="207"/>
        <v>#N/A</v>
      </c>
      <c r="E1672" t="e">
        <f t="shared" si="203"/>
        <v>#N/A</v>
      </c>
      <c r="G1672">
        <v>1622</v>
      </c>
      <c r="H1672" s="13" t="e">
        <f t="shared" si="208"/>
        <v>#N/A</v>
      </c>
      <c r="I1672" t="e">
        <f t="shared" si="209"/>
        <v>#N/A</v>
      </c>
      <c r="J1672" t="e">
        <f t="shared" si="204"/>
        <v>#N/A</v>
      </c>
      <c r="K1672" s="27" t="e">
        <f t="shared" si="205"/>
        <v>#N/A</v>
      </c>
    </row>
    <row r="1673" spans="1:11">
      <c r="A1673" s="26">
        <v>1623</v>
      </c>
      <c r="B1673" s="82" t="e">
        <f t="shared" si="206"/>
        <v>#N/A</v>
      </c>
      <c r="C1673" s="58" t="e">
        <f t="shared" si="202"/>
        <v>#N/A</v>
      </c>
      <c r="D1673" s="83" t="e">
        <f t="shared" si="207"/>
        <v>#N/A</v>
      </c>
      <c r="E1673" t="e">
        <f t="shared" si="203"/>
        <v>#N/A</v>
      </c>
      <c r="G1673">
        <v>1623</v>
      </c>
      <c r="H1673" s="13" t="e">
        <f t="shared" si="208"/>
        <v>#N/A</v>
      </c>
      <c r="I1673" t="e">
        <f t="shared" si="209"/>
        <v>#N/A</v>
      </c>
      <c r="J1673" t="e">
        <f t="shared" si="204"/>
        <v>#N/A</v>
      </c>
      <c r="K1673" s="27" t="e">
        <f t="shared" si="205"/>
        <v>#N/A</v>
      </c>
    </row>
    <row r="1674" spans="1:11">
      <c r="A1674" s="26">
        <v>1624</v>
      </c>
      <c r="B1674" s="82" t="e">
        <f t="shared" si="206"/>
        <v>#N/A</v>
      </c>
      <c r="C1674" s="58" t="e">
        <f t="shared" si="202"/>
        <v>#N/A</v>
      </c>
      <c r="D1674" s="83" t="e">
        <f t="shared" si="207"/>
        <v>#N/A</v>
      </c>
      <c r="E1674" t="e">
        <f t="shared" si="203"/>
        <v>#N/A</v>
      </c>
      <c r="G1674">
        <v>1624</v>
      </c>
      <c r="H1674" s="13" t="e">
        <f t="shared" si="208"/>
        <v>#N/A</v>
      </c>
      <c r="I1674" t="e">
        <f t="shared" si="209"/>
        <v>#N/A</v>
      </c>
      <c r="J1674" t="e">
        <f t="shared" si="204"/>
        <v>#N/A</v>
      </c>
      <c r="K1674" s="27" t="e">
        <f t="shared" si="205"/>
        <v>#N/A</v>
      </c>
    </row>
    <row r="1675" spans="1:11">
      <c r="A1675" s="26">
        <v>1625</v>
      </c>
      <c r="B1675" s="82" t="e">
        <f t="shared" si="206"/>
        <v>#N/A</v>
      </c>
      <c r="C1675" s="58" t="e">
        <f t="shared" si="202"/>
        <v>#N/A</v>
      </c>
      <c r="D1675" s="83" t="e">
        <f t="shared" si="207"/>
        <v>#N/A</v>
      </c>
      <c r="E1675" t="e">
        <f t="shared" si="203"/>
        <v>#N/A</v>
      </c>
      <c r="G1675">
        <v>1625</v>
      </c>
      <c r="H1675" s="13" t="e">
        <f t="shared" si="208"/>
        <v>#N/A</v>
      </c>
      <c r="I1675" t="e">
        <f t="shared" si="209"/>
        <v>#N/A</v>
      </c>
      <c r="J1675" t="e">
        <f t="shared" si="204"/>
        <v>#N/A</v>
      </c>
      <c r="K1675" s="27" t="e">
        <f t="shared" si="205"/>
        <v>#N/A</v>
      </c>
    </row>
    <row r="1676" spans="1:11">
      <c r="A1676" s="26">
        <v>1626</v>
      </c>
      <c r="B1676" s="82" t="e">
        <f t="shared" si="206"/>
        <v>#N/A</v>
      </c>
      <c r="C1676" s="58" t="e">
        <f t="shared" si="202"/>
        <v>#N/A</v>
      </c>
      <c r="D1676" s="83" t="e">
        <f t="shared" si="207"/>
        <v>#N/A</v>
      </c>
      <c r="E1676" t="e">
        <f t="shared" si="203"/>
        <v>#N/A</v>
      </c>
      <c r="G1676">
        <v>1626</v>
      </c>
      <c r="H1676" s="13" t="e">
        <f t="shared" si="208"/>
        <v>#N/A</v>
      </c>
      <c r="I1676" t="e">
        <f t="shared" si="209"/>
        <v>#N/A</v>
      </c>
      <c r="J1676" t="e">
        <f t="shared" si="204"/>
        <v>#N/A</v>
      </c>
      <c r="K1676" s="27" t="e">
        <f t="shared" si="205"/>
        <v>#N/A</v>
      </c>
    </row>
    <row r="1677" spans="1:11">
      <c r="A1677" s="26">
        <v>1627</v>
      </c>
      <c r="B1677" s="82" t="e">
        <f t="shared" si="206"/>
        <v>#N/A</v>
      </c>
      <c r="C1677" s="58" t="e">
        <f t="shared" si="202"/>
        <v>#N/A</v>
      </c>
      <c r="D1677" s="83" t="e">
        <f t="shared" si="207"/>
        <v>#N/A</v>
      </c>
      <c r="E1677" t="e">
        <f t="shared" si="203"/>
        <v>#N/A</v>
      </c>
      <c r="G1677">
        <v>1627</v>
      </c>
      <c r="H1677" s="13" t="e">
        <f t="shared" si="208"/>
        <v>#N/A</v>
      </c>
      <c r="I1677" t="e">
        <f t="shared" si="209"/>
        <v>#N/A</v>
      </c>
      <c r="J1677" t="e">
        <f t="shared" si="204"/>
        <v>#N/A</v>
      </c>
      <c r="K1677" s="27" t="e">
        <f t="shared" si="205"/>
        <v>#N/A</v>
      </c>
    </row>
    <row r="1678" spans="1:11">
      <c r="A1678" s="26">
        <v>1628</v>
      </c>
      <c r="B1678" s="82" t="e">
        <f t="shared" si="206"/>
        <v>#N/A</v>
      </c>
      <c r="C1678" s="58" t="e">
        <f t="shared" si="202"/>
        <v>#N/A</v>
      </c>
      <c r="D1678" s="83" t="e">
        <f t="shared" si="207"/>
        <v>#N/A</v>
      </c>
      <c r="E1678" t="e">
        <f t="shared" si="203"/>
        <v>#N/A</v>
      </c>
      <c r="G1678">
        <v>1628</v>
      </c>
      <c r="H1678" s="13" t="e">
        <f t="shared" si="208"/>
        <v>#N/A</v>
      </c>
      <c r="I1678" t="e">
        <f t="shared" si="209"/>
        <v>#N/A</v>
      </c>
      <c r="J1678" t="e">
        <f t="shared" si="204"/>
        <v>#N/A</v>
      </c>
      <c r="K1678" s="27" t="e">
        <f t="shared" si="205"/>
        <v>#N/A</v>
      </c>
    </row>
    <row r="1679" spans="1:11">
      <c r="A1679" s="26">
        <v>1629</v>
      </c>
      <c r="B1679" s="82" t="e">
        <f t="shared" si="206"/>
        <v>#N/A</v>
      </c>
      <c r="C1679" s="58" t="e">
        <f t="shared" si="202"/>
        <v>#N/A</v>
      </c>
      <c r="D1679" s="83" t="e">
        <f t="shared" si="207"/>
        <v>#N/A</v>
      </c>
      <c r="E1679" t="e">
        <f t="shared" si="203"/>
        <v>#N/A</v>
      </c>
      <c r="G1679">
        <v>1629</v>
      </c>
      <c r="H1679" s="13" t="e">
        <f t="shared" si="208"/>
        <v>#N/A</v>
      </c>
      <c r="I1679" t="e">
        <f t="shared" si="209"/>
        <v>#N/A</v>
      </c>
      <c r="J1679" t="e">
        <f t="shared" si="204"/>
        <v>#N/A</v>
      </c>
      <c r="K1679" s="27" t="e">
        <f t="shared" si="205"/>
        <v>#N/A</v>
      </c>
    </row>
    <row r="1680" spans="1:11">
      <c r="A1680" s="26">
        <v>1630</v>
      </c>
      <c r="B1680" s="82" t="e">
        <f t="shared" si="206"/>
        <v>#N/A</v>
      </c>
      <c r="C1680" s="58" t="e">
        <f t="shared" ref="C1680:C1743" si="210">($C$37-$C$36)/2000+C1679</f>
        <v>#N/A</v>
      </c>
      <c r="D1680" s="83" t="e">
        <f t="shared" si="207"/>
        <v>#N/A</v>
      </c>
      <c r="E1680" t="e">
        <f t="shared" si="203"/>
        <v>#N/A</v>
      </c>
      <c r="G1680">
        <v>1630</v>
      </c>
      <c r="H1680" s="13" t="e">
        <f t="shared" si="208"/>
        <v>#N/A</v>
      </c>
      <c r="I1680" t="e">
        <f t="shared" si="209"/>
        <v>#N/A</v>
      </c>
      <c r="J1680" t="e">
        <f t="shared" si="204"/>
        <v>#N/A</v>
      </c>
      <c r="K1680" s="27" t="e">
        <f t="shared" si="205"/>
        <v>#N/A</v>
      </c>
    </row>
    <row r="1681" spans="1:11">
      <c r="A1681" s="26">
        <v>1631</v>
      </c>
      <c r="B1681" s="82" t="e">
        <f t="shared" si="206"/>
        <v>#N/A</v>
      </c>
      <c r="C1681" s="58" t="e">
        <f t="shared" si="210"/>
        <v>#N/A</v>
      </c>
      <c r="D1681" s="83" t="e">
        <f t="shared" si="207"/>
        <v>#N/A</v>
      </c>
      <c r="E1681" t="e">
        <f t="shared" si="203"/>
        <v>#N/A</v>
      </c>
      <c r="G1681">
        <v>1631</v>
      </c>
      <c r="H1681" s="13" t="e">
        <f t="shared" si="208"/>
        <v>#N/A</v>
      </c>
      <c r="I1681" t="e">
        <f t="shared" si="209"/>
        <v>#N/A</v>
      </c>
      <c r="J1681" t="e">
        <f t="shared" si="204"/>
        <v>#N/A</v>
      </c>
      <c r="K1681" s="27" t="e">
        <f t="shared" si="205"/>
        <v>#N/A</v>
      </c>
    </row>
    <row r="1682" spans="1:11">
      <c r="A1682" s="26">
        <v>1632</v>
      </c>
      <c r="B1682" s="82" t="e">
        <f t="shared" si="206"/>
        <v>#N/A</v>
      </c>
      <c r="C1682" s="58" t="e">
        <f t="shared" si="210"/>
        <v>#N/A</v>
      </c>
      <c r="D1682" s="83" t="e">
        <f t="shared" si="207"/>
        <v>#N/A</v>
      </c>
      <c r="E1682" t="e">
        <f t="shared" si="203"/>
        <v>#N/A</v>
      </c>
      <c r="G1682">
        <v>1632</v>
      </c>
      <c r="H1682" s="13" t="e">
        <f t="shared" si="208"/>
        <v>#N/A</v>
      </c>
      <c r="I1682" t="e">
        <f t="shared" si="209"/>
        <v>#N/A</v>
      </c>
      <c r="J1682" t="e">
        <f t="shared" si="204"/>
        <v>#N/A</v>
      </c>
      <c r="K1682" s="27" t="e">
        <f t="shared" si="205"/>
        <v>#N/A</v>
      </c>
    </row>
    <row r="1683" spans="1:11">
      <c r="A1683" s="26">
        <v>1633</v>
      </c>
      <c r="B1683" s="82" t="e">
        <f t="shared" si="206"/>
        <v>#N/A</v>
      </c>
      <c r="C1683" s="58" t="e">
        <f t="shared" si="210"/>
        <v>#N/A</v>
      </c>
      <c r="D1683" s="83" t="e">
        <f t="shared" si="207"/>
        <v>#N/A</v>
      </c>
      <c r="E1683" t="e">
        <f t="shared" si="203"/>
        <v>#N/A</v>
      </c>
      <c r="G1683">
        <v>1633</v>
      </c>
      <c r="H1683" s="13" t="e">
        <f t="shared" si="208"/>
        <v>#N/A</v>
      </c>
      <c r="I1683" t="e">
        <f t="shared" si="209"/>
        <v>#N/A</v>
      </c>
      <c r="J1683" t="e">
        <f t="shared" si="204"/>
        <v>#N/A</v>
      </c>
      <c r="K1683" s="27" t="e">
        <f t="shared" si="205"/>
        <v>#N/A</v>
      </c>
    </row>
    <row r="1684" spans="1:11">
      <c r="A1684" s="26">
        <v>1634</v>
      </c>
      <c r="B1684" s="82" t="e">
        <f t="shared" si="206"/>
        <v>#N/A</v>
      </c>
      <c r="C1684" s="58" t="e">
        <f t="shared" si="210"/>
        <v>#N/A</v>
      </c>
      <c r="D1684" s="83" t="e">
        <f t="shared" si="207"/>
        <v>#N/A</v>
      </c>
      <c r="E1684" t="e">
        <f t="shared" si="203"/>
        <v>#N/A</v>
      </c>
      <c r="G1684">
        <v>1634</v>
      </c>
      <c r="H1684" s="13" t="e">
        <f t="shared" si="208"/>
        <v>#N/A</v>
      </c>
      <c r="I1684" t="e">
        <f t="shared" si="209"/>
        <v>#N/A</v>
      </c>
      <c r="J1684" t="e">
        <f t="shared" si="204"/>
        <v>#N/A</v>
      </c>
      <c r="K1684" s="27" t="e">
        <f t="shared" si="205"/>
        <v>#N/A</v>
      </c>
    </row>
    <row r="1685" spans="1:11">
      <c r="A1685" s="26">
        <v>1635</v>
      </c>
      <c r="B1685" s="82" t="e">
        <f t="shared" si="206"/>
        <v>#N/A</v>
      </c>
      <c r="C1685" s="58" t="e">
        <f t="shared" si="210"/>
        <v>#N/A</v>
      </c>
      <c r="D1685" s="83" t="e">
        <f t="shared" si="207"/>
        <v>#N/A</v>
      </c>
      <c r="E1685" t="e">
        <f t="shared" si="203"/>
        <v>#N/A</v>
      </c>
      <c r="G1685">
        <v>1635</v>
      </c>
      <c r="H1685" s="13" t="e">
        <f t="shared" si="208"/>
        <v>#N/A</v>
      </c>
      <c r="I1685" t="e">
        <f t="shared" si="209"/>
        <v>#N/A</v>
      </c>
      <c r="J1685" t="e">
        <f t="shared" si="204"/>
        <v>#N/A</v>
      </c>
      <c r="K1685" s="27" t="e">
        <f t="shared" si="205"/>
        <v>#N/A</v>
      </c>
    </row>
    <row r="1686" spans="1:11">
      <c r="A1686" s="26">
        <v>1636</v>
      </c>
      <c r="B1686" s="82" t="e">
        <f t="shared" si="206"/>
        <v>#N/A</v>
      </c>
      <c r="C1686" s="58" t="e">
        <f t="shared" si="210"/>
        <v>#N/A</v>
      </c>
      <c r="D1686" s="83" t="e">
        <f t="shared" si="207"/>
        <v>#N/A</v>
      </c>
      <c r="E1686" t="e">
        <f t="shared" si="203"/>
        <v>#N/A</v>
      </c>
      <c r="G1686">
        <v>1636</v>
      </c>
      <c r="H1686" s="13" t="e">
        <f t="shared" si="208"/>
        <v>#N/A</v>
      </c>
      <c r="I1686" t="e">
        <f t="shared" si="209"/>
        <v>#N/A</v>
      </c>
      <c r="J1686" t="e">
        <f t="shared" si="204"/>
        <v>#N/A</v>
      </c>
      <c r="K1686" s="27" t="e">
        <f t="shared" si="205"/>
        <v>#N/A</v>
      </c>
    </row>
    <row r="1687" spans="1:11">
      <c r="A1687" s="26">
        <v>1637</v>
      </c>
      <c r="B1687" s="82" t="e">
        <f t="shared" si="206"/>
        <v>#N/A</v>
      </c>
      <c r="C1687" s="58" t="e">
        <f t="shared" si="210"/>
        <v>#N/A</v>
      </c>
      <c r="D1687" s="83" t="e">
        <f t="shared" si="207"/>
        <v>#N/A</v>
      </c>
      <c r="E1687" t="e">
        <f t="shared" si="203"/>
        <v>#N/A</v>
      </c>
      <c r="G1687">
        <v>1637</v>
      </c>
      <c r="H1687" s="13" t="e">
        <f t="shared" si="208"/>
        <v>#N/A</v>
      </c>
      <c r="I1687" t="e">
        <f t="shared" si="209"/>
        <v>#N/A</v>
      </c>
      <c r="J1687" t="e">
        <f t="shared" si="204"/>
        <v>#N/A</v>
      </c>
      <c r="K1687" s="27" t="e">
        <f t="shared" si="205"/>
        <v>#N/A</v>
      </c>
    </row>
    <row r="1688" spans="1:11">
      <c r="A1688" s="26">
        <v>1638</v>
      </c>
      <c r="B1688" s="82" t="e">
        <f t="shared" si="206"/>
        <v>#N/A</v>
      </c>
      <c r="C1688" s="58" t="e">
        <f t="shared" si="210"/>
        <v>#N/A</v>
      </c>
      <c r="D1688" s="83" t="e">
        <f t="shared" si="207"/>
        <v>#N/A</v>
      </c>
      <c r="E1688" t="e">
        <f t="shared" si="203"/>
        <v>#N/A</v>
      </c>
      <c r="G1688">
        <v>1638</v>
      </c>
      <c r="H1688" s="13" t="e">
        <f t="shared" si="208"/>
        <v>#N/A</v>
      </c>
      <c r="I1688" t="e">
        <f t="shared" si="209"/>
        <v>#N/A</v>
      </c>
      <c r="J1688" t="e">
        <f t="shared" si="204"/>
        <v>#N/A</v>
      </c>
      <c r="K1688" s="27" t="e">
        <f t="shared" si="205"/>
        <v>#N/A</v>
      </c>
    </row>
    <row r="1689" spans="1:11">
      <c r="A1689" s="26">
        <v>1639</v>
      </c>
      <c r="B1689" s="82" t="e">
        <f t="shared" si="206"/>
        <v>#N/A</v>
      </c>
      <c r="C1689" s="58" t="e">
        <f t="shared" si="210"/>
        <v>#N/A</v>
      </c>
      <c r="D1689" s="83" t="e">
        <f t="shared" si="207"/>
        <v>#N/A</v>
      </c>
      <c r="E1689" t="e">
        <f t="shared" si="203"/>
        <v>#N/A</v>
      </c>
      <c r="G1689">
        <v>1639</v>
      </c>
      <c r="H1689" s="13" t="e">
        <f t="shared" si="208"/>
        <v>#N/A</v>
      </c>
      <c r="I1689" t="e">
        <f t="shared" si="209"/>
        <v>#N/A</v>
      </c>
      <c r="J1689" t="e">
        <f t="shared" si="204"/>
        <v>#N/A</v>
      </c>
      <c r="K1689" s="27" t="e">
        <f t="shared" si="205"/>
        <v>#N/A</v>
      </c>
    </row>
    <row r="1690" spans="1:11">
      <c r="A1690" s="26">
        <v>1640</v>
      </c>
      <c r="B1690" s="82" t="e">
        <f t="shared" si="206"/>
        <v>#N/A</v>
      </c>
      <c r="C1690" s="58" t="e">
        <f t="shared" si="210"/>
        <v>#N/A</v>
      </c>
      <c r="D1690" s="83" t="e">
        <f t="shared" si="207"/>
        <v>#N/A</v>
      </c>
      <c r="E1690" t="e">
        <f t="shared" si="203"/>
        <v>#N/A</v>
      </c>
      <c r="G1690">
        <v>1640</v>
      </c>
      <c r="H1690" s="13" t="e">
        <f t="shared" si="208"/>
        <v>#N/A</v>
      </c>
      <c r="I1690" t="e">
        <f t="shared" si="209"/>
        <v>#N/A</v>
      </c>
      <c r="J1690" t="e">
        <f t="shared" si="204"/>
        <v>#N/A</v>
      </c>
      <c r="K1690" s="27" t="e">
        <f t="shared" si="205"/>
        <v>#N/A</v>
      </c>
    </row>
    <row r="1691" spans="1:11">
      <c r="A1691" s="26">
        <v>1641</v>
      </c>
      <c r="B1691" s="82" t="e">
        <f t="shared" si="206"/>
        <v>#N/A</v>
      </c>
      <c r="C1691" s="58" t="e">
        <f t="shared" si="210"/>
        <v>#N/A</v>
      </c>
      <c r="D1691" s="83" t="e">
        <f t="shared" si="207"/>
        <v>#N/A</v>
      </c>
      <c r="E1691" t="e">
        <f t="shared" si="203"/>
        <v>#N/A</v>
      </c>
      <c r="G1691">
        <v>1641</v>
      </c>
      <c r="H1691" s="13" t="e">
        <f t="shared" si="208"/>
        <v>#N/A</v>
      </c>
      <c r="I1691" t="e">
        <f t="shared" si="209"/>
        <v>#N/A</v>
      </c>
      <c r="J1691" t="e">
        <f t="shared" si="204"/>
        <v>#N/A</v>
      </c>
      <c r="K1691" s="27" t="e">
        <f t="shared" si="205"/>
        <v>#N/A</v>
      </c>
    </row>
    <row r="1692" spans="1:11">
      <c r="A1692" s="26">
        <v>1642</v>
      </c>
      <c r="B1692" s="82" t="e">
        <f t="shared" si="206"/>
        <v>#N/A</v>
      </c>
      <c r="C1692" s="58" t="e">
        <f t="shared" si="210"/>
        <v>#N/A</v>
      </c>
      <c r="D1692" s="83" t="e">
        <f t="shared" si="207"/>
        <v>#N/A</v>
      </c>
      <c r="E1692" t="e">
        <f t="shared" si="203"/>
        <v>#N/A</v>
      </c>
      <c r="G1692">
        <v>1642</v>
      </c>
      <c r="H1692" s="13" t="e">
        <f t="shared" si="208"/>
        <v>#N/A</v>
      </c>
      <c r="I1692" t="e">
        <f t="shared" si="209"/>
        <v>#N/A</v>
      </c>
      <c r="J1692" t="e">
        <f t="shared" si="204"/>
        <v>#N/A</v>
      </c>
      <c r="K1692" s="27" t="e">
        <f t="shared" si="205"/>
        <v>#N/A</v>
      </c>
    </row>
    <row r="1693" spans="1:11">
      <c r="A1693" s="26">
        <v>1643</v>
      </c>
      <c r="B1693" s="82" t="e">
        <f t="shared" si="206"/>
        <v>#N/A</v>
      </c>
      <c r="C1693" s="58" t="e">
        <f t="shared" si="210"/>
        <v>#N/A</v>
      </c>
      <c r="D1693" s="83" t="e">
        <f t="shared" si="207"/>
        <v>#N/A</v>
      </c>
      <c r="E1693" t="e">
        <f t="shared" si="203"/>
        <v>#N/A</v>
      </c>
      <c r="G1693">
        <v>1643</v>
      </c>
      <c r="H1693" s="13" t="e">
        <f t="shared" si="208"/>
        <v>#N/A</v>
      </c>
      <c r="I1693" t="e">
        <f t="shared" si="209"/>
        <v>#N/A</v>
      </c>
      <c r="J1693" t="e">
        <f t="shared" si="204"/>
        <v>#N/A</v>
      </c>
      <c r="K1693" s="27" t="e">
        <f t="shared" si="205"/>
        <v>#N/A</v>
      </c>
    </row>
    <row r="1694" spans="1:11">
      <c r="A1694" s="26">
        <v>1644</v>
      </c>
      <c r="B1694" s="82" t="e">
        <f t="shared" si="206"/>
        <v>#N/A</v>
      </c>
      <c r="C1694" s="58" t="e">
        <f t="shared" si="210"/>
        <v>#N/A</v>
      </c>
      <c r="D1694" s="83" t="e">
        <f t="shared" si="207"/>
        <v>#N/A</v>
      </c>
      <c r="E1694" t="e">
        <f t="shared" si="203"/>
        <v>#N/A</v>
      </c>
      <c r="G1694">
        <v>1644</v>
      </c>
      <c r="H1694" s="13" t="e">
        <f t="shared" si="208"/>
        <v>#N/A</v>
      </c>
      <c r="I1694" t="e">
        <f t="shared" si="209"/>
        <v>#N/A</v>
      </c>
      <c r="J1694" t="e">
        <f t="shared" si="204"/>
        <v>#N/A</v>
      </c>
      <c r="K1694" s="27" t="e">
        <f t="shared" si="205"/>
        <v>#N/A</v>
      </c>
    </row>
    <row r="1695" spans="1:11">
      <c r="A1695" s="26">
        <v>1645</v>
      </c>
      <c r="B1695" s="82" t="e">
        <f t="shared" si="206"/>
        <v>#N/A</v>
      </c>
      <c r="C1695" s="58" t="e">
        <f t="shared" si="210"/>
        <v>#N/A</v>
      </c>
      <c r="D1695" s="83" t="e">
        <f t="shared" si="207"/>
        <v>#N/A</v>
      </c>
      <c r="E1695" t="e">
        <f t="shared" si="203"/>
        <v>#N/A</v>
      </c>
      <c r="G1695">
        <v>1645</v>
      </c>
      <c r="H1695" s="13" t="e">
        <f t="shared" si="208"/>
        <v>#N/A</v>
      </c>
      <c r="I1695" t="e">
        <f t="shared" si="209"/>
        <v>#N/A</v>
      </c>
      <c r="J1695" t="e">
        <f t="shared" si="204"/>
        <v>#N/A</v>
      </c>
      <c r="K1695" s="27" t="e">
        <f t="shared" si="205"/>
        <v>#N/A</v>
      </c>
    </row>
    <row r="1696" spans="1:11">
      <c r="A1696" s="26">
        <v>1646</v>
      </c>
      <c r="B1696" s="82" t="e">
        <f t="shared" si="206"/>
        <v>#N/A</v>
      </c>
      <c r="C1696" s="58" t="e">
        <f t="shared" si="210"/>
        <v>#N/A</v>
      </c>
      <c r="D1696" s="83" t="e">
        <f t="shared" si="207"/>
        <v>#N/A</v>
      </c>
      <c r="E1696" t="e">
        <f t="shared" si="203"/>
        <v>#N/A</v>
      </c>
      <c r="G1696">
        <v>1646</v>
      </c>
      <c r="H1696" s="13" t="e">
        <f t="shared" si="208"/>
        <v>#N/A</v>
      </c>
      <c r="I1696" t="e">
        <f t="shared" si="209"/>
        <v>#N/A</v>
      </c>
      <c r="J1696" t="e">
        <f t="shared" si="204"/>
        <v>#N/A</v>
      </c>
      <c r="K1696" s="27" t="e">
        <f t="shared" si="205"/>
        <v>#N/A</v>
      </c>
    </row>
    <row r="1697" spans="1:11">
      <c r="A1697" s="26">
        <v>1647</v>
      </c>
      <c r="B1697" s="82" t="e">
        <f t="shared" si="206"/>
        <v>#N/A</v>
      </c>
      <c r="C1697" s="58" t="e">
        <f t="shared" si="210"/>
        <v>#N/A</v>
      </c>
      <c r="D1697" s="83" t="e">
        <f t="shared" si="207"/>
        <v>#N/A</v>
      </c>
      <c r="E1697" t="e">
        <f t="shared" si="203"/>
        <v>#N/A</v>
      </c>
      <c r="G1697">
        <v>1647</v>
      </c>
      <c r="H1697" s="13" t="e">
        <f t="shared" si="208"/>
        <v>#N/A</v>
      </c>
      <c r="I1697" t="e">
        <f t="shared" si="209"/>
        <v>#N/A</v>
      </c>
      <c r="J1697" t="e">
        <f t="shared" si="204"/>
        <v>#N/A</v>
      </c>
      <c r="K1697" s="27" t="e">
        <f t="shared" si="205"/>
        <v>#N/A</v>
      </c>
    </row>
    <row r="1698" spans="1:11">
      <c r="A1698" s="26">
        <v>1648</v>
      </c>
      <c r="B1698" s="82" t="e">
        <f t="shared" si="206"/>
        <v>#N/A</v>
      </c>
      <c r="C1698" s="58" t="e">
        <f t="shared" si="210"/>
        <v>#N/A</v>
      </c>
      <c r="D1698" s="83" t="e">
        <f t="shared" si="207"/>
        <v>#N/A</v>
      </c>
      <c r="E1698" t="e">
        <f t="shared" si="203"/>
        <v>#N/A</v>
      </c>
      <c r="G1698">
        <v>1648</v>
      </c>
      <c r="H1698" s="13" t="e">
        <f t="shared" si="208"/>
        <v>#N/A</v>
      </c>
      <c r="I1698" t="e">
        <f t="shared" si="209"/>
        <v>#N/A</v>
      </c>
      <c r="J1698" t="e">
        <f t="shared" si="204"/>
        <v>#N/A</v>
      </c>
      <c r="K1698" s="27" t="e">
        <f t="shared" si="205"/>
        <v>#N/A</v>
      </c>
    </row>
    <row r="1699" spans="1:11">
      <c r="A1699" s="26">
        <v>1649</v>
      </c>
      <c r="B1699" s="82" t="e">
        <f t="shared" si="206"/>
        <v>#N/A</v>
      </c>
      <c r="C1699" s="58" t="e">
        <f t="shared" si="210"/>
        <v>#N/A</v>
      </c>
      <c r="D1699" s="83" t="e">
        <f t="shared" si="207"/>
        <v>#N/A</v>
      </c>
      <c r="E1699" t="e">
        <f t="shared" si="203"/>
        <v>#N/A</v>
      </c>
      <c r="G1699">
        <v>1649</v>
      </c>
      <c r="H1699" s="13" t="e">
        <f t="shared" si="208"/>
        <v>#N/A</v>
      </c>
      <c r="I1699" t="e">
        <f t="shared" si="209"/>
        <v>#N/A</v>
      </c>
      <c r="J1699" t="e">
        <f t="shared" si="204"/>
        <v>#N/A</v>
      </c>
      <c r="K1699" s="27" t="e">
        <f t="shared" si="205"/>
        <v>#N/A</v>
      </c>
    </row>
    <row r="1700" spans="1:11">
      <c r="A1700" s="26">
        <v>1650</v>
      </c>
      <c r="B1700" s="82" t="e">
        <f t="shared" si="206"/>
        <v>#N/A</v>
      </c>
      <c r="C1700" s="58" t="e">
        <f t="shared" si="210"/>
        <v>#N/A</v>
      </c>
      <c r="D1700" s="83" t="e">
        <f t="shared" si="207"/>
        <v>#N/A</v>
      </c>
      <c r="E1700" t="e">
        <f t="shared" si="203"/>
        <v>#N/A</v>
      </c>
      <c r="G1700">
        <v>1650</v>
      </c>
      <c r="H1700" s="13" t="e">
        <f t="shared" si="208"/>
        <v>#N/A</v>
      </c>
      <c r="I1700" t="e">
        <f t="shared" si="209"/>
        <v>#N/A</v>
      </c>
      <c r="J1700" t="e">
        <f t="shared" si="204"/>
        <v>#N/A</v>
      </c>
      <c r="K1700" s="27" t="e">
        <f t="shared" si="205"/>
        <v>#N/A</v>
      </c>
    </row>
    <row r="1701" spans="1:11">
      <c r="A1701" s="26">
        <v>1651</v>
      </c>
      <c r="B1701" s="82" t="e">
        <f t="shared" si="206"/>
        <v>#N/A</v>
      </c>
      <c r="C1701" s="58" t="e">
        <f t="shared" si="210"/>
        <v>#N/A</v>
      </c>
      <c r="D1701" s="83" t="e">
        <f t="shared" si="207"/>
        <v>#N/A</v>
      </c>
      <c r="E1701" t="e">
        <f t="shared" si="203"/>
        <v>#N/A</v>
      </c>
      <c r="G1701">
        <v>1651</v>
      </c>
      <c r="H1701" s="13" t="e">
        <f t="shared" si="208"/>
        <v>#N/A</v>
      </c>
      <c r="I1701" t="e">
        <f t="shared" si="209"/>
        <v>#N/A</v>
      </c>
      <c r="J1701" t="e">
        <f t="shared" si="204"/>
        <v>#N/A</v>
      </c>
      <c r="K1701" s="27" t="e">
        <f t="shared" si="205"/>
        <v>#N/A</v>
      </c>
    </row>
    <row r="1702" spans="1:11">
      <c r="A1702" s="26">
        <v>1652</v>
      </c>
      <c r="B1702" s="82" t="e">
        <f t="shared" si="206"/>
        <v>#N/A</v>
      </c>
      <c r="C1702" s="58" t="e">
        <f t="shared" si="210"/>
        <v>#N/A</v>
      </c>
      <c r="D1702" s="83" t="e">
        <f t="shared" si="207"/>
        <v>#N/A</v>
      </c>
      <c r="E1702" t="e">
        <f t="shared" si="203"/>
        <v>#N/A</v>
      </c>
      <c r="G1702">
        <v>1652</v>
      </c>
      <c r="H1702" s="13" t="e">
        <f t="shared" si="208"/>
        <v>#N/A</v>
      </c>
      <c r="I1702" t="e">
        <f t="shared" si="209"/>
        <v>#N/A</v>
      </c>
      <c r="J1702" t="e">
        <f t="shared" si="204"/>
        <v>#N/A</v>
      </c>
      <c r="K1702" s="27" t="e">
        <f t="shared" si="205"/>
        <v>#N/A</v>
      </c>
    </row>
    <row r="1703" spans="1:11">
      <c r="A1703" s="26">
        <v>1653</v>
      </c>
      <c r="B1703" s="82" t="e">
        <f t="shared" si="206"/>
        <v>#N/A</v>
      </c>
      <c r="C1703" s="58" t="e">
        <f t="shared" si="210"/>
        <v>#N/A</v>
      </c>
      <c r="D1703" s="83" t="e">
        <f t="shared" si="207"/>
        <v>#N/A</v>
      </c>
      <c r="E1703" t="e">
        <f t="shared" si="203"/>
        <v>#N/A</v>
      </c>
      <c r="G1703">
        <v>1653</v>
      </c>
      <c r="H1703" s="13" t="e">
        <f t="shared" si="208"/>
        <v>#N/A</v>
      </c>
      <c r="I1703" t="e">
        <f t="shared" si="209"/>
        <v>#N/A</v>
      </c>
      <c r="J1703" t="e">
        <f t="shared" si="204"/>
        <v>#N/A</v>
      </c>
      <c r="K1703" s="27" t="e">
        <f t="shared" si="205"/>
        <v>#N/A</v>
      </c>
    </row>
    <row r="1704" spans="1:11">
      <c r="A1704" s="26">
        <v>1654</v>
      </c>
      <c r="B1704" s="82" t="e">
        <f t="shared" si="206"/>
        <v>#N/A</v>
      </c>
      <c r="C1704" s="58" t="e">
        <f t="shared" si="210"/>
        <v>#N/A</v>
      </c>
      <c r="D1704" s="83" t="e">
        <f t="shared" si="207"/>
        <v>#N/A</v>
      </c>
      <c r="E1704" t="e">
        <f t="shared" si="203"/>
        <v>#N/A</v>
      </c>
      <c r="G1704">
        <v>1654</v>
      </c>
      <c r="H1704" s="13" t="e">
        <f t="shared" si="208"/>
        <v>#N/A</v>
      </c>
      <c r="I1704" t="e">
        <f t="shared" si="209"/>
        <v>#N/A</v>
      </c>
      <c r="J1704" t="e">
        <f t="shared" si="204"/>
        <v>#N/A</v>
      </c>
      <c r="K1704" s="27" t="e">
        <f t="shared" si="205"/>
        <v>#N/A</v>
      </c>
    </row>
    <row r="1705" spans="1:11">
      <c r="A1705" s="26">
        <v>1655</v>
      </c>
      <c r="B1705" s="82" t="e">
        <f t="shared" si="206"/>
        <v>#N/A</v>
      </c>
      <c r="C1705" s="58" t="e">
        <f t="shared" si="210"/>
        <v>#N/A</v>
      </c>
      <c r="D1705" s="83" t="e">
        <f t="shared" si="207"/>
        <v>#N/A</v>
      </c>
      <c r="E1705" t="e">
        <f t="shared" si="203"/>
        <v>#N/A</v>
      </c>
      <c r="G1705">
        <v>1655</v>
      </c>
      <c r="H1705" s="13" t="e">
        <f t="shared" si="208"/>
        <v>#N/A</v>
      </c>
      <c r="I1705" t="e">
        <f t="shared" si="209"/>
        <v>#N/A</v>
      </c>
      <c r="J1705" t="e">
        <f t="shared" si="204"/>
        <v>#N/A</v>
      </c>
      <c r="K1705" s="27" t="e">
        <f t="shared" si="205"/>
        <v>#N/A</v>
      </c>
    </row>
    <row r="1706" spans="1:11">
      <c r="A1706" s="26">
        <v>1656</v>
      </c>
      <c r="B1706" s="82" t="e">
        <f t="shared" si="206"/>
        <v>#N/A</v>
      </c>
      <c r="C1706" s="58" t="e">
        <f t="shared" si="210"/>
        <v>#N/A</v>
      </c>
      <c r="D1706" s="83" t="e">
        <f t="shared" si="207"/>
        <v>#N/A</v>
      </c>
      <c r="E1706" t="e">
        <f t="shared" si="203"/>
        <v>#N/A</v>
      </c>
      <c r="G1706">
        <v>1656</v>
      </c>
      <c r="H1706" s="13" t="e">
        <f t="shared" si="208"/>
        <v>#N/A</v>
      </c>
      <c r="I1706" t="e">
        <f t="shared" si="209"/>
        <v>#N/A</v>
      </c>
      <c r="J1706" t="e">
        <f t="shared" si="204"/>
        <v>#N/A</v>
      </c>
      <c r="K1706" s="27" t="e">
        <f t="shared" si="205"/>
        <v>#N/A</v>
      </c>
    </row>
    <row r="1707" spans="1:11">
      <c r="A1707" s="26">
        <v>1657</v>
      </c>
      <c r="B1707" s="82" t="e">
        <f t="shared" si="206"/>
        <v>#N/A</v>
      </c>
      <c r="C1707" s="58" t="e">
        <f t="shared" si="210"/>
        <v>#N/A</v>
      </c>
      <c r="D1707" s="83" t="e">
        <f t="shared" si="207"/>
        <v>#N/A</v>
      </c>
      <c r="E1707" t="e">
        <f t="shared" si="203"/>
        <v>#N/A</v>
      </c>
      <c r="G1707">
        <v>1657</v>
      </c>
      <c r="H1707" s="13" t="e">
        <f t="shared" si="208"/>
        <v>#N/A</v>
      </c>
      <c r="I1707" t="e">
        <f t="shared" si="209"/>
        <v>#N/A</v>
      </c>
      <c r="J1707" t="e">
        <f t="shared" si="204"/>
        <v>#N/A</v>
      </c>
      <c r="K1707" s="27" t="e">
        <f t="shared" si="205"/>
        <v>#N/A</v>
      </c>
    </row>
    <row r="1708" spans="1:11">
      <c r="A1708" s="26">
        <v>1658</v>
      </c>
      <c r="B1708" s="82" t="e">
        <f t="shared" si="206"/>
        <v>#N/A</v>
      </c>
      <c r="C1708" s="58" t="e">
        <f t="shared" si="210"/>
        <v>#N/A</v>
      </c>
      <c r="D1708" s="83" t="e">
        <f t="shared" si="207"/>
        <v>#N/A</v>
      </c>
      <c r="E1708" t="e">
        <f t="shared" si="203"/>
        <v>#N/A</v>
      </c>
      <c r="G1708">
        <v>1658</v>
      </c>
      <c r="H1708" s="13" t="e">
        <f t="shared" si="208"/>
        <v>#N/A</v>
      </c>
      <c r="I1708" t="e">
        <f t="shared" si="209"/>
        <v>#N/A</v>
      </c>
      <c r="J1708" t="e">
        <f t="shared" si="204"/>
        <v>#N/A</v>
      </c>
      <c r="K1708" s="27" t="e">
        <f t="shared" si="205"/>
        <v>#N/A</v>
      </c>
    </row>
    <row r="1709" spans="1:11">
      <c r="A1709" s="26">
        <v>1659</v>
      </c>
      <c r="B1709" s="82" t="e">
        <f t="shared" si="206"/>
        <v>#N/A</v>
      </c>
      <c r="C1709" s="58" t="e">
        <f t="shared" si="210"/>
        <v>#N/A</v>
      </c>
      <c r="D1709" s="83" t="e">
        <f t="shared" si="207"/>
        <v>#N/A</v>
      </c>
      <c r="E1709" t="e">
        <f t="shared" si="203"/>
        <v>#N/A</v>
      </c>
      <c r="G1709">
        <v>1659</v>
      </c>
      <c r="H1709" s="13" t="e">
        <f t="shared" si="208"/>
        <v>#N/A</v>
      </c>
      <c r="I1709" t="e">
        <f t="shared" si="209"/>
        <v>#N/A</v>
      </c>
      <c r="J1709" t="e">
        <f t="shared" si="204"/>
        <v>#N/A</v>
      </c>
      <c r="K1709" s="27" t="e">
        <f t="shared" si="205"/>
        <v>#N/A</v>
      </c>
    </row>
    <row r="1710" spans="1:11">
      <c r="A1710" s="26">
        <v>1660</v>
      </c>
      <c r="B1710" s="82" t="e">
        <f t="shared" si="206"/>
        <v>#N/A</v>
      </c>
      <c r="C1710" s="58" t="e">
        <f t="shared" si="210"/>
        <v>#N/A</v>
      </c>
      <c r="D1710" s="83" t="e">
        <f t="shared" si="207"/>
        <v>#N/A</v>
      </c>
      <c r="E1710" t="e">
        <f t="shared" si="203"/>
        <v>#N/A</v>
      </c>
      <c r="G1710">
        <v>1660</v>
      </c>
      <c r="H1710" s="13" t="e">
        <f t="shared" si="208"/>
        <v>#N/A</v>
      </c>
      <c r="I1710" t="e">
        <f t="shared" si="209"/>
        <v>#N/A</v>
      </c>
      <c r="J1710" t="e">
        <f t="shared" si="204"/>
        <v>#N/A</v>
      </c>
      <c r="K1710" s="27" t="e">
        <f t="shared" si="205"/>
        <v>#N/A</v>
      </c>
    </row>
    <row r="1711" spans="1:11">
      <c r="A1711" s="26">
        <v>1661</v>
      </c>
      <c r="B1711" s="82" t="e">
        <f t="shared" si="206"/>
        <v>#N/A</v>
      </c>
      <c r="C1711" s="58" t="e">
        <f t="shared" si="210"/>
        <v>#N/A</v>
      </c>
      <c r="D1711" s="83" t="e">
        <f t="shared" si="207"/>
        <v>#N/A</v>
      </c>
      <c r="E1711" t="e">
        <f t="shared" si="203"/>
        <v>#N/A</v>
      </c>
      <c r="G1711">
        <v>1661</v>
      </c>
      <c r="H1711" s="13" t="e">
        <f t="shared" si="208"/>
        <v>#N/A</v>
      </c>
      <c r="I1711" t="e">
        <f t="shared" si="209"/>
        <v>#N/A</v>
      </c>
      <c r="J1711" t="e">
        <f t="shared" si="204"/>
        <v>#N/A</v>
      </c>
      <c r="K1711" s="27" t="e">
        <f t="shared" si="205"/>
        <v>#N/A</v>
      </c>
    </row>
    <row r="1712" spans="1:11">
      <c r="A1712" s="26">
        <v>1662</v>
      </c>
      <c r="B1712" s="82" t="e">
        <f t="shared" si="206"/>
        <v>#N/A</v>
      </c>
      <c r="C1712" s="58" t="e">
        <f t="shared" si="210"/>
        <v>#N/A</v>
      </c>
      <c r="D1712" s="83" t="e">
        <f t="shared" si="207"/>
        <v>#N/A</v>
      </c>
      <c r="E1712" t="e">
        <f t="shared" si="203"/>
        <v>#N/A</v>
      </c>
      <c r="G1712">
        <v>1662</v>
      </c>
      <c r="H1712" s="13" t="e">
        <f t="shared" si="208"/>
        <v>#N/A</v>
      </c>
      <c r="I1712" t="e">
        <f t="shared" si="209"/>
        <v>#N/A</v>
      </c>
      <c r="J1712" t="e">
        <f t="shared" si="204"/>
        <v>#N/A</v>
      </c>
      <c r="K1712" s="27" t="e">
        <f t="shared" si="205"/>
        <v>#N/A</v>
      </c>
    </row>
    <row r="1713" spans="1:11">
      <c r="A1713" s="26">
        <v>1663</v>
      </c>
      <c r="B1713" s="82" t="e">
        <f t="shared" si="206"/>
        <v>#N/A</v>
      </c>
      <c r="C1713" s="58" t="e">
        <f t="shared" si="210"/>
        <v>#N/A</v>
      </c>
      <c r="D1713" s="83" t="e">
        <f t="shared" si="207"/>
        <v>#N/A</v>
      </c>
      <c r="E1713" t="e">
        <f t="shared" si="203"/>
        <v>#N/A</v>
      </c>
      <c r="G1713">
        <v>1663</v>
      </c>
      <c r="H1713" s="13" t="e">
        <f t="shared" si="208"/>
        <v>#N/A</v>
      </c>
      <c r="I1713" t="e">
        <f t="shared" si="209"/>
        <v>#N/A</v>
      </c>
      <c r="J1713" t="e">
        <f t="shared" si="204"/>
        <v>#N/A</v>
      </c>
      <c r="K1713" s="27" t="e">
        <f t="shared" si="205"/>
        <v>#N/A</v>
      </c>
    </row>
    <row r="1714" spans="1:11">
      <c r="A1714" s="26">
        <v>1664</v>
      </c>
      <c r="B1714" s="82" t="e">
        <f t="shared" si="206"/>
        <v>#N/A</v>
      </c>
      <c r="C1714" s="58" t="e">
        <f t="shared" si="210"/>
        <v>#N/A</v>
      </c>
      <c r="D1714" s="83" t="e">
        <f t="shared" si="207"/>
        <v>#N/A</v>
      </c>
      <c r="E1714" t="e">
        <f t="shared" si="203"/>
        <v>#N/A</v>
      </c>
      <c r="G1714">
        <v>1664</v>
      </c>
      <c r="H1714" s="13" t="e">
        <f t="shared" si="208"/>
        <v>#N/A</v>
      </c>
      <c r="I1714" t="e">
        <f t="shared" si="209"/>
        <v>#N/A</v>
      </c>
      <c r="J1714" t="e">
        <f t="shared" si="204"/>
        <v>#N/A</v>
      </c>
      <c r="K1714" s="27" t="e">
        <f t="shared" si="205"/>
        <v>#N/A</v>
      </c>
    </row>
    <row r="1715" spans="1:11">
      <c r="A1715" s="26">
        <v>1665</v>
      </c>
      <c r="B1715" s="82" t="e">
        <f t="shared" si="206"/>
        <v>#N/A</v>
      </c>
      <c r="C1715" s="58" t="e">
        <f t="shared" si="210"/>
        <v>#N/A</v>
      </c>
      <c r="D1715" s="83" t="e">
        <f t="shared" si="207"/>
        <v>#N/A</v>
      </c>
      <c r="E1715" t="e">
        <f t="shared" ref="E1715:E1778" si="211">((D1715^2)+(D1715*D1716)+(D1716^2))*B1716/3</f>
        <v>#N/A</v>
      </c>
      <c r="G1715">
        <v>1665</v>
      </c>
      <c r="H1715" s="13" t="e">
        <f t="shared" si="208"/>
        <v>#N/A</v>
      </c>
      <c r="I1715" t="e">
        <f t="shared" si="209"/>
        <v>#N/A</v>
      </c>
      <c r="J1715" t="e">
        <f t="shared" ref="J1715:J1778" si="212">IF($G$28&lt;$C$14,0,((($C$11^2)-((I1715-$C$13)^2))^0.5)+$C$16)</f>
        <v>#N/A</v>
      </c>
      <c r="K1715" s="27" t="e">
        <f t="shared" ref="K1715:K1778" si="213">((J1715^2)+(J1715*J1716)+(J1716^2))*H1716/3</f>
        <v>#N/A</v>
      </c>
    </row>
    <row r="1716" spans="1:11">
      <c r="A1716" s="26">
        <v>1666</v>
      </c>
      <c r="B1716" s="82" t="e">
        <f t="shared" ref="B1716:B1779" si="214">C1716-C1715</f>
        <v>#N/A</v>
      </c>
      <c r="C1716" s="58" t="e">
        <f t="shared" si="210"/>
        <v>#N/A</v>
      </c>
      <c r="D1716" s="83" t="e">
        <f t="shared" ref="D1716:D1779" si="215">IF($G$28&lt;$C$14,0,((($C$11^2)-((C1716-$C$13)^2))^0.5)+$C$16)</f>
        <v>#N/A</v>
      </c>
      <c r="E1716" t="e">
        <f t="shared" si="211"/>
        <v>#N/A</v>
      </c>
      <c r="G1716">
        <v>1666</v>
      </c>
      <c r="H1716" s="13" t="e">
        <f t="shared" ref="H1716:H1779" si="216">I1716-I1715</f>
        <v>#N/A</v>
      </c>
      <c r="I1716" t="e">
        <f t="shared" ref="I1716:I1779" si="217">($G$27-$C$14)/2000+I1715</f>
        <v>#N/A</v>
      </c>
      <c r="J1716" t="e">
        <f t="shared" si="212"/>
        <v>#N/A</v>
      </c>
      <c r="K1716" s="27" t="e">
        <f t="shared" si="213"/>
        <v>#N/A</v>
      </c>
    </row>
    <row r="1717" spans="1:11">
      <c r="A1717" s="26">
        <v>1667</v>
      </c>
      <c r="B1717" s="82" t="e">
        <f t="shared" si="214"/>
        <v>#N/A</v>
      </c>
      <c r="C1717" s="58" t="e">
        <f t="shared" si="210"/>
        <v>#N/A</v>
      </c>
      <c r="D1717" s="83" t="e">
        <f t="shared" si="215"/>
        <v>#N/A</v>
      </c>
      <c r="E1717" t="e">
        <f t="shared" si="211"/>
        <v>#N/A</v>
      </c>
      <c r="G1717">
        <v>1667</v>
      </c>
      <c r="H1717" s="13" t="e">
        <f t="shared" si="216"/>
        <v>#N/A</v>
      </c>
      <c r="I1717" t="e">
        <f t="shared" si="217"/>
        <v>#N/A</v>
      </c>
      <c r="J1717" t="e">
        <f t="shared" si="212"/>
        <v>#N/A</v>
      </c>
      <c r="K1717" s="27" t="e">
        <f t="shared" si="213"/>
        <v>#N/A</v>
      </c>
    </row>
    <row r="1718" spans="1:11">
      <c r="A1718" s="26">
        <v>1668</v>
      </c>
      <c r="B1718" s="82" t="e">
        <f t="shared" si="214"/>
        <v>#N/A</v>
      </c>
      <c r="C1718" s="58" t="e">
        <f t="shared" si="210"/>
        <v>#N/A</v>
      </c>
      <c r="D1718" s="83" t="e">
        <f t="shared" si="215"/>
        <v>#N/A</v>
      </c>
      <c r="E1718" t="e">
        <f t="shared" si="211"/>
        <v>#N/A</v>
      </c>
      <c r="G1718">
        <v>1668</v>
      </c>
      <c r="H1718" s="13" t="e">
        <f t="shared" si="216"/>
        <v>#N/A</v>
      </c>
      <c r="I1718" t="e">
        <f t="shared" si="217"/>
        <v>#N/A</v>
      </c>
      <c r="J1718" t="e">
        <f t="shared" si="212"/>
        <v>#N/A</v>
      </c>
      <c r="K1718" s="27" t="e">
        <f t="shared" si="213"/>
        <v>#N/A</v>
      </c>
    </row>
    <row r="1719" spans="1:11">
      <c r="A1719" s="26">
        <v>1669</v>
      </c>
      <c r="B1719" s="82" t="e">
        <f t="shared" si="214"/>
        <v>#N/A</v>
      </c>
      <c r="C1719" s="58" t="e">
        <f t="shared" si="210"/>
        <v>#N/A</v>
      </c>
      <c r="D1719" s="83" t="e">
        <f t="shared" si="215"/>
        <v>#N/A</v>
      </c>
      <c r="E1719" t="e">
        <f t="shared" si="211"/>
        <v>#N/A</v>
      </c>
      <c r="G1719">
        <v>1669</v>
      </c>
      <c r="H1719" s="13" t="e">
        <f t="shared" si="216"/>
        <v>#N/A</v>
      </c>
      <c r="I1719" t="e">
        <f t="shared" si="217"/>
        <v>#N/A</v>
      </c>
      <c r="J1719" t="e">
        <f t="shared" si="212"/>
        <v>#N/A</v>
      </c>
      <c r="K1719" s="27" t="e">
        <f t="shared" si="213"/>
        <v>#N/A</v>
      </c>
    </row>
    <row r="1720" spans="1:11">
      <c r="A1720" s="26">
        <v>1670</v>
      </c>
      <c r="B1720" s="82" t="e">
        <f t="shared" si="214"/>
        <v>#N/A</v>
      </c>
      <c r="C1720" s="58" t="e">
        <f t="shared" si="210"/>
        <v>#N/A</v>
      </c>
      <c r="D1720" s="83" t="e">
        <f t="shared" si="215"/>
        <v>#N/A</v>
      </c>
      <c r="E1720" t="e">
        <f t="shared" si="211"/>
        <v>#N/A</v>
      </c>
      <c r="G1720">
        <v>1670</v>
      </c>
      <c r="H1720" s="13" t="e">
        <f t="shared" si="216"/>
        <v>#N/A</v>
      </c>
      <c r="I1720" t="e">
        <f t="shared" si="217"/>
        <v>#N/A</v>
      </c>
      <c r="J1720" t="e">
        <f t="shared" si="212"/>
        <v>#N/A</v>
      </c>
      <c r="K1720" s="27" t="e">
        <f t="shared" si="213"/>
        <v>#N/A</v>
      </c>
    </row>
    <row r="1721" spans="1:11">
      <c r="A1721" s="26">
        <v>1671</v>
      </c>
      <c r="B1721" s="82" t="e">
        <f t="shared" si="214"/>
        <v>#N/A</v>
      </c>
      <c r="C1721" s="58" t="e">
        <f t="shared" si="210"/>
        <v>#N/A</v>
      </c>
      <c r="D1721" s="83" t="e">
        <f t="shared" si="215"/>
        <v>#N/A</v>
      </c>
      <c r="E1721" t="e">
        <f t="shared" si="211"/>
        <v>#N/A</v>
      </c>
      <c r="G1721">
        <v>1671</v>
      </c>
      <c r="H1721" s="13" t="e">
        <f t="shared" si="216"/>
        <v>#N/A</v>
      </c>
      <c r="I1721" t="e">
        <f t="shared" si="217"/>
        <v>#N/A</v>
      </c>
      <c r="J1721" t="e">
        <f t="shared" si="212"/>
        <v>#N/A</v>
      </c>
      <c r="K1721" s="27" t="e">
        <f t="shared" si="213"/>
        <v>#N/A</v>
      </c>
    </row>
    <row r="1722" spans="1:11">
      <c r="A1722" s="26">
        <v>1672</v>
      </c>
      <c r="B1722" s="82" t="e">
        <f t="shared" si="214"/>
        <v>#N/A</v>
      </c>
      <c r="C1722" s="58" t="e">
        <f t="shared" si="210"/>
        <v>#N/A</v>
      </c>
      <c r="D1722" s="83" t="e">
        <f t="shared" si="215"/>
        <v>#N/A</v>
      </c>
      <c r="E1722" t="e">
        <f t="shared" si="211"/>
        <v>#N/A</v>
      </c>
      <c r="G1722">
        <v>1672</v>
      </c>
      <c r="H1722" s="13" t="e">
        <f t="shared" si="216"/>
        <v>#N/A</v>
      </c>
      <c r="I1722" t="e">
        <f t="shared" si="217"/>
        <v>#N/A</v>
      </c>
      <c r="J1722" t="e">
        <f t="shared" si="212"/>
        <v>#N/A</v>
      </c>
      <c r="K1722" s="27" t="e">
        <f t="shared" si="213"/>
        <v>#N/A</v>
      </c>
    </row>
    <row r="1723" spans="1:11">
      <c r="A1723" s="26">
        <v>1673</v>
      </c>
      <c r="B1723" s="82" t="e">
        <f t="shared" si="214"/>
        <v>#N/A</v>
      </c>
      <c r="C1723" s="58" t="e">
        <f t="shared" si="210"/>
        <v>#N/A</v>
      </c>
      <c r="D1723" s="83" t="e">
        <f t="shared" si="215"/>
        <v>#N/A</v>
      </c>
      <c r="E1723" t="e">
        <f t="shared" si="211"/>
        <v>#N/A</v>
      </c>
      <c r="G1723">
        <v>1673</v>
      </c>
      <c r="H1723" s="13" t="e">
        <f t="shared" si="216"/>
        <v>#N/A</v>
      </c>
      <c r="I1723" t="e">
        <f t="shared" si="217"/>
        <v>#N/A</v>
      </c>
      <c r="J1723" t="e">
        <f t="shared" si="212"/>
        <v>#N/A</v>
      </c>
      <c r="K1723" s="27" t="e">
        <f t="shared" si="213"/>
        <v>#N/A</v>
      </c>
    </row>
    <row r="1724" spans="1:11">
      <c r="A1724" s="26">
        <v>1674</v>
      </c>
      <c r="B1724" s="82" t="e">
        <f t="shared" si="214"/>
        <v>#N/A</v>
      </c>
      <c r="C1724" s="58" t="e">
        <f t="shared" si="210"/>
        <v>#N/A</v>
      </c>
      <c r="D1724" s="83" t="e">
        <f t="shared" si="215"/>
        <v>#N/A</v>
      </c>
      <c r="E1724" t="e">
        <f t="shared" si="211"/>
        <v>#N/A</v>
      </c>
      <c r="G1724">
        <v>1674</v>
      </c>
      <c r="H1724" s="13" t="e">
        <f t="shared" si="216"/>
        <v>#N/A</v>
      </c>
      <c r="I1724" t="e">
        <f t="shared" si="217"/>
        <v>#N/A</v>
      </c>
      <c r="J1724" t="e">
        <f t="shared" si="212"/>
        <v>#N/A</v>
      </c>
      <c r="K1724" s="27" t="e">
        <f t="shared" si="213"/>
        <v>#N/A</v>
      </c>
    </row>
    <row r="1725" spans="1:11">
      <c r="A1725" s="26">
        <v>1675</v>
      </c>
      <c r="B1725" s="82" t="e">
        <f t="shared" si="214"/>
        <v>#N/A</v>
      </c>
      <c r="C1725" s="58" t="e">
        <f t="shared" si="210"/>
        <v>#N/A</v>
      </c>
      <c r="D1725" s="83" t="e">
        <f t="shared" si="215"/>
        <v>#N/A</v>
      </c>
      <c r="E1725" t="e">
        <f t="shared" si="211"/>
        <v>#N/A</v>
      </c>
      <c r="G1725">
        <v>1675</v>
      </c>
      <c r="H1725" s="13" t="e">
        <f t="shared" si="216"/>
        <v>#N/A</v>
      </c>
      <c r="I1725" t="e">
        <f t="shared" si="217"/>
        <v>#N/A</v>
      </c>
      <c r="J1725" t="e">
        <f t="shared" si="212"/>
        <v>#N/A</v>
      </c>
      <c r="K1725" s="27" t="e">
        <f t="shared" si="213"/>
        <v>#N/A</v>
      </c>
    </row>
    <row r="1726" spans="1:11">
      <c r="A1726" s="26">
        <v>1676</v>
      </c>
      <c r="B1726" s="82" t="e">
        <f t="shared" si="214"/>
        <v>#N/A</v>
      </c>
      <c r="C1726" s="58" t="e">
        <f t="shared" si="210"/>
        <v>#N/A</v>
      </c>
      <c r="D1726" s="83" t="e">
        <f t="shared" si="215"/>
        <v>#N/A</v>
      </c>
      <c r="E1726" t="e">
        <f t="shared" si="211"/>
        <v>#N/A</v>
      </c>
      <c r="G1726">
        <v>1676</v>
      </c>
      <c r="H1726" s="13" t="e">
        <f t="shared" si="216"/>
        <v>#N/A</v>
      </c>
      <c r="I1726" t="e">
        <f t="shared" si="217"/>
        <v>#N/A</v>
      </c>
      <c r="J1726" t="e">
        <f t="shared" si="212"/>
        <v>#N/A</v>
      </c>
      <c r="K1726" s="27" t="e">
        <f t="shared" si="213"/>
        <v>#N/A</v>
      </c>
    </row>
    <row r="1727" spans="1:11">
      <c r="A1727" s="26">
        <v>1677</v>
      </c>
      <c r="B1727" s="82" t="e">
        <f t="shared" si="214"/>
        <v>#N/A</v>
      </c>
      <c r="C1727" s="58" t="e">
        <f t="shared" si="210"/>
        <v>#N/A</v>
      </c>
      <c r="D1727" s="83" t="e">
        <f t="shared" si="215"/>
        <v>#N/A</v>
      </c>
      <c r="E1727" t="e">
        <f t="shared" si="211"/>
        <v>#N/A</v>
      </c>
      <c r="G1727">
        <v>1677</v>
      </c>
      <c r="H1727" s="13" t="e">
        <f t="shared" si="216"/>
        <v>#N/A</v>
      </c>
      <c r="I1727" t="e">
        <f t="shared" si="217"/>
        <v>#N/A</v>
      </c>
      <c r="J1727" t="e">
        <f t="shared" si="212"/>
        <v>#N/A</v>
      </c>
      <c r="K1727" s="27" t="e">
        <f t="shared" si="213"/>
        <v>#N/A</v>
      </c>
    </row>
    <row r="1728" spans="1:11">
      <c r="A1728" s="26">
        <v>1678</v>
      </c>
      <c r="B1728" s="82" t="e">
        <f t="shared" si="214"/>
        <v>#N/A</v>
      </c>
      <c r="C1728" s="58" t="e">
        <f t="shared" si="210"/>
        <v>#N/A</v>
      </c>
      <c r="D1728" s="83" t="e">
        <f t="shared" si="215"/>
        <v>#N/A</v>
      </c>
      <c r="E1728" t="e">
        <f t="shared" si="211"/>
        <v>#N/A</v>
      </c>
      <c r="G1728">
        <v>1678</v>
      </c>
      <c r="H1728" s="13" t="e">
        <f t="shared" si="216"/>
        <v>#N/A</v>
      </c>
      <c r="I1728" t="e">
        <f t="shared" si="217"/>
        <v>#N/A</v>
      </c>
      <c r="J1728" t="e">
        <f t="shared" si="212"/>
        <v>#N/A</v>
      </c>
      <c r="K1728" s="27" t="e">
        <f t="shared" si="213"/>
        <v>#N/A</v>
      </c>
    </row>
    <row r="1729" spans="1:11">
      <c r="A1729" s="26">
        <v>1679</v>
      </c>
      <c r="B1729" s="82" t="e">
        <f t="shared" si="214"/>
        <v>#N/A</v>
      </c>
      <c r="C1729" s="58" t="e">
        <f t="shared" si="210"/>
        <v>#N/A</v>
      </c>
      <c r="D1729" s="83" t="e">
        <f t="shared" si="215"/>
        <v>#N/A</v>
      </c>
      <c r="E1729" t="e">
        <f t="shared" si="211"/>
        <v>#N/A</v>
      </c>
      <c r="G1729">
        <v>1679</v>
      </c>
      <c r="H1729" s="13" t="e">
        <f t="shared" si="216"/>
        <v>#N/A</v>
      </c>
      <c r="I1729" t="e">
        <f t="shared" si="217"/>
        <v>#N/A</v>
      </c>
      <c r="J1729" t="e">
        <f t="shared" si="212"/>
        <v>#N/A</v>
      </c>
      <c r="K1729" s="27" t="e">
        <f t="shared" si="213"/>
        <v>#N/A</v>
      </c>
    </row>
    <row r="1730" spans="1:11">
      <c r="A1730" s="26">
        <v>1680</v>
      </c>
      <c r="B1730" s="82" t="e">
        <f t="shared" si="214"/>
        <v>#N/A</v>
      </c>
      <c r="C1730" s="58" t="e">
        <f t="shared" si="210"/>
        <v>#N/A</v>
      </c>
      <c r="D1730" s="83" t="e">
        <f t="shared" si="215"/>
        <v>#N/A</v>
      </c>
      <c r="E1730" t="e">
        <f t="shared" si="211"/>
        <v>#N/A</v>
      </c>
      <c r="G1730">
        <v>1680</v>
      </c>
      <c r="H1730" s="13" t="e">
        <f t="shared" si="216"/>
        <v>#N/A</v>
      </c>
      <c r="I1730" t="e">
        <f t="shared" si="217"/>
        <v>#N/A</v>
      </c>
      <c r="J1730" t="e">
        <f t="shared" si="212"/>
        <v>#N/A</v>
      </c>
      <c r="K1730" s="27" t="e">
        <f t="shared" si="213"/>
        <v>#N/A</v>
      </c>
    </row>
    <row r="1731" spans="1:11">
      <c r="A1731" s="26">
        <v>1681</v>
      </c>
      <c r="B1731" s="82" t="e">
        <f t="shared" si="214"/>
        <v>#N/A</v>
      </c>
      <c r="C1731" s="58" t="e">
        <f t="shared" si="210"/>
        <v>#N/A</v>
      </c>
      <c r="D1731" s="83" t="e">
        <f t="shared" si="215"/>
        <v>#N/A</v>
      </c>
      <c r="E1731" t="e">
        <f t="shared" si="211"/>
        <v>#N/A</v>
      </c>
      <c r="G1731">
        <v>1681</v>
      </c>
      <c r="H1731" s="13" t="e">
        <f t="shared" si="216"/>
        <v>#N/A</v>
      </c>
      <c r="I1731" t="e">
        <f t="shared" si="217"/>
        <v>#N/A</v>
      </c>
      <c r="J1731" t="e">
        <f t="shared" si="212"/>
        <v>#N/A</v>
      </c>
      <c r="K1731" s="27" t="e">
        <f t="shared" si="213"/>
        <v>#N/A</v>
      </c>
    </row>
    <row r="1732" spans="1:11">
      <c r="A1732" s="26">
        <v>1682</v>
      </c>
      <c r="B1732" s="82" t="e">
        <f t="shared" si="214"/>
        <v>#N/A</v>
      </c>
      <c r="C1732" s="58" t="e">
        <f t="shared" si="210"/>
        <v>#N/A</v>
      </c>
      <c r="D1732" s="83" t="e">
        <f t="shared" si="215"/>
        <v>#N/A</v>
      </c>
      <c r="E1732" t="e">
        <f t="shared" si="211"/>
        <v>#N/A</v>
      </c>
      <c r="G1732">
        <v>1682</v>
      </c>
      <c r="H1732" s="13" t="e">
        <f t="shared" si="216"/>
        <v>#N/A</v>
      </c>
      <c r="I1732" t="e">
        <f t="shared" si="217"/>
        <v>#N/A</v>
      </c>
      <c r="J1732" t="e">
        <f t="shared" si="212"/>
        <v>#N/A</v>
      </c>
      <c r="K1732" s="27" t="e">
        <f t="shared" si="213"/>
        <v>#N/A</v>
      </c>
    </row>
    <row r="1733" spans="1:11">
      <c r="A1733" s="26">
        <v>1683</v>
      </c>
      <c r="B1733" s="82" t="e">
        <f t="shared" si="214"/>
        <v>#N/A</v>
      </c>
      <c r="C1733" s="58" t="e">
        <f t="shared" si="210"/>
        <v>#N/A</v>
      </c>
      <c r="D1733" s="83" t="e">
        <f t="shared" si="215"/>
        <v>#N/A</v>
      </c>
      <c r="E1733" t="e">
        <f t="shared" si="211"/>
        <v>#N/A</v>
      </c>
      <c r="G1733">
        <v>1683</v>
      </c>
      <c r="H1733" s="13" t="e">
        <f t="shared" si="216"/>
        <v>#N/A</v>
      </c>
      <c r="I1733" t="e">
        <f t="shared" si="217"/>
        <v>#N/A</v>
      </c>
      <c r="J1733" t="e">
        <f t="shared" si="212"/>
        <v>#N/A</v>
      </c>
      <c r="K1733" s="27" t="e">
        <f t="shared" si="213"/>
        <v>#N/A</v>
      </c>
    </row>
    <row r="1734" spans="1:11">
      <c r="A1734" s="26">
        <v>1684</v>
      </c>
      <c r="B1734" s="82" t="e">
        <f t="shared" si="214"/>
        <v>#N/A</v>
      </c>
      <c r="C1734" s="58" t="e">
        <f t="shared" si="210"/>
        <v>#N/A</v>
      </c>
      <c r="D1734" s="83" t="e">
        <f t="shared" si="215"/>
        <v>#N/A</v>
      </c>
      <c r="E1734" t="e">
        <f t="shared" si="211"/>
        <v>#N/A</v>
      </c>
      <c r="G1734">
        <v>1684</v>
      </c>
      <c r="H1734" s="13" t="e">
        <f t="shared" si="216"/>
        <v>#N/A</v>
      </c>
      <c r="I1734" t="e">
        <f t="shared" si="217"/>
        <v>#N/A</v>
      </c>
      <c r="J1734" t="e">
        <f t="shared" si="212"/>
        <v>#N/A</v>
      </c>
      <c r="K1734" s="27" t="e">
        <f t="shared" si="213"/>
        <v>#N/A</v>
      </c>
    </row>
    <row r="1735" spans="1:11">
      <c r="A1735" s="26">
        <v>1685</v>
      </c>
      <c r="B1735" s="82" t="e">
        <f t="shared" si="214"/>
        <v>#N/A</v>
      </c>
      <c r="C1735" s="58" t="e">
        <f t="shared" si="210"/>
        <v>#N/A</v>
      </c>
      <c r="D1735" s="83" t="e">
        <f t="shared" si="215"/>
        <v>#N/A</v>
      </c>
      <c r="E1735" t="e">
        <f t="shared" si="211"/>
        <v>#N/A</v>
      </c>
      <c r="G1735">
        <v>1685</v>
      </c>
      <c r="H1735" s="13" t="e">
        <f t="shared" si="216"/>
        <v>#N/A</v>
      </c>
      <c r="I1735" t="e">
        <f t="shared" si="217"/>
        <v>#N/A</v>
      </c>
      <c r="J1735" t="e">
        <f t="shared" si="212"/>
        <v>#N/A</v>
      </c>
      <c r="K1735" s="27" t="e">
        <f t="shared" si="213"/>
        <v>#N/A</v>
      </c>
    </row>
    <row r="1736" spans="1:11">
      <c r="A1736" s="26">
        <v>1686</v>
      </c>
      <c r="B1736" s="82" t="e">
        <f t="shared" si="214"/>
        <v>#N/A</v>
      </c>
      <c r="C1736" s="58" t="e">
        <f t="shared" si="210"/>
        <v>#N/A</v>
      </c>
      <c r="D1736" s="83" t="e">
        <f t="shared" si="215"/>
        <v>#N/A</v>
      </c>
      <c r="E1736" t="e">
        <f t="shared" si="211"/>
        <v>#N/A</v>
      </c>
      <c r="G1736">
        <v>1686</v>
      </c>
      <c r="H1736" s="13" t="e">
        <f t="shared" si="216"/>
        <v>#N/A</v>
      </c>
      <c r="I1736" t="e">
        <f t="shared" si="217"/>
        <v>#N/A</v>
      </c>
      <c r="J1736" t="e">
        <f t="shared" si="212"/>
        <v>#N/A</v>
      </c>
      <c r="K1736" s="27" t="e">
        <f t="shared" si="213"/>
        <v>#N/A</v>
      </c>
    </row>
    <row r="1737" spans="1:11">
      <c r="A1737" s="26">
        <v>1687</v>
      </c>
      <c r="B1737" s="82" t="e">
        <f t="shared" si="214"/>
        <v>#N/A</v>
      </c>
      <c r="C1737" s="58" t="e">
        <f t="shared" si="210"/>
        <v>#N/A</v>
      </c>
      <c r="D1737" s="83" t="e">
        <f t="shared" si="215"/>
        <v>#N/A</v>
      </c>
      <c r="E1737" t="e">
        <f t="shared" si="211"/>
        <v>#N/A</v>
      </c>
      <c r="G1737">
        <v>1687</v>
      </c>
      <c r="H1737" s="13" t="e">
        <f t="shared" si="216"/>
        <v>#N/A</v>
      </c>
      <c r="I1737" t="e">
        <f t="shared" si="217"/>
        <v>#N/A</v>
      </c>
      <c r="J1737" t="e">
        <f t="shared" si="212"/>
        <v>#N/A</v>
      </c>
      <c r="K1737" s="27" t="e">
        <f t="shared" si="213"/>
        <v>#N/A</v>
      </c>
    </row>
    <row r="1738" spans="1:11">
      <c r="A1738" s="26">
        <v>1688</v>
      </c>
      <c r="B1738" s="82" t="e">
        <f t="shared" si="214"/>
        <v>#N/A</v>
      </c>
      <c r="C1738" s="58" t="e">
        <f t="shared" si="210"/>
        <v>#N/A</v>
      </c>
      <c r="D1738" s="83" t="e">
        <f t="shared" si="215"/>
        <v>#N/A</v>
      </c>
      <c r="E1738" t="e">
        <f t="shared" si="211"/>
        <v>#N/A</v>
      </c>
      <c r="G1738">
        <v>1688</v>
      </c>
      <c r="H1738" s="13" t="e">
        <f t="shared" si="216"/>
        <v>#N/A</v>
      </c>
      <c r="I1738" t="e">
        <f t="shared" si="217"/>
        <v>#N/A</v>
      </c>
      <c r="J1738" t="e">
        <f t="shared" si="212"/>
        <v>#N/A</v>
      </c>
      <c r="K1738" s="27" t="e">
        <f t="shared" si="213"/>
        <v>#N/A</v>
      </c>
    </row>
    <row r="1739" spans="1:11">
      <c r="A1739" s="26">
        <v>1689</v>
      </c>
      <c r="B1739" s="82" t="e">
        <f t="shared" si="214"/>
        <v>#N/A</v>
      </c>
      <c r="C1739" s="58" t="e">
        <f t="shared" si="210"/>
        <v>#N/A</v>
      </c>
      <c r="D1739" s="83" t="e">
        <f t="shared" si="215"/>
        <v>#N/A</v>
      </c>
      <c r="E1739" t="e">
        <f t="shared" si="211"/>
        <v>#N/A</v>
      </c>
      <c r="G1739">
        <v>1689</v>
      </c>
      <c r="H1739" s="13" t="e">
        <f t="shared" si="216"/>
        <v>#N/A</v>
      </c>
      <c r="I1739" t="e">
        <f t="shared" si="217"/>
        <v>#N/A</v>
      </c>
      <c r="J1739" t="e">
        <f t="shared" si="212"/>
        <v>#N/A</v>
      </c>
      <c r="K1739" s="27" t="e">
        <f t="shared" si="213"/>
        <v>#N/A</v>
      </c>
    </row>
    <row r="1740" spans="1:11">
      <c r="A1740" s="26">
        <v>1690</v>
      </c>
      <c r="B1740" s="82" t="e">
        <f t="shared" si="214"/>
        <v>#N/A</v>
      </c>
      <c r="C1740" s="58" t="e">
        <f t="shared" si="210"/>
        <v>#N/A</v>
      </c>
      <c r="D1740" s="83" t="e">
        <f t="shared" si="215"/>
        <v>#N/A</v>
      </c>
      <c r="E1740" t="e">
        <f t="shared" si="211"/>
        <v>#N/A</v>
      </c>
      <c r="G1740">
        <v>1690</v>
      </c>
      <c r="H1740" s="13" t="e">
        <f t="shared" si="216"/>
        <v>#N/A</v>
      </c>
      <c r="I1740" t="e">
        <f t="shared" si="217"/>
        <v>#N/A</v>
      </c>
      <c r="J1740" t="e">
        <f t="shared" si="212"/>
        <v>#N/A</v>
      </c>
      <c r="K1740" s="27" t="e">
        <f t="shared" si="213"/>
        <v>#N/A</v>
      </c>
    </row>
    <row r="1741" spans="1:11">
      <c r="A1741" s="26">
        <v>1691</v>
      </c>
      <c r="B1741" s="82" t="e">
        <f t="shared" si="214"/>
        <v>#N/A</v>
      </c>
      <c r="C1741" s="58" t="e">
        <f t="shared" si="210"/>
        <v>#N/A</v>
      </c>
      <c r="D1741" s="83" t="e">
        <f t="shared" si="215"/>
        <v>#N/A</v>
      </c>
      <c r="E1741" t="e">
        <f t="shared" si="211"/>
        <v>#N/A</v>
      </c>
      <c r="G1741">
        <v>1691</v>
      </c>
      <c r="H1741" s="13" t="e">
        <f t="shared" si="216"/>
        <v>#N/A</v>
      </c>
      <c r="I1741" t="e">
        <f t="shared" si="217"/>
        <v>#N/A</v>
      </c>
      <c r="J1741" t="e">
        <f t="shared" si="212"/>
        <v>#N/A</v>
      </c>
      <c r="K1741" s="27" t="e">
        <f t="shared" si="213"/>
        <v>#N/A</v>
      </c>
    </row>
    <row r="1742" spans="1:11">
      <c r="A1742" s="26">
        <v>1692</v>
      </c>
      <c r="B1742" s="82" t="e">
        <f t="shared" si="214"/>
        <v>#N/A</v>
      </c>
      <c r="C1742" s="58" t="e">
        <f t="shared" si="210"/>
        <v>#N/A</v>
      </c>
      <c r="D1742" s="83" t="e">
        <f t="shared" si="215"/>
        <v>#N/A</v>
      </c>
      <c r="E1742" t="e">
        <f t="shared" si="211"/>
        <v>#N/A</v>
      </c>
      <c r="G1742">
        <v>1692</v>
      </c>
      <c r="H1742" s="13" t="e">
        <f t="shared" si="216"/>
        <v>#N/A</v>
      </c>
      <c r="I1742" t="e">
        <f t="shared" si="217"/>
        <v>#N/A</v>
      </c>
      <c r="J1742" t="e">
        <f t="shared" si="212"/>
        <v>#N/A</v>
      </c>
      <c r="K1742" s="27" t="e">
        <f t="shared" si="213"/>
        <v>#N/A</v>
      </c>
    </row>
    <row r="1743" spans="1:11">
      <c r="A1743" s="26">
        <v>1693</v>
      </c>
      <c r="B1743" s="82" t="e">
        <f t="shared" si="214"/>
        <v>#N/A</v>
      </c>
      <c r="C1743" s="58" t="e">
        <f t="shared" si="210"/>
        <v>#N/A</v>
      </c>
      <c r="D1743" s="83" t="e">
        <f t="shared" si="215"/>
        <v>#N/A</v>
      </c>
      <c r="E1743" t="e">
        <f t="shared" si="211"/>
        <v>#N/A</v>
      </c>
      <c r="G1743">
        <v>1693</v>
      </c>
      <c r="H1743" s="13" t="e">
        <f t="shared" si="216"/>
        <v>#N/A</v>
      </c>
      <c r="I1743" t="e">
        <f t="shared" si="217"/>
        <v>#N/A</v>
      </c>
      <c r="J1743" t="e">
        <f t="shared" si="212"/>
        <v>#N/A</v>
      </c>
      <c r="K1743" s="27" t="e">
        <f t="shared" si="213"/>
        <v>#N/A</v>
      </c>
    </row>
    <row r="1744" spans="1:11">
      <c r="A1744" s="26">
        <v>1694</v>
      </c>
      <c r="B1744" s="82" t="e">
        <f t="shared" si="214"/>
        <v>#N/A</v>
      </c>
      <c r="C1744" s="58" t="e">
        <f t="shared" ref="C1744:C1807" si="218">($C$37-$C$36)/2000+C1743</f>
        <v>#N/A</v>
      </c>
      <c r="D1744" s="83" t="e">
        <f t="shared" si="215"/>
        <v>#N/A</v>
      </c>
      <c r="E1744" t="e">
        <f t="shared" si="211"/>
        <v>#N/A</v>
      </c>
      <c r="G1744">
        <v>1694</v>
      </c>
      <c r="H1744" s="13" t="e">
        <f t="shared" si="216"/>
        <v>#N/A</v>
      </c>
      <c r="I1744" t="e">
        <f t="shared" si="217"/>
        <v>#N/A</v>
      </c>
      <c r="J1744" t="e">
        <f t="shared" si="212"/>
        <v>#N/A</v>
      </c>
      <c r="K1744" s="27" t="e">
        <f t="shared" si="213"/>
        <v>#N/A</v>
      </c>
    </row>
    <row r="1745" spans="1:11">
      <c r="A1745" s="26">
        <v>1695</v>
      </c>
      <c r="B1745" s="82" t="e">
        <f t="shared" si="214"/>
        <v>#N/A</v>
      </c>
      <c r="C1745" s="58" t="e">
        <f t="shared" si="218"/>
        <v>#N/A</v>
      </c>
      <c r="D1745" s="83" t="e">
        <f t="shared" si="215"/>
        <v>#N/A</v>
      </c>
      <c r="E1745" t="e">
        <f t="shared" si="211"/>
        <v>#N/A</v>
      </c>
      <c r="G1745">
        <v>1695</v>
      </c>
      <c r="H1745" s="13" t="e">
        <f t="shared" si="216"/>
        <v>#N/A</v>
      </c>
      <c r="I1745" t="e">
        <f t="shared" si="217"/>
        <v>#N/A</v>
      </c>
      <c r="J1745" t="e">
        <f t="shared" si="212"/>
        <v>#N/A</v>
      </c>
      <c r="K1745" s="27" t="e">
        <f t="shared" si="213"/>
        <v>#N/A</v>
      </c>
    </row>
    <row r="1746" spans="1:11">
      <c r="A1746" s="26">
        <v>1696</v>
      </c>
      <c r="B1746" s="82" t="e">
        <f t="shared" si="214"/>
        <v>#N/A</v>
      </c>
      <c r="C1746" s="58" t="e">
        <f t="shared" si="218"/>
        <v>#N/A</v>
      </c>
      <c r="D1746" s="83" t="e">
        <f t="shared" si="215"/>
        <v>#N/A</v>
      </c>
      <c r="E1746" t="e">
        <f t="shared" si="211"/>
        <v>#N/A</v>
      </c>
      <c r="G1746">
        <v>1696</v>
      </c>
      <c r="H1746" s="13" t="e">
        <f t="shared" si="216"/>
        <v>#N/A</v>
      </c>
      <c r="I1746" t="e">
        <f t="shared" si="217"/>
        <v>#N/A</v>
      </c>
      <c r="J1746" t="e">
        <f t="shared" si="212"/>
        <v>#N/A</v>
      </c>
      <c r="K1746" s="27" t="e">
        <f t="shared" si="213"/>
        <v>#N/A</v>
      </c>
    </row>
    <row r="1747" spans="1:11">
      <c r="A1747" s="26">
        <v>1697</v>
      </c>
      <c r="B1747" s="82" t="e">
        <f t="shared" si="214"/>
        <v>#N/A</v>
      </c>
      <c r="C1747" s="58" t="e">
        <f t="shared" si="218"/>
        <v>#N/A</v>
      </c>
      <c r="D1747" s="83" t="e">
        <f t="shared" si="215"/>
        <v>#N/A</v>
      </c>
      <c r="E1747" t="e">
        <f t="shared" si="211"/>
        <v>#N/A</v>
      </c>
      <c r="G1747">
        <v>1697</v>
      </c>
      <c r="H1747" s="13" t="e">
        <f t="shared" si="216"/>
        <v>#N/A</v>
      </c>
      <c r="I1747" t="e">
        <f t="shared" si="217"/>
        <v>#N/A</v>
      </c>
      <c r="J1747" t="e">
        <f t="shared" si="212"/>
        <v>#N/A</v>
      </c>
      <c r="K1747" s="27" t="e">
        <f t="shared" si="213"/>
        <v>#N/A</v>
      </c>
    </row>
    <row r="1748" spans="1:11">
      <c r="A1748" s="26">
        <v>1698</v>
      </c>
      <c r="B1748" s="82" t="e">
        <f t="shared" si="214"/>
        <v>#N/A</v>
      </c>
      <c r="C1748" s="58" t="e">
        <f t="shared" si="218"/>
        <v>#N/A</v>
      </c>
      <c r="D1748" s="83" t="e">
        <f t="shared" si="215"/>
        <v>#N/A</v>
      </c>
      <c r="E1748" t="e">
        <f t="shared" si="211"/>
        <v>#N/A</v>
      </c>
      <c r="G1748">
        <v>1698</v>
      </c>
      <c r="H1748" s="13" t="e">
        <f t="shared" si="216"/>
        <v>#N/A</v>
      </c>
      <c r="I1748" t="e">
        <f t="shared" si="217"/>
        <v>#N/A</v>
      </c>
      <c r="J1748" t="e">
        <f t="shared" si="212"/>
        <v>#N/A</v>
      </c>
      <c r="K1748" s="27" t="e">
        <f t="shared" si="213"/>
        <v>#N/A</v>
      </c>
    </row>
    <row r="1749" spans="1:11">
      <c r="A1749" s="26">
        <v>1699</v>
      </c>
      <c r="B1749" s="82" t="e">
        <f t="shared" si="214"/>
        <v>#N/A</v>
      </c>
      <c r="C1749" s="58" t="e">
        <f t="shared" si="218"/>
        <v>#N/A</v>
      </c>
      <c r="D1749" s="83" t="e">
        <f t="shared" si="215"/>
        <v>#N/A</v>
      </c>
      <c r="E1749" t="e">
        <f t="shared" si="211"/>
        <v>#N/A</v>
      </c>
      <c r="G1749">
        <v>1699</v>
      </c>
      <c r="H1749" s="13" t="e">
        <f t="shared" si="216"/>
        <v>#N/A</v>
      </c>
      <c r="I1749" t="e">
        <f t="shared" si="217"/>
        <v>#N/A</v>
      </c>
      <c r="J1749" t="e">
        <f t="shared" si="212"/>
        <v>#N/A</v>
      </c>
      <c r="K1749" s="27" t="e">
        <f t="shared" si="213"/>
        <v>#N/A</v>
      </c>
    </row>
    <row r="1750" spans="1:11">
      <c r="A1750" s="26">
        <v>1700</v>
      </c>
      <c r="B1750" s="82" t="e">
        <f t="shared" si="214"/>
        <v>#N/A</v>
      </c>
      <c r="C1750" s="58" t="e">
        <f t="shared" si="218"/>
        <v>#N/A</v>
      </c>
      <c r="D1750" s="83" t="e">
        <f t="shared" si="215"/>
        <v>#N/A</v>
      </c>
      <c r="E1750" t="e">
        <f t="shared" si="211"/>
        <v>#N/A</v>
      </c>
      <c r="G1750">
        <v>1700</v>
      </c>
      <c r="H1750" s="13" t="e">
        <f t="shared" si="216"/>
        <v>#N/A</v>
      </c>
      <c r="I1750" t="e">
        <f t="shared" si="217"/>
        <v>#N/A</v>
      </c>
      <c r="J1750" t="e">
        <f t="shared" si="212"/>
        <v>#N/A</v>
      </c>
      <c r="K1750" s="27" t="e">
        <f t="shared" si="213"/>
        <v>#N/A</v>
      </c>
    </row>
    <row r="1751" spans="1:11">
      <c r="A1751" s="26">
        <v>1701</v>
      </c>
      <c r="B1751" s="82" t="e">
        <f t="shared" si="214"/>
        <v>#N/A</v>
      </c>
      <c r="C1751" s="58" t="e">
        <f t="shared" si="218"/>
        <v>#N/A</v>
      </c>
      <c r="D1751" s="83" t="e">
        <f t="shared" si="215"/>
        <v>#N/A</v>
      </c>
      <c r="E1751" t="e">
        <f t="shared" si="211"/>
        <v>#N/A</v>
      </c>
      <c r="G1751">
        <v>1701</v>
      </c>
      <c r="H1751" s="13" t="e">
        <f t="shared" si="216"/>
        <v>#N/A</v>
      </c>
      <c r="I1751" t="e">
        <f t="shared" si="217"/>
        <v>#N/A</v>
      </c>
      <c r="J1751" t="e">
        <f t="shared" si="212"/>
        <v>#N/A</v>
      </c>
      <c r="K1751" s="27" t="e">
        <f t="shared" si="213"/>
        <v>#N/A</v>
      </c>
    </row>
    <row r="1752" spans="1:11">
      <c r="A1752" s="26">
        <v>1702</v>
      </c>
      <c r="B1752" s="82" t="e">
        <f t="shared" si="214"/>
        <v>#N/A</v>
      </c>
      <c r="C1752" s="58" t="e">
        <f t="shared" si="218"/>
        <v>#N/A</v>
      </c>
      <c r="D1752" s="83" t="e">
        <f t="shared" si="215"/>
        <v>#N/A</v>
      </c>
      <c r="E1752" t="e">
        <f t="shared" si="211"/>
        <v>#N/A</v>
      </c>
      <c r="G1752">
        <v>1702</v>
      </c>
      <c r="H1752" s="13" t="e">
        <f t="shared" si="216"/>
        <v>#N/A</v>
      </c>
      <c r="I1752" t="e">
        <f t="shared" si="217"/>
        <v>#N/A</v>
      </c>
      <c r="J1752" t="e">
        <f t="shared" si="212"/>
        <v>#N/A</v>
      </c>
      <c r="K1752" s="27" t="e">
        <f t="shared" si="213"/>
        <v>#N/A</v>
      </c>
    </row>
    <row r="1753" spans="1:11">
      <c r="A1753" s="26">
        <v>1703</v>
      </c>
      <c r="B1753" s="82" t="e">
        <f t="shared" si="214"/>
        <v>#N/A</v>
      </c>
      <c r="C1753" s="58" t="e">
        <f t="shared" si="218"/>
        <v>#N/A</v>
      </c>
      <c r="D1753" s="83" t="e">
        <f t="shared" si="215"/>
        <v>#N/A</v>
      </c>
      <c r="E1753" t="e">
        <f t="shared" si="211"/>
        <v>#N/A</v>
      </c>
      <c r="G1753">
        <v>1703</v>
      </c>
      <c r="H1753" s="13" t="e">
        <f t="shared" si="216"/>
        <v>#N/A</v>
      </c>
      <c r="I1753" t="e">
        <f t="shared" si="217"/>
        <v>#N/A</v>
      </c>
      <c r="J1753" t="e">
        <f t="shared" si="212"/>
        <v>#N/A</v>
      </c>
      <c r="K1753" s="27" t="e">
        <f t="shared" si="213"/>
        <v>#N/A</v>
      </c>
    </row>
    <row r="1754" spans="1:11">
      <c r="A1754" s="26">
        <v>1704</v>
      </c>
      <c r="B1754" s="82" t="e">
        <f t="shared" si="214"/>
        <v>#N/A</v>
      </c>
      <c r="C1754" s="58" t="e">
        <f t="shared" si="218"/>
        <v>#N/A</v>
      </c>
      <c r="D1754" s="83" t="e">
        <f t="shared" si="215"/>
        <v>#N/A</v>
      </c>
      <c r="E1754" t="e">
        <f t="shared" si="211"/>
        <v>#N/A</v>
      </c>
      <c r="G1754">
        <v>1704</v>
      </c>
      <c r="H1754" s="13" t="e">
        <f t="shared" si="216"/>
        <v>#N/A</v>
      </c>
      <c r="I1754" t="e">
        <f t="shared" si="217"/>
        <v>#N/A</v>
      </c>
      <c r="J1754" t="e">
        <f t="shared" si="212"/>
        <v>#N/A</v>
      </c>
      <c r="K1754" s="27" t="e">
        <f t="shared" si="213"/>
        <v>#N/A</v>
      </c>
    </row>
    <row r="1755" spans="1:11">
      <c r="A1755" s="26">
        <v>1705</v>
      </c>
      <c r="B1755" s="82" t="e">
        <f t="shared" si="214"/>
        <v>#N/A</v>
      </c>
      <c r="C1755" s="58" t="e">
        <f t="shared" si="218"/>
        <v>#N/A</v>
      </c>
      <c r="D1755" s="83" t="e">
        <f t="shared" si="215"/>
        <v>#N/A</v>
      </c>
      <c r="E1755" t="e">
        <f t="shared" si="211"/>
        <v>#N/A</v>
      </c>
      <c r="G1755">
        <v>1705</v>
      </c>
      <c r="H1755" s="13" t="e">
        <f t="shared" si="216"/>
        <v>#N/A</v>
      </c>
      <c r="I1755" t="e">
        <f t="shared" si="217"/>
        <v>#N/A</v>
      </c>
      <c r="J1755" t="e">
        <f t="shared" si="212"/>
        <v>#N/A</v>
      </c>
      <c r="K1755" s="27" t="e">
        <f t="shared" si="213"/>
        <v>#N/A</v>
      </c>
    </row>
    <row r="1756" spans="1:11">
      <c r="A1756" s="26">
        <v>1706</v>
      </c>
      <c r="B1756" s="82" t="e">
        <f t="shared" si="214"/>
        <v>#N/A</v>
      </c>
      <c r="C1756" s="58" t="e">
        <f t="shared" si="218"/>
        <v>#N/A</v>
      </c>
      <c r="D1756" s="83" t="e">
        <f t="shared" si="215"/>
        <v>#N/A</v>
      </c>
      <c r="E1756" t="e">
        <f t="shared" si="211"/>
        <v>#N/A</v>
      </c>
      <c r="G1756">
        <v>1706</v>
      </c>
      <c r="H1756" s="13" t="e">
        <f t="shared" si="216"/>
        <v>#N/A</v>
      </c>
      <c r="I1756" t="e">
        <f t="shared" si="217"/>
        <v>#N/A</v>
      </c>
      <c r="J1756" t="e">
        <f t="shared" si="212"/>
        <v>#N/A</v>
      </c>
      <c r="K1756" s="27" t="e">
        <f t="shared" si="213"/>
        <v>#N/A</v>
      </c>
    </row>
    <row r="1757" spans="1:11">
      <c r="A1757" s="26">
        <v>1707</v>
      </c>
      <c r="B1757" s="82" t="e">
        <f t="shared" si="214"/>
        <v>#N/A</v>
      </c>
      <c r="C1757" s="58" t="e">
        <f t="shared" si="218"/>
        <v>#N/A</v>
      </c>
      <c r="D1757" s="83" t="e">
        <f t="shared" si="215"/>
        <v>#N/A</v>
      </c>
      <c r="E1757" t="e">
        <f t="shared" si="211"/>
        <v>#N/A</v>
      </c>
      <c r="G1757">
        <v>1707</v>
      </c>
      <c r="H1757" s="13" t="e">
        <f t="shared" si="216"/>
        <v>#N/A</v>
      </c>
      <c r="I1757" t="e">
        <f t="shared" si="217"/>
        <v>#N/A</v>
      </c>
      <c r="J1757" t="e">
        <f t="shared" si="212"/>
        <v>#N/A</v>
      </c>
      <c r="K1757" s="27" t="e">
        <f t="shared" si="213"/>
        <v>#N/A</v>
      </c>
    </row>
    <row r="1758" spans="1:11">
      <c r="A1758" s="26">
        <v>1708</v>
      </c>
      <c r="B1758" s="82" t="e">
        <f t="shared" si="214"/>
        <v>#N/A</v>
      </c>
      <c r="C1758" s="58" t="e">
        <f t="shared" si="218"/>
        <v>#N/A</v>
      </c>
      <c r="D1758" s="83" t="e">
        <f t="shared" si="215"/>
        <v>#N/A</v>
      </c>
      <c r="E1758" t="e">
        <f t="shared" si="211"/>
        <v>#N/A</v>
      </c>
      <c r="G1758">
        <v>1708</v>
      </c>
      <c r="H1758" s="13" t="e">
        <f t="shared" si="216"/>
        <v>#N/A</v>
      </c>
      <c r="I1758" t="e">
        <f t="shared" si="217"/>
        <v>#N/A</v>
      </c>
      <c r="J1758" t="e">
        <f t="shared" si="212"/>
        <v>#N/A</v>
      </c>
      <c r="K1758" s="27" t="e">
        <f t="shared" si="213"/>
        <v>#N/A</v>
      </c>
    </row>
    <row r="1759" spans="1:11">
      <c r="A1759" s="26">
        <v>1709</v>
      </c>
      <c r="B1759" s="82" t="e">
        <f t="shared" si="214"/>
        <v>#N/A</v>
      </c>
      <c r="C1759" s="58" t="e">
        <f t="shared" si="218"/>
        <v>#N/A</v>
      </c>
      <c r="D1759" s="83" t="e">
        <f t="shared" si="215"/>
        <v>#N/A</v>
      </c>
      <c r="E1759" t="e">
        <f t="shared" si="211"/>
        <v>#N/A</v>
      </c>
      <c r="G1759">
        <v>1709</v>
      </c>
      <c r="H1759" s="13" t="e">
        <f t="shared" si="216"/>
        <v>#N/A</v>
      </c>
      <c r="I1759" t="e">
        <f t="shared" si="217"/>
        <v>#N/A</v>
      </c>
      <c r="J1759" t="e">
        <f t="shared" si="212"/>
        <v>#N/A</v>
      </c>
      <c r="K1759" s="27" t="e">
        <f t="shared" si="213"/>
        <v>#N/A</v>
      </c>
    </row>
    <row r="1760" spans="1:11">
      <c r="A1760" s="26">
        <v>1710</v>
      </c>
      <c r="B1760" s="82" t="e">
        <f t="shared" si="214"/>
        <v>#N/A</v>
      </c>
      <c r="C1760" s="58" t="e">
        <f t="shared" si="218"/>
        <v>#N/A</v>
      </c>
      <c r="D1760" s="83" t="e">
        <f t="shared" si="215"/>
        <v>#N/A</v>
      </c>
      <c r="E1760" t="e">
        <f t="shared" si="211"/>
        <v>#N/A</v>
      </c>
      <c r="G1760">
        <v>1710</v>
      </c>
      <c r="H1760" s="13" t="e">
        <f t="shared" si="216"/>
        <v>#N/A</v>
      </c>
      <c r="I1760" t="e">
        <f t="shared" si="217"/>
        <v>#N/A</v>
      </c>
      <c r="J1760" t="e">
        <f t="shared" si="212"/>
        <v>#N/A</v>
      </c>
      <c r="K1760" s="27" t="e">
        <f t="shared" si="213"/>
        <v>#N/A</v>
      </c>
    </row>
    <row r="1761" spans="1:11">
      <c r="A1761" s="26">
        <v>1711</v>
      </c>
      <c r="B1761" s="82" t="e">
        <f t="shared" si="214"/>
        <v>#N/A</v>
      </c>
      <c r="C1761" s="58" t="e">
        <f t="shared" si="218"/>
        <v>#N/A</v>
      </c>
      <c r="D1761" s="83" t="e">
        <f t="shared" si="215"/>
        <v>#N/A</v>
      </c>
      <c r="E1761" t="e">
        <f t="shared" si="211"/>
        <v>#N/A</v>
      </c>
      <c r="G1761">
        <v>1711</v>
      </c>
      <c r="H1761" s="13" t="e">
        <f t="shared" si="216"/>
        <v>#N/A</v>
      </c>
      <c r="I1761" t="e">
        <f t="shared" si="217"/>
        <v>#N/A</v>
      </c>
      <c r="J1761" t="e">
        <f t="shared" si="212"/>
        <v>#N/A</v>
      </c>
      <c r="K1761" s="27" t="e">
        <f t="shared" si="213"/>
        <v>#N/A</v>
      </c>
    </row>
    <row r="1762" spans="1:11">
      <c r="A1762" s="26">
        <v>1712</v>
      </c>
      <c r="B1762" s="82" t="e">
        <f t="shared" si="214"/>
        <v>#N/A</v>
      </c>
      <c r="C1762" s="58" t="e">
        <f t="shared" si="218"/>
        <v>#N/A</v>
      </c>
      <c r="D1762" s="83" t="e">
        <f t="shared" si="215"/>
        <v>#N/A</v>
      </c>
      <c r="E1762" t="e">
        <f t="shared" si="211"/>
        <v>#N/A</v>
      </c>
      <c r="G1762">
        <v>1712</v>
      </c>
      <c r="H1762" s="13" t="e">
        <f t="shared" si="216"/>
        <v>#N/A</v>
      </c>
      <c r="I1762" t="e">
        <f t="shared" si="217"/>
        <v>#N/A</v>
      </c>
      <c r="J1762" t="e">
        <f t="shared" si="212"/>
        <v>#N/A</v>
      </c>
      <c r="K1762" s="27" t="e">
        <f t="shared" si="213"/>
        <v>#N/A</v>
      </c>
    </row>
    <row r="1763" spans="1:11">
      <c r="A1763" s="26">
        <v>1713</v>
      </c>
      <c r="B1763" s="82" t="e">
        <f t="shared" si="214"/>
        <v>#N/A</v>
      </c>
      <c r="C1763" s="58" t="e">
        <f t="shared" si="218"/>
        <v>#N/A</v>
      </c>
      <c r="D1763" s="83" t="e">
        <f t="shared" si="215"/>
        <v>#N/A</v>
      </c>
      <c r="E1763" t="e">
        <f t="shared" si="211"/>
        <v>#N/A</v>
      </c>
      <c r="G1763">
        <v>1713</v>
      </c>
      <c r="H1763" s="13" t="e">
        <f t="shared" si="216"/>
        <v>#N/A</v>
      </c>
      <c r="I1763" t="e">
        <f t="shared" si="217"/>
        <v>#N/A</v>
      </c>
      <c r="J1763" t="e">
        <f t="shared" si="212"/>
        <v>#N/A</v>
      </c>
      <c r="K1763" s="27" t="e">
        <f t="shared" si="213"/>
        <v>#N/A</v>
      </c>
    </row>
    <row r="1764" spans="1:11">
      <c r="A1764" s="26">
        <v>1714</v>
      </c>
      <c r="B1764" s="82" t="e">
        <f t="shared" si="214"/>
        <v>#N/A</v>
      </c>
      <c r="C1764" s="58" t="e">
        <f t="shared" si="218"/>
        <v>#N/A</v>
      </c>
      <c r="D1764" s="83" t="e">
        <f t="shared" si="215"/>
        <v>#N/A</v>
      </c>
      <c r="E1764" t="e">
        <f t="shared" si="211"/>
        <v>#N/A</v>
      </c>
      <c r="G1764">
        <v>1714</v>
      </c>
      <c r="H1764" s="13" t="e">
        <f t="shared" si="216"/>
        <v>#N/A</v>
      </c>
      <c r="I1764" t="e">
        <f t="shared" si="217"/>
        <v>#N/A</v>
      </c>
      <c r="J1764" t="e">
        <f t="shared" si="212"/>
        <v>#N/A</v>
      </c>
      <c r="K1764" s="27" t="e">
        <f t="shared" si="213"/>
        <v>#N/A</v>
      </c>
    </row>
    <row r="1765" spans="1:11">
      <c r="A1765" s="26">
        <v>1715</v>
      </c>
      <c r="B1765" s="82" t="e">
        <f t="shared" si="214"/>
        <v>#N/A</v>
      </c>
      <c r="C1765" s="58" t="e">
        <f t="shared" si="218"/>
        <v>#N/A</v>
      </c>
      <c r="D1765" s="83" t="e">
        <f t="shared" si="215"/>
        <v>#N/A</v>
      </c>
      <c r="E1765" t="e">
        <f t="shared" si="211"/>
        <v>#N/A</v>
      </c>
      <c r="G1765">
        <v>1715</v>
      </c>
      <c r="H1765" s="13" t="e">
        <f t="shared" si="216"/>
        <v>#N/A</v>
      </c>
      <c r="I1765" t="e">
        <f t="shared" si="217"/>
        <v>#N/A</v>
      </c>
      <c r="J1765" t="e">
        <f t="shared" si="212"/>
        <v>#N/A</v>
      </c>
      <c r="K1765" s="27" t="e">
        <f t="shared" si="213"/>
        <v>#N/A</v>
      </c>
    </row>
    <row r="1766" spans="1:11">
      <c r="A1766" s="26">
        <v>1716</v>
      </c>
      <c r="B1766" s="82" t="e">
        <f t="shared" si="214"/>
        <v>#N/A</v>
      </c>
      <c r="C1766" s="58" t="e">
        <f t="shared" si="218"/>
        <v>#N/A</v>
      </c>
      <c r="D1766" s="83" t="e">
        <f t="shared" si="215"/>
        <v>#N/A</v>
      </c>
      <c r="E1766" t="e">
        <f t="shared" si="211"/>
        <v>#N/A</v>
      </c>
      <c r="G1766">
        <v>1716</v>
      </c>
      <c r="H1766" s="13" t="e">
        <f t="shared" si="216"/>
        <v>#N/A</v>
      </c>
      <c r="I1766" t="e">
        <f t="shared" si="217"/>
        <v>#N/A</v>
      </c>
      <c r="J1766" t="e">
        <f t="shared" si="212"/>
        <v>#N/A</v>
      </c>
      <c r="K1766" s="27" t="e">
        <f t="shared" si="213"/>
        <v>#N/A</v>
      </c>
    </row>
    <row r="1767" spans="1:11">
      <c r="A1767" s="26">
        <v>1717</v>
      </c>
      <c r="B1767" s="82" t="e">
        <f t="shared" si="214"/>
        <v>#N/A</v>
      </c>
      <c r="C1767" s="58" t="e">
        <f t="shared" si="218"/>
        <v>#N/A</v>
      </c>
      <c r="D1767" s="83" t="e">
        <f t="shared" si="215"/>
        <v>#N/A</v>
      </c>
      <c r="E1767" t="e">
        <f t="shared" si="211"/>
        <v>#N/A</v>
      </c>
      <c r="G1767">
        <v>1717</v>
      </c>
      <c r="H1767" s="13" t="e">
        <f t="shared" si="216"/>
        <v>#N/A</v>
      </c>
      <c r="I1767" t="e">
        <f t="shared" si="217"/>
        <v>#N/A</v>
      </c>
      <c r="J1767" t="e">
        <f t="shared" si="212"/>
        <v>#N/A</v>
      </c>
      <c r="K1767" s="27" t="e">
        <f t="shared" si="213"/>
        <v>#N/A</v>
      </c>
    </row>
    <row r="1768" spans="1:11">
      <c r="A1768" s="26">
        <v>1718</v>
      </c>
      <c r="B1768" s="82" t="e">
        <f t="shared" si="214"/>
        <v>#N/A</v>
      </c>
      <c r="C1768" s="58" t="e">
        <f t="shared" si="218"/>
        <v>#N/A</v>
      </c>
      <c r="D1768" s="83" t="e">
        <f t="shared" si="215"/>
        <v>#N/A</v>
      </c>
      <c r="E1768" t="e">
        <f t="shared" si="211"/>
        <v>#N/A</v>
      </c>
      <c r="G1768">
        <v>1718</v>
      </c>
      <c r="H1768" s="13" t="e">
        <f t="shared" si="216"/>
        <v>#N/A</v>
      </c>
      <c r="I1768" t="e">
        <f t="shared" si="217"/>
        <v>#N/A</v>
      </c>
      <c r="J1768" t="e">
        <f t="shared" si="212"/>
        <v>#N/A</v>
      </c>
      <c r="K1768" s="27" t="e">
        <f t="shared" si="213"/>
        <v>#N/A</v>
      </c>
    </row>
    <row r="1769" spans="1:11">
      <c r="A1769" s="26">
        <v>1719</v>
      </c>
      <c r="B1769" s="82" t="e">
        <f t="shared" si="214"/>
        <v>#N/A</v>
      </c>
      <c r="C1769" s="58" t="e">
        <f t="shared" si="218"/>
        <v>#N/A</v>
      </c>
      <c r="D1769" s="83" t="e">
        <f t="shared" si="215"/>
        <v>#N/A</v>
      </c>
      <c r="E1769" t="e">
        <f t="shared" si="211"/>
        <v>#N/A</v>
      </c>
      <c r="G1769">
        <v>1719</v>
      </c>
      <c r="H1769" s="13" t="e">
        <f t="shared" si="216"/>
        <v>#N/A</v>
      </c>
      <c r="I1769" t="e">
        <f t="shared" si="217"/>
        <v>#N/A</v>
      </c>
      <c r="J1769" t="e">
        <f t="shared" si="212"/>
        <v>#N/A</v>
      </c>
      <c r="K1769" s="27" t="e">
        <f t="shared" si="213"/>
        <v>#N/A</v>
      </c>
    </row>
    <row r="1770" spans="1:11">
      <c r="A1770" s="26">
        <v>1720</v>
      </c>
      <c r="B1770" s="82" t="e">
        <f t="shared" si="214"/>
        <v>#N/A</v>
      </c>
      <c r="C1770" s="58" t="e">
        <f t="shared" si="218"/>
        <v>#N/A</v>
      </c>
      <c r="D1770" s="83" t="e">
        <f t="shared" si="215"/>
        <v>#N/A</v>
      </c>
      <c r="E1770" t="e">
        <f t="shared" si="211"/>
        <v>#N/A</v>
      </c>
      <c r="G1770">
        <v>1720</v>
      </c>
      <c r="H1770" s="13" t="e">
        <f t="shared" si="216"/>
        <v>#N/A</v>
      </c>
      <c r="I1770" t="e">
        <f t="shared" si="217"/>
        <v>#N/A</v>
      </c>
      <c r="J1770" t="e">
        <f t="shared" si="212"/>
        <v>#N/A</v>
      </c>
      <c r="K1770" s="27" t="e">
        <f t="shared" si="213"/>
        <v>#N/A</v>
      </c>
    </row>
    <row r="1771" spans="1:11">
      <c r="A1771" s="26">
        <v>1721</v>
      </c>
      <c r="B1771" s="82" t="e">
        <f t="shared" si="214"/>
        <v>#N/A</v>
      </c>
      <c r="C1771" s="58" t="e">
        <f t="shared" si="218"/>
        <v>#N/A</v>
      </c>
      <c r="D1771" s="83" t="e">
        <f t="shared" si="215"/>
        <v>#N/A</v>
      </c>
      <c r="E1771" t="e">
        <f t="shared" si="211"/>
        <v>#N/A</v>
      </c>
      <c r="G1771">
        <v>1721</v>
      </c>
      <c r="H1771" s="13" t="e">
        <f t="shared" si="216"/>
        <v>#N/A</v>
      </c>
      <c r="I1771" t="e">
        <f t="shared" si="217"/>
        <v>#N/A</v>
      </c>
      <c r="J1771" t="e">
        <f t="shared" si="212"/>
        <v>#N/A</v>
      </c>
      <c r="K1771" s="27" t="e">
        <f t="shared" si="213"/>
        <v>#N/A</v>
      </c>
    </row>
    <row r="1772" spans="1:11">
      <c r="A1772" s="26">
        <v>1722</v>
      </c>
      <c r="B1772" s="82" t="e">
        <f t="shared" si="214"/>
        <v>#N/A</v>
      </c>
      <c r="C1772" s="58" t="e">
        <f t="shared" si="218"/>
        <v>#N/A</v>
      </c>
      <c r="D1772" s="83" t="e">
        <f t="shared" si="215"/>
        <v>#N/A</v>
      </c>
      <c r="E1772" t="e">
        <f t="shared" si="211"/>
        <v>#N/A</v>
      </c>
      <c r="G1772">
        <v>1722</v>
      </c>
      <c r="H1772" s="13" t="e">
        <f t="shared" si="216"/>
        <v>#N/A</v>
      </c>
      <c r="I1772" t="e">
        <f t="shared" si="217"/>
        <v>#N/A</v>
      </c>
      <c r="J1772" t="e">
        <f t="shared" si="212"/>
        <v>#N/A</v>
      </c>
      <c r="K1772" s="27" t="e">
        <f t="shared" si="213"/>
        <v>#N/A</v>
      </c>
    </row>
    <row r="1773" spans="1:11">
      <c r="A1773" s="26">
        <v>1723</v>
      </c>
      <c r="B1773" s="82" t="e">
        <f t="shared" si="214"/>
        <v>#N/A</v>
      </c>
      <c r="C1773" s="58" t="e">
        <f t="shared" si="218"/>
        <v>#N/A</v>
      </c>
      <c r="D1773" s="83" t="e">
        <f t="shared" si="215"/>
        <v>#N/A</v>
      </c>
      <c r="E1773" t="e">
        <f t="shared" si="211"/>
        <v>#N/A</v>
      </c>
      <c r="G1773">
        <v>1723</v>
      </c>
      <c r="H1773" s="13" t="e">
        <f t="shared" si="216"/>
        <v>#N/A</v>
      </c>
      <c r="I1773" t="e">
        <f t="shared" si="217"/>
        <v>#N/A</v>
      </c>
      <c r="J1773" t="e">
        <f t="shared" si="212"/>
        <v>#N/A</v>
      </c>
      <c r="K1773" s="27" t="e">
        <f t="shared" si="213"/>
        <v>#N/A</v>
      </c>
    </row>
    <row r="1774" spans="1:11">
      <c r="A1774" s="26">
        <v>1724</v>
      </c>
      <c r="B1774" s="82" t="e">
        <f t="shared" si="214"/>
        <v>#N/A</v>
      </c>
      <c r="C1774" s="58" t="e">
        <f t="shared" si="218"/>
        <v>#N/A</v>
      </c>
      <c r="D1774" s="83" t="e">
        <f t="shared" si="215"/>
        <v>#N/A</v>
      </c>
      <c r="E1774" t="e">
        <f t="shared" si="211"/>
        <v>#N/A</v>
      </c>
      <c r="G1774">
        <v>1724</v>
      </c>
      <c r="H1774" s="13" t="e">
        <f t="shared" si="216"/>
        <v>#N/A</v>
      </c>
      <c r="I1774" t="e">
        <f t="shared" si="217"/>
        <v>#N/A</v>
      </c>
      <c r="J1774" t="e">
        <f t="shared" si="212"/>
        <v>#N/A</v>
      </c>
      <c r="K1774" s="27" t="e">
        <f t="shared" si="213"/>
        <v>#N/A</v>
      </c>
    </row>
    <row r="1775" spans="1:11">
      <c r="A1775" s="26">
        <v>1725</v>
      </c>
      <c r="B1775" s="82" t="e">
        <f t="shared" si="214"/>
        <v>#N/A</v>
      </c>
      <c r="C1775" s="58" t="e">
        <f t="shared" si="218"/>
        <v>#N/A</v>
      </c>
      <c r="D1775" s="83" t="e">
        <f t="shared" si="215"/>
        <v>#N/A</v>
      </c>
      <c r="E1775" t="e">
        <f t="shared" si="211"/>
        <v>#N/A</v>
      </c>
      <c r="G1775">
        <v>1725</v>
      </c>
      <c r="H1775" s="13" t="e">
        <f t="shared" si="216"/>
        <v>#N/A</v>
      </c>
      <c r="I1775" t="e">
        <f t="shared" si="217"/>
        <v>#N/A</v>
      </c>
      <c r="J1775" t="e">
        <f t="shared" si="212"/>
        <v>#N/A</v>
      </c>
      <c r="K1775" s="27" t="e">
        <f t="shared" si="213"/>
        <v>#N/A</v>
      </c>
    </row>
    <row r="1776" spans="1:11">
      <c r="A1776" s="26">
        <v>1726</v>
      </c>
      <c r="B1776" s="82" t="e">
        <f t="shared" si="214"/>
        <v>#N/A</v>
      </c>
      <c r="C1776" s="58" t="e">
        <f t="shared" si="218"/>
        <v>#N/A</v>
      </c>
      <c r="D1776" s="83" t="e">
        <f t="shared" si="215"/>
        <v>#N/A</v>
      </c>
      <c r="E1776" t="e">
        <f t="shared" si="211"/>
        <v>#N/A</v>
      </c>
      <c r="G1776">
        <v>1726</v>
      </c>
      <c r="H1776" s="13" t="e">
        <f t="shared" si="216"/>
        <v>#N/A</v>
      </c>
      <c r="I1776" t="e">
        <f t="shared" si="217"/>
        <v>#N/A</v>
      </c>
      <c r="J1776" t="e">
        <f t="shared" si="212"/>
        <v>#N/A</v>
      </c>
      <c r="K1776" s="27" t="e">
        <f t="shared" si="213"/>
        <v>#N/A</v>
      </c>
    </row>
    <row r="1777" spans="1:11">
      <c r="A1777" s="26">
        <v>1727</v>
      </c>
      <c r="B1777" s="82" t="e">
        <f t="shared" si="214"/>
        <v>#N/A</v>
      </c>
      <c r="C1777" s="58" t="e">
        <f t="shared" si="218"/>
        <v>#N/A</v>
      </c>
      <c r="D1777" s="83" t="e">
        <f t="shared" si="215"/>
        <v>#N/A</v>
      </c>
      <c r="E1777" t="e">
        <f t="shared" si="211"/>
        <v>#N/A</v>
      </c>
      <c r="G1777">
        <v>1727</v>
      </c>
      <c r="H1777" s="13" t="e">
        <f t="shared" si="216"/>
        <v>#N/A</v>
      </c>
      <c r="I1777" t="e">
        <f t="shared" si="217"/>
        <v>#N/A</v>
      </c>
      <c r="J1777" t="e">
        <f t="shared" si="212"/>
        <v>#N/A</v>
      </c>
      <c r="K1777" s="27" t="e">
        <f t="shared" si="213"/>
        <v>#N/A</v>
      </c>
    </row>
    <row r="1778" spans="1:11">
      <c r="A1778" s="26">
        <v>1728</v>
      </c>
      <c r="B1778" s="82" t="e">
        <f t="shared" si="214"/>
        <v>#N/A</v>
      </c>
      <c r="C1778" s="58" t="e">
        <f t="shared" si="218"/>
        <v>#N/A</v>
      </c>
      <c r="D1778" s="83" t="e">
        <f t="shared" si="215"/>
        <v>#N/A</v>
      </c>
      <c r="E1778" t="e">
        <f t="shared" si="211"/>
        <v>#N/A</v>
      </c>
      <c r="G1778">
        <v>1728</v>
      </c>
      <c r="H1778" s="13" t="e">
        <f t="shared" si="216"/>
        <v>#N/A</v>
      </c>
      <c r="I1778" t="e">
        <f t="shared" si="217"/>
        <v>#N/A</v>
      </c>
      <c r="J1778" t="e">
        <f t="shared" si="212"/>
        <v>#N/A</v>
      </c>
      <c r="K1778" s="27" t="e">
        <f t="shared" si="213"/>
        <v>#N/A</v>
      </c>
    </row>
    <row r="1779" spans="1:11">
      <c r="A1779" s="26">
        <v>1729</v>
      </c>
      <c r="B1779" s="82" t="e">
        <f t="shared" si="214"/>
        <v>#N/A</v>
      </c>
      <c r="C1779" s="58" t="e">
        <f t="shared" si="218"/>
        <v>#N/A</v>
      </c>
      <c r="D1779" s="83" t="e">
        <f t="shared" si="215"/>
        <v>#N/A</v>
      </c>
      <c r="E1779" t="e">
        <f t="shared" ref="E1779:E1842" si="219">((D1779^2)+(D1779*D1780)+(D1780^2))*B1780/3</f>
        <v>#N/A</v>
      </c>
      <c r="G1779">
        <v>1729</v>
      </c>
      <c r="H1779" s="13" t="e">
        <f t="shared" si="216"/>
        <v>#N/A</v>
      </c>
      <c r="I1779" t="e">
        <f t="shared" si="217"/>
        <v>#N/A</v>
      </c>
      <c r="J1779" t="e">
        <f t="shared" ref="J1779:J1842" si="220">IF($G$28&lt;$C$14,0,((($C$11^2)-((I1779-$C$13)^2))^0.5)+$C$16)</f>
        <v>#N/A</v>
      </c>
      <c r="K1779" s="27" t="e">
        <f t="shared" ref="K1779:K1842" si="221">((J1779^2)+(J1779*J1780)+(J1780^2))*H1780/3</f>
        <v>#N/A</v>
      </c>
    </row>
    <row r="1780" spans="1:11">
      <c r="A1780" s="26">
        <v>1730</v>
      </c>
      <c r="B1780" s="82" t="e">
        <f t="shared" ref="B1780:B1843" si="222">C1780-C1779</f>
        <v>#N/A</v>
      </c>
      <c r="C1780" s="58" t="e">
        <f t="shared" si="218"/>
        <v>#N/A</v>
      </c>
      <c r="D1780" s="83" t="e">
        <f t="shared" ref="D1780:D1843" si="223">IF($G$28&lt;$C$14,0,((($C$11^2)-((C1780-$C$13)^2))^0.5)+$C$16)</f>
        <v>#N/A</v>
      </c>
      <c r="E1780" t="e">
        <f t="shared" si="219"/>
        <v>#N/A</v>
      </c>
      <c r="G1780">
        <v>1730</v>
      </c>
      <c r="H1780" s="13" t="e">
        <f t="shared" ref="H1780:H1843" si="224">I1780-I1779</f>
        <v>#N/A</v>
      </c>
      <c r="I1780" t="e">
        <f t="shared" ref="I1780:I1843" si="225">($G$27-$C$14)/2000+I1779</f>
        <v>#N/A</v>
      </c>
      <c r="J1780" t="e">
        <f t="shared" si="220"/>
        <v>#N/A</v>
      </c>
      <c r="K1780" s="27" t="e">
        <f t="shared" si="221"/>
        <v>#N/A</v>
      </c>
    </row>
    <row r="1781" spans="1:11">
      <c r="A1781" s="26">
        <v>1731</v>
      </c>
      <c r="B1781" s="82" t="e">
        <f t="shared" si="222"/>
        <v>#N/A</v>
      </c>
      <c r="C1781" s="58" t="e">
        <f t="shared" si="218"/>
        <v>#N/A</v>
      </c>
      <c r="D1781" s="83" t="e">
        <f t="shared" si="223"/>
        <v>#N/A</v>
      </c>
      <c r="E1781" t="e">
        <f t="shared" si="219"/>
        <v>#N/A</v>
      </c>
      <c r="G1781">
        <v>1731</v>
      </c>
      <c r="H1781" s="13" t="e">
        <f t="shared" si="224"/>
        <v>#N/A</v>
      </c>
      <c r="I1781" t="e">
        <f t="shared" si="225"/>
        <v>#N/A</v>
      </c>
      <c r="J1781" t="e">
        <f t="shared" si="220"/>
        <v>#N/A</v>
      </c>
      <c r="K1781" s="27" t="e">
        <f t="shared" si="221"/>
        <v>#N/A</v>
      </c>
    </row>
    <row r="1782" spans="1:11">
      <c r="A1782" s="26">
        <v>1732</v>
      </c>
      <c r="B1782" s="82" t="e">
        <f t="shared" si="222"/>
        <v>#N/A</v>
      </c>
      <c r="C1782" s="58" t="e">
        <f t="shared" si="218"/>
        <v>#N/A</v>
      </c>
      <c r="D1782" s="83" t="e">
        <f t="shared" si="223"/>
        <v>#N/A</v>
      </c>
      <c r="E1782" t="e">
        <f t="shared" si="219"/>
        <v>#N/A</v>
      </c>
      <c r="G1782">
        <v>1732</v>
      </c>
      <c r="H1782" s="13" t="e">
        <f t="shared" si="224"/>
        <v>#N/A</v>
      </c>
      <c r="I1782" t="e">
        <f t="shared" si="225"/>
        <v>#N/A</v>
      </c>
      <c r="J1782" t="e">
        <f t="shared" si="220"/>
        <v>#N/A</v>
      </c>
      <c r="K1782" s="27" t="e">
        <f t="shared" si="221"/>
        <v>#N/A</v>
      </c>
    </row>
    <row r="1783" spans="1:11">
      <c r="A1783" s="26">
        <v>1733</v>
      </c>
      <c r="B1783" s="82" t="e">
        <f t="shared" si="222"/>
        <v>#N/A</v>
      </c>
      <c r="C1783" s="58" t="e">
        <f t="shared" si="218"/>
        <v>#N/A</v>
      </c>
      <c r="D1783" s="83" t="e">
        <f t="shared" si="223"/>
        <v>#N/A</v>
      </c>
      <c r="E1783" t="e">
        <f t="shared" si="219"/>
        <v>#N/A</v>
      </c>
      <c r="G1783">
        <v>1733</v>
      </c>
      <c r="H1783" s="13" t="e">
        <f t="shared" si="224"/>
        <v>#N/A</v>
      </c>
      <c r="I1783" t="e">
        <f t="shared" si="225"/>
        <v>#N/A</v>
      </c>
      <c r="J1783" t="e">
        <f t="shared" si="220"/>
        <v>#N/A</v>
      </c>
      <c r="K1783" s="27" t="e">
        <f t="shared" si="221"/>
        <v>#N/A</v>
      </c>
    </row>
    <row r="1784" spans="1:11">
      <c r="A1784" s="26">
        <v>1734</v>
      </c>
      <c r="B1784" s="82" t="e">
        <f t="shared" si="222"/>
        <v>#N/A</v>
      </c>
      <c r="C1784" s="58" t="e">
        <f t="shared" si="218"/>
        <v>#N/A</v>
      </c>
      <c r="D1784" s="83" t="e">
        <f t="shared" si="223"/>
        <v>#N/A</v>
      </c>
      <c r="E1784" t="e">
        <f t="shared" si="219"/>
        <v>#N/A</v>
      </c>
      <c r="G1784">
        <v>1734</v>
      </c>
      <c r="H1784" s="13" t="e">
        <f t="shared" si="224"/>
        <v>#N/A</v>
      </c>
      <c r="I1784" t="e">
        <f t="shared" si="225"/>
        <v>#N/A</v>
      </c>
      <c r="J1784" t="e">
        <f t="shared" si="220"/>
        <v>#N/A</v>
      </c>
      <c r="K1784" s="27" t="e">
        <f t="shared" si="221"/>
        <v>#N/A</v>
      </c>
    </row>
    <row r="1785" spans="1:11">
      <c r="A1785" s="26">
        <v>1735</v>
      </c>
      <c r="B1785" s="82" t="e">
        <f t="shared" si="222"/>
        <v>#N/A</v>
      </c>
      <c r="C1785" s="58" t="e">
        <f t="shared" si="218"/>
        <v>#N/A</v>
      </c>
      <c r="D1785" s="83" t="e">
        <f t="shared" si="223"/>
        <v>#N/A</v>
      </c>
      <c r="E1785" t="e">
        <f t="shared" si="219"/>
        <v>#N/A</v>
      </c>
      <c r="G1785">
        <v>1735</v>
      </c>
      <c r="H1785" s="13" t="e">
        <f t="shared" si="224"/>
        <v>#N/A</v>
      </c>
      <c r="I1785" t="e">
        <f t="shared" si="225"/>
        <v>#N/A</v>
      </c>
      <c r="J1785" t="e">
        <f t="shared" si="220"/>
        <v>#N/A</v>
      </c>
      <c r="K1785" s="27" t="e">
        <f t="shared" si="221"/>
        <v>#N/A</v>
      </c>
    </row>
    <row r="1786" spans="1:11">
      <c r="A1786" s="26">
        <v>1736</v>
      </c>
      <c r="B1786" s="82" t="e">
        <f t="shared" si="222"/>
        <v>#N/A</v>
      </c>
      <c r="C1786" s="58" t="e">
        <f t="shared" si="218"/>
        <v>#N/A</v>
      </c>
      <c r="D1786" s="83" t="e">
        <f t="shared" si="223"/>
        <v>#N/A</v>
      </c>
      <c r="E1786" t="e">
        <f t="shared" si="219"/>
        <v>#N/A</v>
      </c>
      <c r="G1786">
        <v>1736</v>
      </c>
      <c r="H1786" s="13" t="e">
        <f t="shared" si="224"/>
        <v>#N/A</v>
      </c>
      <c r="I1786" t="e">
        <f t="shared" si="225"/>
        <v>#N/A</v>
      </c>
      <c r="J1786" t="e">
        <f t="shared" si="220"/>
        <v>#N/A</v>
      </c>
      <c r="K1786" s="27" t="e">
        <f t="shared" si="221"/>
        <v>#N/A</v>
      </c>
    </row>
    <row r="1787" spans="1:11">
      <c r="A1787" s="26">
        <v>1737</v>
      </c>
      <c r="B1787" s="82" t="e">
        <f t="shared" si="222"/>
        <v>#N/A</v>
      </c>
      <c r="C1787" s="58" t="e">
        <f t="shared" si="218"/>
        <v>#N/A</v>
      </c>
      <c r="D1787" s="83" t="e">
        <f t="shared" si="223"/>
        <v>#N/A</v>
      </c>
      <c r="E1787" t="e">
        <f t="shared" si="219"/>
        <v>#N/A</v>
      </c>
      <c r="G1787">
        <v>1737</v>
      </c>
      <c r="H1787" s="13" t="e">
        <f t="shared" si="224"/>
        <v>#N/A</v>
      </c>
      <c r="I1787" t="e">
        <f t="shared" si="225"/>
        <v>#N/A</v>
      </c>
      <c r="J1787" t="e">
        <f t="shared" si="220"/>
        <v>#N/A</v>
      </c>
      <c r="K1787" s="27" t="e">
        <f t="shared" si="221"/>
        <v>#N/A</v>
      </c>
    </row>
    <row r="1788" spans="1:11">
      <c r="A1788" s="26">
        <v>1738</v>
      </c>
      <c r="B1788" s="82" t="e">
        <f t="shared" si="222"/>
        <v>#N/A</v>
      </c>
      <c r="C1788" s="58" t="e">
        <f t="shared" si="218"/>
        <v>#N/A</v>
      </c>
      <c r="D1788" s="83" t="e">
        <f t="shared" si="223"/>
        <v>#N/A</v>
      </c>
      <c r="E1788" t="e">
        <f t="shared" si="219"/>
        <v>#N/A</v>
      </c>
      <c r="G1788">
        <v>1738</v>
      </c>
      <c r="H1788" s="13" t="e">
        <f t="shared" si="224"/>
        <v>#N/A</v>
      </c>
      <c r="I1788" t="e">
        <f t="shared" si="225"/>
        <v>#N/A</v>
      </c>
      <c r="J1788" t="e">
        <f t="shared" si="220"/>
        <v>#N/A</v>
      </c>
      <c r="K1788" s="27" t="e">
        <f t="shared" si="221"/>
        <v>#N/A</v>
      </c>
    </row>
    <row r="1789" spans="1:11">
      <c r="A1789" s="26">
        <v>1739</v>
      </c>
      <c r="B1789" s="82" t="e">
        <f t="shared" si="222"/>
        <v>#N/A</v>
      </c>
      <c r="C1789" s="58" t="e">
        <f t="shared" si="218"/>
        <v>#N/A</v>
      </c>
      <c r="D1789" s="83" t="e">
        <f t="shared" si="223"/>
        <v>#N/A</v>
      </c>
      <c r="E1789" t="e">
        <f t="shared" si="219"/>
        <v>#N/A</v>
      </c>
      <c r="G1789">
        <v>1739</v>
      </c>
      <c r="H1789" s="13" t="e">
        <f t="shared" si="224"/>
        <v>#N/A</v>
      </c>
      <c r="I1789" t="e">
        <f t="shared" si="225"/>
        <v>#N/A</v>
      </c>
      <c r="J1789" t="e">
        <f t="shared" si="220"/>
        <v>#N/A</v>
      </c>
      <c r="K1789" s="27" t="e">
        <f t="shared" si="221"/>
        <v>#N/A</v>
      </c>
    </row>
    <row r="1790" spans="1:11">
      <c r="A1790" s="26">
        <v>1740</v>
      </c>
      <c r="B1790" s="82" t="e">
        <f t="shared" si="222"/>
        <v>#N/A</v>
      </c>
      <c r="C1790" s="58" t="e">
        <f t="shared" si="218"/>
        <v>#N/A</v>
      </c>
      <c r="D1790" s="83" t="e">
        <f t="shared" si="223"/>
        <v>#N/A</v>
      </c>
      <c r="E1790" t="e">
        <f t="shared" si="219"/>
        <v>#N/A</v>
      </c>
      <c r="G1790">
        <v>1740</v>
      </c>
      <c r="H1790" s="13" t="e">
        <f t="shared" si="224"/>
        <v>#N/A</v>
      </c>
      <c r="I1790" t="e">
        <f t="shared" si="225"/>
        <v>#N/A</v>
      </c>
      <c r="J1790" t="e">
        <f t="shared" si="220"/>
        <v>#N/A</v>
      </c>
      <c r="K1790" s="27" t="e">
        <f t="shared" si="221"/>
        <v>#N/A</v>
      </c>
    </row>
    <row r="1791" spans="1:11">
      <c r="A1791" s="26">
        <v>1741</v>
      </c>
      <c r="B1791" s="82" t="e">
        <f t="shared" si="222"/>
        <v>#N/A</v>
      </c>
      <c r="C1791" s="58" t="e">
        <f t="shared" si="218"/>
        <v>#N/A</v>
      </c>
      <c r="D1791" s="83" t="e">
        <f t="shared" si="223"/>
        <v>#N/A</v>
      </c>
      <c r="E1791" t="e">
        <f t="shared" si="219"/>
        <v>#N/A</v>
      </c>
      <c r="G1791">
        <v>1741</v>
      </c>
      <c r="H1791" s="13" t="e">
        <f t="shared" si="224"/>
        <v>#N/A</v>
      </c>
      <c r="I1791" t="e">
        <f t="shared" si="225"/>
        <v>#N/A</v>
      </c>
      <c r="J1791" t="e">
        <f t="shared" si="220"/>
        <v>#N/A</v>
      </c>
      <c r="K1791" s="27" t="e">
        <f t="shared" si="221"/>
        <v>#N/A</v>
      </c>
    </row>
    <row r="1792" spans="1:11">
      <c r="A1792" s="26">
        <v>1742</v>
      </c>
      <c r="B1792" s="82" t="e">
        <f t="shared" si="222"/>
        <v>#N/A</v>
      </c>
      <c r="C1792" s="58" t="e">
        <f t="shared" si="218"/>
        <v>#N/A</v>
      </c>
      <c r="D1792" s="83" t="e">
        <f t="shared" si="223"/>
        <v>#N/A</v>
      </c>
      <c r="E1792" t="e">
        <f t="shared" si="219"/>
        <v>#N/A</v>
      </c>
      <c r="G1792">
        <v>1742</v>
      </c>
      <c r="H1792" s="13" t="e">
        <f t="shared" si="224"/>
        <v>#N/A</v>
      </c>
      <c r="I1792" t="e">
        <f t="shared" si="225"/>
        <v>#N/A</v>
      </c>
      <c r="J1792" t="e">
        <f t="shared" si="220"/>
        <v>#N/A</v>
      </c>
      <c r="K1792" s="27" t="e">
        <f t="shared" si="221"/>
        <v>#N/A</v>
      </c>
    </row>
    <row r="1793" spans="1:11">
      <c r="A1793" s="26">
        <v>1743</v>
      </c>
      <c r="B1793" s="82" t="e">
        <f t="shared" si="222"/>
        <v>#N/A</v>
      </c>
      <c r="C1793" s="58" t="e">
        <f t="shared" si="218"/>
        <v>#N/A</v>
      </c>
      <c r="D1793" s="83" t="e">
        <f t="shared" si="223"/>
        <v>#N/A</v>
      </c>
      <c r="E1793" t="e">
        <f t="shared" si="219"/>
        <v>#N/A</v>
      </c>
      <c r="G1793">
        <v>1743</v>
      </c>
      <c r="H1793" s="13" t="e">
        <f t="shared" si="224"/>
        <v>#N/A</v>
      </c>
      <c r="I1793" t="e">
        <f t="shared" si="225"/>
        <v>#N/A</v>
      </c>
      <c r="J1793" t="e">
        <f t="shared" si="220"/>
        <v>#N/A</v>
      </c>
      <c r="K1793" s="27" t="e">
        <f t="shared" si="221"/>
        <v>#N/A</v>
      </c>
    </row>
    <row r="1794" spans="1:11">
      <c r="A1794" s="26">
        <v>1744</v>
      </c>
      <c r="B1794" s="82" t="e">
        <f t="shared" si="222"/>
        <v>#N/A</v>
      </c>
      <c r="C1794" s="58" t="e">
        <f t="shared" si="218"/>
        <v>#N/A</v>
      </c>
      <c r="D1794" s="83" t="e">
        <f t="shared" si="223"/>
        <v>#N/A</v>
      </c>
      <c r="E1794" t="e">
        <f t="shared" si="219"/>
        <v>#N/A</v>
      </c>
      <c r="G1794">
        <v>1744</v>
      </c>
      <c r="H1794" s="13" t="e">
        <f t="shared" si="224"/>
        <v>#N/A</v>
      </c>
      <c r="I1794" t="e">
        <f t="shared" si="225"/>
        <v>#N/A</v>
      </c>
      <c r="J1794" t="e">
        <f t="shared" si="220"/>
        <v>#N/A</v>
      </c>
      <c r="K1794" s="27" t="e">
        <f t="shared" si="221"/>
        <v>#N/A</v>
      </c>
    </row>
    <row r="1795" spans="1:11">
      <c r="A1795" s="26">
        <v>1745</v>
      </c>
      <c r="B1795" s="82" t="e">
        <f t="shared" si="222"/>
        <v>#N/A</v>
      </c>
      <c r="C1795" s="58" t="e">
        <f t="shared" si="218"/>
        <v>#N/A</v>
      </c>
      <c r="D1795" s="83" t="e">
        <f t="shared" si="223"/>
        <v>#N/A</v>
      </c>
      <c r="E1795" t="e">
        <f t="shared" si="219"/>
        <v>#N/A</v>
      </c>
      <c r="G1795">
        <v>1745</v>
      </c>
      <c r="H1795" s="13" t="e">
        <f t="shared" si="224"/>
        <v>#N/A</v>
      </c>
      <c r="I1795" t="e">
        <f t="shared" si="225"/>
        <v>#N/A</v>
      </c>
      <c r="J1795" t="e">
        <f t="shared" si="220"/>
        <v>#N/A</v>
      </c>
      <c r="K1795" s="27" t="e">
        <f t="shared" si="221"/>
        <v>#N/A</v>
      </c>
    </row>
    <row r="1796" spans="1:11">
      <c r="A1796" s="26">
        <v>1746</v>
      </c>
      <c r="B1796" s="82" t="e">
        <f t="shared" si="222"/>
        <v>#N/A</v>
      </c>
      <c r="C1796" s="58" t="e">
        <f t="shared" si="218"/>
        <v>#N/A</v>
      </c>
      <c r="D1796" s="83" t="e">
        <f t="shared" si="223"/>
        <v>#N/A</v>
      </c>
      <c r="E1796" t="e">
        <f t="shared" si="219"/>
        <v>#N/A</v>
      </c>
      <c r="G1796">
        <v>1746</v>
      </c>
      <c r="H1796" s="13" t="e">
        <f t="shared" si="224"/>
        <v>#N/A</v>
      </c>
      <c r="I1796" t="e">
        <f t="shared" si="225"/>
        <v>#N/A</v>
      </c>
      <c r="J1796" t="e">
        <f t="shared" si="220"/>
        <v>#N/A</v>
      </c>
      <c r="K1796" s="27" t="e">
        <f t="shared" si="221"/>
        <v>#N/A</v>
      </c>
    </row>
    <row r="1797" spans="1:11">
      <c r="A1797" s="26">
        <v>1747</v>
      </c>
      <c r="B1797" s="82" t="e">
        <f t="shared" si="222"/>
        <v>#N/A</v>
      </c>
      <c r="C1797" s="58" t="e">
        <f t="shared" si="218"/>
        <v>#N/A</v>
      </c>
      <c r="D1797" s="83" t="e">
        <f t="shared" si="223"/>
        <v>#N/A</v>
      </c>
      <c r="E1797" t="e">
        <f t="shared" si="219"/>
        <v>#N/A</v>
      </c>
      <c r="G1797">
        <v>1747</v>
      </c>
      <c r="H1797" s="13" t="e">
        <f t="shared" si="224"/>
        <v>#N/A</v>
      </c>
      <c r="I1797" t="e">
        <f t="shared" si="225"/>
        <v>#N/A</v>
      </c>
      <c r="J1797" t="e">
        <f t="shared" si="220"/>
        <v>#N/A</v>
      </c>
      <c r="K1797" s="27" t="e">
        <f t="shared" si="221"/>
        <v>#N/A</v>
      </c>
    </row>
    <row r="1798" spans="1:11">
      <c r="A1798" s="26">
        <v>1748</v>
      </c>
      <c r="B1798" s="82" t="e">
        <f t="shared" si="222"/>
        <v>#N/A</v>
      </c>
      <c r="C1798" s="58" t="e">
        <f t="shared" si="218"/>
        <v>#N/A</v>
      </c>
      <c r="D1798" s="83" t="e">
        <f t="shared" si="223"/>
        <v>#N/A</v>
      </c>
      <c r="E1798" t="e">
        <f t="shared" si="219"/>
        <v>#N/A</v>
      </c>
      <c r="G1798">
        <v>1748</v>
      </c>
      <c r="H1798" s="13" t="e">
        <f t="shared" si="224"/>
        <v>#N/A</v>
      </c>
      <c r="I1798" t="e">
        <f t="shared" si="225"/>
        <v>#N/A</v>
      </c>
      <c r="J1798" t="e">
        <f t="shared" si="220"/>
        <v>#N/A</v>
      </c>
      <c r="K1798" s="27" t="e">
        <f t="shared" si="221"/>
        <v>#N/A</v>
      </c>
    </row>
    <row r="1799" spans="1:11">
      <c r="A1799" s="26">
        <v>1749</v>
      </c>
      <c r="B1799" s="82" t="e">
        <f t="shared" si="222"/>
        <v>#N/A</v>
      </c>
      <c r="C1799" s="58" t="e">
        <f t="shared" si="218"/>
        <v>#N/A</v>
      </c>
      <c r="D1799" s="83" t="e">
        <f t="shared" si="223"/>
        <v>#N/A</v>
      </c>
      <c r="E1799" t="e">
        <f t="shared" si="219"/>
        <v>#N/A</v>
      </c>
      <c r="G1799">
        <v>1749</v>
      </c>
      <c r="H1799" s="13" t="e">
        <f t="shared" si="224"/>
        <v>#N/A</v>
      </c>
      <c r="I1799" t="e">
        <f t="shared" si="225"/>
        <v>#N/A</v>
      </c>
      <c r="J1799" t="e">
        <f t="shared" si="220"/>
        <v>#N/A</v>
      </c>
      <c r="K1799" s="27" t="e">
        <f t="shared" si="221"/>
        <v>#N/A</v>
      </c>
    </row>
    <row r="1800" spans="1:11">
      <c r="A1800" s="26">
        <v>1750</v>
      </c>
      <c r="B1800" s="82" t="e">
        <f t="shared" si="222"/>
        <v>#N/A</v>
      </c>
      <c r="C1800" s="58" t="e">
        <f t="shared" si="218"/>
        <v>#N/A</v>
      </c>
      <c r="D1800" s="83" t="e">
        <f t="shared" si="223"/>
        <v>#N/A</v>
      </c>
      <c r="E1800" t="e">
        <f t="shared" si="219"/>
        <v>#N/A</v>
      </c>
      <c r="G1800">
        <v>1750</v>
      </c>
      <c r="H1800" s="13" t="e">
        <f t="shared" si="224"/>
        <v>#N/A</v>
      </c>
      <c r="I1800" t="e">
        <f t="shared" si="225"/>
        <v>#N/A</v>
      </c>
      <c r="J1800" t="e">
        <f t="shared" si="220"/>
        <v>#N/A</v>
      </c>
      <c r="K1800" s="27" t="e">
        <f t="shared" si="221"/>
        <v>#N/A</v>
      </c>
    </row>
    <row r="1801" spans="1:11">
      <c r="A1801" s="26">
        <v>1751</v>
      </c>
      <c r="B1801" s="82" t="e">
        <f t="shared" si="222"/>
        <v>#N/A</v>
      </c>
      <c r="C1801" s="58" t="e">
        <f t="shared" si="218"/>
        <v>#N/A</v>
      </c>
      <c r="D1801" s="83" t="e">
        <f t="shared" si="223"/>
        <v>#N/A</v>
      </c>
      <c r="E1801" t="e">
        <f t="shared" si="219"/>
        <v>#N/A</v>
      </c>
      <c r="G1801">
        <v>1751</v>
      </c>
      <c r="H1801" s="13" t="e">
        <f t="shared" si="224"/>
        <v>#N/A</v>
      </c>
      <c r="I1801" t="e">
        <f t="shared" si="225"/>
        <v>#N/A</v>
      </c>
      <c r="J1801" t="e">
        <f t="shared" si="220"/>
        <v>#N/A</v>
      </c>
      <c r="K1801" s="27" t="e">
        <f t="shared" si="221"/>
        <v>#N/A</v>
      </c>
    </row>
    <row r="1802" spans="1:11">
      <c r="A1802" s="26">
        <v>1752</v>
      </c>
      <c r="B1802" s="82" t="e">
        <f t="shared" si="222"/>
        <v>#N/A</v>
      </c>
      <c r="C1802" s="58" t="e">
        <f t="shared" si="218"/>
        <v>#N/A</v>
      </c>
      <c r="D1802" s="83" t="e">
        <f t="shared" si="223"/>
        <v>#N/A</v>
      </c>
      <c r="E1802" t="e">
        <f t="shared" si="219"/>
        <v>#N/A</v>
      </c>
      <c r="G1802">
        <v>1752</v>
      </c>
      <c r="H1802" s="13" t="e">
        <f t="shared" si="224"/>
        <v>#N/A</v>
      </c>
      <c r="I1802" t="e">
        <f t="shared" si="225"/>
        <v>#N/A</v>
      </c>
      <c r="J1802" t="e">
        <f t="shared" si="220"/>
        <v>#N/A</v>
      </c>
      <c r="K1802" s="27" t="e">
        <f t="shared" si="221"/>
        <v>#N/A</v>
      </c>
    </row>
    <row r="1803" spans="1:11">
      <c r="A1803" s="26">
        <v>1753</v>
      </c>
      <c r="B1803" s="82" t="e">
        <f t="shared" si="222"/>
        <v>#N/A</v>
      </c>
      <c r="C1803" s="58" t="e">
        <f t="shared" si="218"/>
        <v>#N/A</v>
      </c>
      <c r="D1803" s="83" t="e">
        <f t="shared" si="223"/>
        <v>#N/A</v>
      </c>
      <c r="E1803" t="e">
        <f t="shared" si="219"/>
        <v>#N/A</v>
      </c>
      <c r="G1803">
        <v>1753</v>
      </c>
      <c r="H1803" s="13" t="e">
        <f t="shared" si="224"/>
        <v>#N/A</v>
      </c>
      <c r="I1803" t="e">
        <f t="shared" si="225"/>
        <v>#N/A</v>
      </c>
      <c r="J1803" t="e">
        <f t="shared" si="220"/>
        <v>#N/A</v>
      </c>
      <c r="K1803" s="27" t="e">
        <f t="shared" si="221"/>
        <v>#N/A</v>
      </c>
    </row>
    <row r="1804" spans="1:11">
      <c r="A1804" s="26">
        <v>1754</v>
      </c>
      <c r="B1804" s="82" t="e">
        <f t="shared" si="222"/>
        <v>#N/A</v>
      </c>
      <c r="C1804" s="58" t="e">
        <f t="shared" si="218"/>
        <v>#N/A</v>
      </c>
      <c r="D1804" s="83" t="e">
        <f t="shared" si="223"/>
        <v>#N/A</v>
      </c>
      <c r="E1804" t="e">
        <f t="shared" si="219"/>
        <v>#N/A</v>
      </c>
      <c r="G1804">
        <v>1754</v>
      </c>
      <c r="H1804" s="13" t="e">
        <f t="shared" si="224"/>
        <v>#N/A</v>
      </c>
      <c r="I1804" t="e">
        <f t="shared" si="225"/>
        <v>#N/A</v>
      </c>
      <c r="J1804" t="e">
        <f t="shared" si="220"/>
        <v>#N/A</v>
      </c>
      <c r="K1804" s="27" t="e">
        <f t="shared" si="221"/>
        <v>#N/A</v>
      </c>
    </row>
    <row r="1805" spans="1:11">
      <c r="A1805" s="26">
        <v>1755</v>
      </c>
      <c r="B1805" s="82" t="e">
        <f t="shared" si="222"/>
        <v>#N/A</v>
      </c>
      <c r="C1805" s="58" t="e">
        <f t="shared" si="218"/>
        <v>#N/A</v>
      </c>
      <c r="D1805" s="83" t="e">
        <f t="shared" si="223"/>
        <v>#N/A</v>
      </c>
      <c r="E1805" t="e">
        <f t="shared" si="219"/>
        <v>#N/A</v>
      </c>
      <c r="G1805">
        <v>1755</v>
      </c>
      <c r="H1805" s="13" t="e">
        <f t="shared" si="224"/>
        <v>#N/A</v>
      </c>
      <c r="I1805" t="e">
        <f t="shared" si="225"/>
        <v>#N/A</v>
      </c>
      <c r="J1805" t="e">
        <f t="shared" si="220"/>
        <v>#N/A</v>
      </c>
      <c r="K1805" s="27" t="e">
        <f t="shared" si="221"/>
        <v>#N/A</v>
      </c>
    </row>
    <row r="1806" spans="1:11">
      <c r="A1806" s="26">
        <v>1756</v>
      </c>
      <c r="B1806" s="82" t="e">
        <f t="shared" si="222"/>
        <v>#N/A</v>
      </c>
      <c r="C1806" s="58" t="e">
        <f t="shared" si="218"/>
        <v>#N/A</v>
      </c>
      <c r="D1806" s="83" t="e">
        <f t="shared" si="223"/>
        <v>#N/A</v>
      </c>
      <c r="E1806" t="e">
        <f t="shared" si="219"/>
        <v>#N/A</v>
      </c>
      <c r="G1806">
        <v>1756</v>
      </c>
      <c r="H1806" s="13" t="e">
        <f t="shared" si="224"/>
        <v>#N/A</v>
      </c>
      <c r="I1806" t="e">
        <f t="shared" si="225"/>
        <v>#N/A</v>
      </c>
      <c r="J1806" t="e">
        <f t="shared" si="220"/>
        <v>#N/A</v>
      </c>
      <c r="K1806" s="27" t="e">
        <f t="shared" si="221"/>
        <v>#N/A</v>
      </c>
    </row>
    <row r="1807" spans="1:11">
      <c r="A1807" s="26">
        <v>1757</v>
      </c>
      <c r="B1807" s="82" t="e">
        <f t="shared" si="222"/>
        <v>#N/A</v>
      </c>
      <c r="C1807" s="58" t="e">
        <f t="shared" si="218"/>
        <v>#N/A</v>
      </c>
      <c r="D1807" s="83" t="e">
        <f t="shared" si="223"/>
        <v>#N/A</v>
      </c>
      <c r="E1807" t="e">
        <f t="shared" si="219"/>
        <v>#N/A</v>
      </c>
      <c r="G1807">
        <v>1757</v>
      </c>
      <c r="H1807" s="13" t="e">
        <f t="shared" si="224"/>
        <v>#N/A</v>
      </c>
      <c r="I1807" t="e">
        <f t="shared" si="225"/>
        <v>#N/A</v>
      </c>
      <c r="J1807" t="e">
        <f t="shared" si="220"/>
        <v>#N/A</v>
      </c>
      <c r="K1807" s="27" t="e">
        <f t="shared" si="221"/>
        <v>#N/A</v>
      </c>
    </row>
    <row r="1808" spans="1:11">
      <c r="A1808" s="26">
        <v>1758</v>
      </c>
      <c r="B1808" s="82" t="e">
        <f t="shared" si="222"/>
        <v>#N/A</v>
      </c>
      <c r="C1808" s="58" t="e">
        <f t="shared" ref="C1808:C1871" si="226">($C$37-$C$36)/2000+C1807</f>
        <v>#N/A</v>
      </c>
      <c r="D1808" s="83" t="e">
        <f t="shared" si="223"/>
        <v>#N/A</v>
      </c>
      <c r="E1808" t="e">
        <f t="shared" si="219"/>
        <v>#N/A</v>
      </c>
      <c r="G1808">
        <v>1758</v>
      </c>
      <c r="H1808" s="13" t="e">
        <f t="shared" si="224"/>
        <v>#N/A</v>
      </c>
      <c r="I1808" t="e">
        <f t="shared" si="225"/>
        <v>#N/A</v>
      </c>
      <c r="J1808" t="e">
        <f t="shared" si="220"/>
        <v>#N/A</v>
      </c>
      <c r="K1808" s="27" t="e">
        <f t="shared" si="221"/>
        <v>#N/A</v>
      </c>
    </row>
    <row r="1809" spans="1:11">
      <c r="A1809" s="26">
        <v>1759</v>
      </c>
      <c r="B1809" s="82" t="e">
        <f t="shared" si="222"/>
        <v>#N/A</v>
      </c>
      <c r="C1809" s="58" t="e">
        <f t="shared" si="226"/>
        <v>#N/A</v>
      </c>
      <c r="D1809" s="83" t="e">
        <f t="shared" si="223"/>
        <v>#N/A</v>
      </c>
      <c r="E1809" t="e">
        <f t="shared" si="219"/>
        <v>#N/A</v>
      </c>
      <c r="G1809">
        <v>1759</v>
      </c>
      <c r="H1809" s="13" t="e">
        <f t="shared" si="224"/>
        <v>#N/A</v>
      </c>
      <c r="I1809" t="e">
        <f t="shared" si="225"/>
        <v>#N/A</v>
      </c>
      <c r="J1809" t="e">
        <f t="shared" si="220"/>
        <v>#N/A</v>
      </c>
      <c r="K1809" s="27" t="e">
        <f t="shared" si="221"/>
        <v>#N/A</v>
      </c>
    </row>
    <row r="1810" spans="1:11">
      <c r="A1810" s="26">
        <v>1760</v>
      </c>
      <c r="B1810" s="82" t="e">
        <f t="shared" si="222"/>
        <v>#N/A</v>
      </c>
      <c r="C1810" s="58" t="e">
        <f t="shared" si="226"/>
        <v>#N/A</v>
      </c>
      <c r="D1810" s="83" t="e">
        <f t="shared" si="223"/>
        <v>#N/A</v>
      </c>
      <c r="E1810" t="e">
        <f t="shared" si="219"/>
        <v>#N/A</v>
      </c>
      <c r="G1810">
        <v>1760</v>
      </c>
      <c r="H1810" s="13" t="e">
        <f t="shared" si="224"/>
        <v>#N/A</v>
      </c>
      <c r="I1810" t="e">
        <f t="shared" si="225"/>
        <v>#N/A</v>
      </c>
      <c r="J1810" t="e">
        <f t="shared" si="220"/>
        <v>#N/A</v>
      </c>
      <c r="K1810" s="27" t="e">
        <f t="shared" si="221"/>
        <v>#N/A</v>
      </c>
    </row>
    <row r="1811" spans="1:11">
      <c r="A1811" s="26">
        <v>1761</v>
      </c>
      <c r="B1811" s="82" t="e">
        <f t="shared" si="222"/>
        <v>#N/A</v>
      </c>
      <c r="C1811" s="58" t="e">
        <f t="shared" si="226"/>
        <v>#N/A</v>
      </c>
      <c r="D1811" s="83" t="e">
        <f t="shared" si="223"/>
        <v>#N/A</v>
      </c>
      <c r="E1811" t="e">
        <f t="shared" si="219"/>
        <v>#N/A</v>
      </c>
      <c r="G1811">
        <v>1761</v>
      </c>
      <c r="H1811" s="13" t="e">
        <f t="shared" si="224"/>
        <v>#N/A</v>
      </c>
      <c r="I1811" t="e">
        <f t="shared" si="225"/>
        <v>#N/A</v>
      </c>
      <c r="J1811" t="e">
        <f t="shared" si="220"/>
        <v>#N/A</v>
      </c>
      <c r="K1811" s="27" t="e">
        <f t="shared" si="221"/>
        <v>#N/A</v>
      </c>
    </row>
    <row r="1812" spans="1:11">
      <c r="A1812" s="26">
        <v>1762</v>
      </c>
      <c r="B1812" s="82" t="e">
        <f t="shared" si="222"/>
        <v>#N/A</v>
      </c>
      <c r="C1812" s="58" t="e">
        <f t="shared" si="226"/>
        <v>#N/A</v>
      </c>
      <c r="D1812" s="83" t="e">
        <f t="shared" si="223"/>
        <v>#N/A</v>
      </c>
      <c r="E1812" t="e">
        <f t="shared" si="219"/>
        <v>#N/A</v>
      </c>
      <c r="G1812">
        <v>1762</v>
      </c>
      <c r="H1812" s="13" t="e">
        <f t="shared" si="224"/>
        <v>#N/A</v>
      </c>
      <c r="I1812" t="e">
        <f t="shared" si="225"/>
        <v>#N/A</v>
      </c>
      <c r="J1812" t="e">
        <f t="shared" si="220"/>
        <v>#N/A</v>
      </c>
      <c r="K1812" s="27" t="e">
        <f t="shared" si="221"/>
        <v>#N/A</v>
      </c>
    </row>
    <row r="1813" spans="1:11">
      <c r="A1813" s="26">
        <v>1763</v>
      </c>
      <c r="B1813" s="82" t="e">
        <f t="shared" si="222"/>
        <v>#N/A</v>
      </c>
      <c r="C1813" s="58" t="e">
        <f t="shared" si="226"/>
        <v>#N/A</v>
      </c>
      <c r="D1813" s="83" t="e">
        <f t="shared" si="223"/>
        <v>#N/A</v>
      </c>
      <c r="E1813" t="e">
        <f t="shared" si="219"/>
        <v>#N/A</v>
      </c>
      <c r="G1813">
        <v>1763</v>
      </c>
      <c r="H1813" s="13" t="e">
        <f t="shared" si="224"/>
        <v>#N/A</v>
      </c>
      <c r="I1813" t="e">
        <f t="shared" si="225"/>
        <v>#N/A</v>
      </c>
      <c r="J1813" t="e">
        <f t="shared" si="220"/>
        <v>#N/A</v>
      </c>
      <c r="K1813" s="27" t="e">
        <f t="shared" si="221"/>
        <v>#N/A</v>
      </c>
    </row>
    <row r="1814" spans="1:11">
      <c r="A1814" s="26">
        <v>1764</v>
      </c>
      <c r="B1814" s="82" t="e">
        <f t="shared" si="222"/>
        <v>#N/A</v>
      </c>
      <c r="C1814" s="58" t="e">
        <f t="shared" si="226"/>
        <v>#N/A</v>
      </c>
      <c r="D1814" s="83" t="e">
        <f t="shared" si="223"/>
        <v>#N/A</v>
      </c>
      <c r="E1814" t="e">
        <f t="shared" si="219"/>
        <v>#N/A</v>
      </c>
      <c r="G1814">
        <v>1764</v>
      </c>
      <c r="H1814" s="13" t="e">
        <f t="shared" si="224"/>
        <v>#N/A</v>
      </c>
      <c r="I1814" t="e">
        <f t="shared" si="225"/>
        <v>#N/A</v>
      </c>
      <c r="J1814" t="e">
        <f t="shared" si="220"/>
        <v>#N/A</v>
      </c>
      <c r="K1814" s="27" t="e">
        <f t="shared" si="221"/>
        <v>#N/A</v>
      </c>
    </row>
    <row r="1815" spans="1:11">
      <c r="A1815" s="26">
        <v>1765</v>
      </c>
      <c r="B1815" s="82" t="e">
        <f t="shared" si="222"/>
        <v>#N/A</v>
      </c>
      <c r="C1815" s="58" t="e">
        <f t="shared" si="226"/>
        <v>#N/A</v>
      </c>
      <c r="D1815" s="83" t="e">
        <f t="shared" si="223"/>
        <v>#N/A</v>
      </c>
      <c r="E1815" t="e">
        <f t="shared" si="219"/>
        <v>#N/A</v>
      </c>
      <c r="G1815">
        <v>1765</v>
      </c>
      <c r="H1815" s="13" t="e">
        <f t="shared" si="224"/>
        <v>#N/A</v>
      </c>
      <c r="I1815" t="e">
        <f t="shared" si="225"/>
        <v>#N/A</v>
      </c>
      <c r="J1815" t="e">
        <f t="shared" si="220"/>
        <v>#N/A</v>
      </c>
      <c r="K1815" s="27" t="e">
        <f t="shared" si="221"/>
        <v>#N/A</v>
      </c>
    </row>
    <row r="1816" spans="1:11">
      <c r="A1816" s="26">
        <v>1766</v>
      </c>
      <c r="B1816" s="82" t="e">
        <f t="shared" si="222"/>
        <v>#N/A</v>
      </c>
      <c r="C1816" s="58" t="e">
        <f t="shared" si="226"/>
        <v>#N/A</v>
      </c>
      <c r="D1816" s="83" t="e">
        <f t="shared" si="223"/>
        <v>#N/A</v>
      </c>
      <c r="E1816" t="e">
        <f t="shared" si="219"/>
        <v>#N/A</v>
      </c>
      <c r="G1816">
        <v>1766</v>
      </c>
      <c r="H1816" s="13" t="e">
        <f t="shared" si="224"/>
        <v>#N/A</v>
      </c>
      <c r="I1816" t="e">
        <f t="shared" si="225"/>
        <v>#N/A</v>
      </c>
      <c r="J1816" t="e">
        <f t="shared" si="220"/>
        <v>#N/A</v>
      </c>
      <c r="K1816" s="27" t="e">
        <f t="shared" si="221"/>
        <v>#N/A</v>
      </c>
    </row>
    <row r="1817" spans="1:11">
      <c r="A1817" s="26">
        <v>1767</v>
      </c>
      <c r="B1817" s="82" t="e">
        <f t="shared" si="222"/>
        <v>#N/A</v>
      </c>
      <c r="C1817" s="58" t="e">
        <f t="shared" si="226"/>
        <v>#N/A</v>
      </c>
      <c r="D1817" s="83" t="e">
        <f t="shared" si="223"/>
        <v>#N/A</v>
      </c>
      <c r="E1817" t="e">
        <f t="shared" si="219"/>
        <v>#N/A</v>
      </c>
      <c r="G1817">
        <v>1767</v>
      </c>
      <c r="H1817" s="13" t="e">
        <f t="shared" si="224"/>
        <v>#N/A</v>
      </c>
      <c r="I1817" t="e">
        <f t="shared" si="225"/>
        <v>#N/A</v>
      </c>
      <c r="J1817" t="e">
        <f t="shared" si="220"/>
        <v>#N/A</v>
      </c>
      <c r="K1817" s="27" t="e">
        <f t="shared" si="221"/>
        <v>#N/A</v>
      </c>
    </row>
    <row r="1818" spans="1:11">
      <c r="A1818" s="26">
        <v>1768</v>
      </c>
      <c r="B1818" s="82" t="e">
        <f t="shared" si="222"/>
        <v>#N/A</v>
      </c>
      <c r="C1818" s="58" t="e">
        <f t="shared" si="226"/>
        <v>#N/A</v>
      </c>
      <c r="D1818" s="83" t="e">
        <f t="shared" si="223"/>
        <v>#N/A</v>
      </c>
      <c r="E1818" t="e">
        <f t="shared" si="219"/>
        <v>#N/A</v>
      </c>
      <c r="G1818">
        <v>1768</v>
      </c>
      <c r="H1818" s="13" t="e">
        <f t="shared" si="224"/>
        <v>#N/A</v>
      </c>
      <c r="I1818" t="e">
        <f t="shared" si="225"/>
        <v>#N/A</v>
      </c>
      <c r="J1818" t="e">
        <f t="shared" si="220"/>
        <v>#N/A</v>
      </c>
      <c r="K1818" s="27" t="e">
        <f t="shared" si="221"/>
        <v>#N/A</v>
      </c>
    </row>
    <row r="1819" spans="1:11">
      <c r="A1819" s="26">
        <v>1769</v>
      </c>
      <c r="B1819" s="82" t="e">
        <f t="shared" si="222"/>
        <v>#N/A</v>
      </c>
      <c r="C1819" s="58" t="e">
        <f t="shared" si="226"/>
        <v>#N/A</v>
      </c>
      <c r="D1819" s="83" t="e">
        <f t="shared" si="223"/>
        <v>#N/A</v>
      </c>
      <c r="E1819" t="e">
        <f t="shared" si="219"/>
        <v>#N/A</v>
      </c>
      <c r="G1819">
        <v>1769</v>
      </c>
      <c r="H1819" s="13" t="e">
        <f t="shared" si="224"/>
        <v>#N/A</v>
      </c>
      <c r="I1819" t="e">
        <f t="shared" si="225"/>
        <v>#N/A</v>
      </c>
      <c r="J1819" t="e">
        <f t="shared" si="220"/>
        <v>#N/A</v>
      </c>
      <c r="K1819" s="27" t="e">
        <f t="shared" si="221"/>
        <v>#N/A</v>
      </c>
    </row>
    <row r="1820" spans="1:11">
      <c r="A1820" s="26">
        <v>1770</v>
      </c>
      <c r="B1820" s="82" t="e">
        <f t="shared" si="222"/>
        <v>#N/A</v>
      </c>
      <c r="C1820" s="58" t="e">
        <f t="shared" si="226"/>
        <v>#N/A</v>
      </c>
      <c r="D1820" s="83" t="e">
        <f t="shared" si="223"/>
        <v>#N/A</v>
      </c>
      <c r="E1820" t="e">
        <f t="shared" si="219"/>
        <v>#N/A</v>
      </c>
      <c r="G1820">
        <v>1770</v>
      </c>
      <c r="H1820" s="13" t="e">
        <f t="shared" si="224"/>
        <v>#N/A</v>
      </c>
      <c r="I1820" t="e">
        <f t="shared" si="225"/>
        <v>#N/A</v>
      </c>
      <c r="J1820" t="e">
        <f t="shared" si="220"/>
        <v>#N/A</v>
      </c>
      <c r="K1820" s="27" t="e">
        <f t="shared" si="221"/>
        <v>#N/A</v>
      </c>
    </row>
    <row r="1821" spans="1:11">
      <c r="A1821" s="26">
        <v>1771</v>
      </c>
      <c r="B1821" s="82" t="e">
        <f t="shared" si="222"/>
        <v>#N/A</v>
      </c>
      <c r="C1821" s="58" t="e">
        <f t="shared" si="226"/>
        <v>#N/A</v>
      </c>
      <c r="D1821" s="83" t="e">
        <f t="shared" si="223"/>
        <v>#N/A</v>
      </c>
      <c r="E1821" t="e">
        <f t="shared" si="219"/>
        <v>#N/A</v>
      </c>
      <c r="G1821">
        <v>1771</v>
      </c>
      <c r="H1821" s="13" t="e">
        <f t="shared" si="224"/>
        <v>#N/A</v>
      </c>
      <c r="I1821" t="e">
        <f t="shared" si="225"/>
        <v>#N/A</v>
      </c>
      <c r="J1821" t="e">
        <f t="shared" si="220"/>
        <v>#N/A</v>
      </c>
      <c r="K1821" s="27" t="e">
        <f t="shared" si="221"/>
        <v>#N/A</v>
      </c>
    </row>
    <row r="1822" spans="1:11">
      <c r="A1822" s="26">
        <v>1772</v>
      </c>
      <c r="B1822" s="82" t="e">
        <f t="shared" si="222"/>
        <v>#N/A</v>
      </c>
      <c r="C1822" s="58" t="e">
        <f t="shared" si="226"/>
        <v>#N/A</v>
      </c>
      <c r="D1822" s="83" t="e">
        <f t="shared" si="223"/>
        <v>#N/A</v>
      </c>
      <c r="E1822" t="e">
        <f t="shared" si="219"/>
        <v>#N/A</v>
      </c>
      <c r="G1822">
        <v>1772</v>
      </c>
      <c r="H1822" s="13" t="e">
        <f t="shared" si="224"/>
        <v>#N/A</v>
      </c>
      <c r="I1822" t="e">
        <f t="shared" si="225"/>
        <v>#N/A</v>
      </c>
      <c r="J1822" t="e">
        <f t="shared" si="220"/>
        <v>#N/A</v>
      </c>
      <c r="K1822" s="27" t="e">
        <f t="shared" si="221"/>
        <v>#N/A</v>
      </c>
    </row>
    <row r="1823" spans="1:11">
      <c r="A1823" s="26">
        <v>1773</v>
      </c>
      <c r="B1823" s="82" t="e">
        <f t="shared" si="222"/>
        <v>#N/A</v>
      </c>
      <c r="C1823" s="58" t="e">
        <f t="shared" si="226"/>
        <v>#N/A</v>
      </c>
      <c r="D1823" s="83" t="e">
        <f t="shared" si="223"/>
        <v>#N/A</v>
      </c>
      <c r="E1823" t="e">
        <f t="shared" si="219"/>
        <v>#N/A</v>
      </c>
      <c r="G1823">
        <v>1773</v>
      </c>
      <c r="H1823" s="13" t="e">
        <f t="shared" si="224"/>
        <v>#N/A</v>
      </c>
      <c r="I1823" t="e">
        <f t="shared" si="225"/>
        <v>#N/A</v>
      </c>
      <c r="J1823" t="e">
        <f t="shared" si="220"/>
        <v>#N/A</v>
      </c>
      <c r="K1823" s="27" t="e">
        <f t="shared" si="221"/>
        <v>#N/A</v>
      </c>
    </row>
    <row r="1824" spans="1:11">
      <c r="A1824" s="26">
        <v>1774</v>
      </c>
      <c r="B1824" s="82" t="e">
        <f t="shared" si="222"/>
        <v>#N/A</v>
      </c>
      <c r="C1824" s="58" t="e">
        <f t="shared" si="226"/>
        <v>#N/A</v>
      </c>
      <c r="D1824" s="83" t="e">
        <f t="shared" si="223"/>
        <v>#N/A</v>
      </c>
      <c r="E1824" t="e">
        <f t="shared" si="219"/>
        <v>#N/A</v>
      </c>
      <c r="G1824">
        <v>1774</v>
      </c>
      <c r="H1824" s="13" t="e">
        <f t="shared" si="224"/>
        <v>#N/A</v>
      </c>
      <c r="I1824" t="e">
        <f t="shared" si="225"/>
        <v>#N/A</v>
      </c>
      <c r="J1824" t="e">
        <f t="shared" si="220"/>
        <v>#N/A</v>
      </c>
      <c r="K1824" s="27" t="e">
        <f t="shared" si="221"/>
        <v>#N/A</v>
      </c>
    </row>
    <row r="1825" spans="1:11">
      <c r="A1825" s="26">
        <v>1775</v>
      </c>
      <c r="B1825" s="82" t="e">
        <f t="shared" si="222"/>
        <v>#N/A</v>
      </c>
      <c r="C1825" s="58" t="e">
        <f t="shared" si="226"/>
        <v>#N/A</v>
      </c>
      <c r="D1825" s="83" t="e">
        <f t="shared" si="223"/>
        <v>#N/A</v>
      </c>
      <c r="E1825" t="e">
        <f t="shared" si="219"/>
        <v>#N/A</v>
      </c>
      <c r="G1825">
        <v>1775</v>
      </c>
      <c r="H1825" s="13" t="e">
        <f t="shared" si="224"/>
        <v>#N/A</v>
      </c>
      <c r="I1825" t="e">
        <f t="shared" si="225"/>
        <v>#N/A</v>
      </c>
      <c r="J1825" t="e">
        <f t="shared" si="220"/>
        <v>#N/A</v>
      </c>
      <c r="K1825" s="27" t="e">
        <f t="shared" si="221"/>
        <v>#N/A</v>
      </c>
    </row>
    <row r="1826" spans="1:11">
      <c r="A1826" s="26">
        <v>1776</v>
      </c>
      <c r="B1826" s="82" t="e">
        <f t="shared" si="222"/>
        <v>#N/A</v>
      </c>
      <c r="C1826" s="58" t="e">
        <f t="shared" si="226"/>
        <v>#N/A</v>
      </c>
      <c r="D1826" s="83" t="e">
        <f t="shared" si="223"/>
        <v>#N/A</v>
      </c>
      <c r="E1826" t="e">
        <f t="shared" si="219"/>
        <v>#N/A</v>
      </c>
      <c r="G1826">
        <v>1776</v>
      </c>
      <c r="H1826" s="13" t="e">
        <f t="shared" si="224"/>
        <v>#N/A</v>
      </c>
      <c r="I1826" t="e">
        <f t="shared" si="225"/>
        <v>#N/A</v>
      </c>
      <c r="J1826" t="e">
        <f t="shared" si="220"/>
        <v>#N/A</v>
      </c>
      <c r="K1826" s="27" t="e">
        <f t="shared" si="221"/>
        <v>#N/A</v>
      </c>
    </row>
    <row r="1827" spans="1:11">
      <c r="A1827" s="26">
        <v>1777</v>
      </c>
      <c r="B1827" s="82" t="e">
        <f t="shared" si="222"/>
        <v>#N/A</v>
      </c>
      <c r="C1827" s="58" t="e">
        <f t="shared" si="226"/>
        <v>#N/A</v>
      </c>
      <c r="D1827" s="83" t="e">
        <f t="shared" si="223"/>
        <v>#N/A</v>
      </c>
      <c r="E1827" t="e">
        <f t="shared" si="219"/>
        <v>#N/A</v>
      </c>
      <c r="G1827">
        <v>1777</v>
      </c>
      <c r="H1827" s="13" t="e">
        <f t="shared" si="224"/>
        <v>#N/A</v>
      </c>
      <c r="I1827" t="e">
        <f t="shared" si="225"/>
        <v>#N/A</v>
      </c>
      <c r="J1827" t="e">
        <f t="shared" si="220"/>
        <v>#N/A</v>
      </c>
      <c r="K1827" s="27" t="e">
        <f t="shared" si="221"/>
        <v>#N/A</v>
      </c>
    </row>
    <row r="1828" spans="1:11">
      <c r="A1828" s="26">
        <v>1778</v>
      </c>
      <c r="B1828" s="82" t="e">
        <f t="shared" si="222"/>
        <v>#N/A</v>
      </c>
      <c r="C1828" s="58" t="e">
        <f t="shared" si="226"/>
        <v>#N/A</v>
      </c>
      <c r="D1828" s="83" t="e">
        <f t="shared" si="223"/>
        <v>#N/A</v>
      </c>
      <c r="E1828" t="e">
        <f t="shared" si="219"/>
        <v>#N/A</v>
      </c>
      <c r="G1828">
        <v>1778</v>
      </c>
      <c r="H1828" s="13" t="e">
        <f t="shared" si="224"/>
        <v>#N/A</v>
      </c>
      <c r="I1828" t="e">
        <f t="shared" si="225"/>
        <v>#N/A</v>
      </c>
      <c r="J1828" t="e">
        <f t="shared" si="220"/>
        <v>#N/A</v>
      </c>
      <c r="K1828" s="27" t="e">
        <f t="shared" si="221"/>
        <v>#N/A</v>
      </c>
    </row>
    <row r="1829" spans="1:11">
      <c r="A1829" s="26">
        <v>1779</v>
      </c>
      <c r="B1829" s="82" t="e">
        <f t="shared" si="222"/>
        <v>#N/A</v>
      </c>
      <c r="C1829" s="58" t="e">
        <f t="shared" si="226"/>
        <v>#N/A</v>
      </c>
      <c r="D1829" s="83" t="e">
        <f t="shared" si="223"/>
        <v>#N/A</v>
      </c>
      <c r="E1829" t="e">
        <f t="shared" si="219"/>
        <v>#N/A</v>
      </c>
      <c r="G1829">
        <v>1779</v>
      </c>
      <c r="H1829" s="13" t="e">
        <f t="shared" si="224"/>
        <v>#N/A</v>
      </c>
      <c r="I1829" t="e">
        <f t="shared" si="225"/>
        <v>#N/A</v>
      </c>
      <c r="J1829" t="e">
        <f t="shared" si="220"/>
        <v>#N/A</v>
      </c>
      <c r="K1829" s="27" t="e">
        <f t="shared" si="221"/>
        <v>#N/A</v>
      </c>
    </row>
    <row r="1830" spans="1:11">
      <c r="A1830" s="26">
        <v>1780</v>
      </c>
      <c r="B1830" s="82" t="e">
        <f t="shared" si="222"/>
        <v>#N/A</v>
      </c>
      <c r="C1830" s="58" t="e">
        <f t="shared" si="226"/>
        <v>#N/A</v>
      </c>
      <c r="D1830" s="83" t="e">
        <f t="shared" si="223"/>
        <v>#N/A</v>
      </c>
      <c r="E1830" t="e">
        <f t="shared" si="219"/>
        <v>#N/A</v>
      </c>
      <c r="G1830">
        <v>1780</v>
      </c>
      <c r="H1830" s="13" t="e">
        <f t="shared" si="224"/>
        <v>#N/A</v>
      </c>
      <c r="I1830" t="e">
        <f t="shared" si="225"/>
        <v>#N/A</v>
      </c>
      <c r="J1830" t="e">
        <f t="shared" si="220"/>
        <v>#N/A</v>
      </c>
      <c r="K1830" s="27" t="e">
        <f t="shared" si="221"/>
        <v>#N/A</v>
      </c>
    </row>
    <row r="1831" spans="1:11">
      <c r="A1831" s="26">
        <v>1781</v>
      </c>
      <c r="B1831" s="82" t="e">
        <f t="shared" si="222"/>
        <v>#N/A</v>
      </c>
      <c r="C1831" s="58" t="e">
        <f t="shared" si="226"/>
        <v>#N/A</v>
      </c>
      <c r="D1831" s="83" t="e">
        <f t="shared" si="223"/>
        <v>#N/A</v>
      </c>
      <c r="E1831" t="e">
        <f t="shared" si="219"/>
        <v>#N/A</v>
      </c>
      <c r="G1831">
        <v>1781</v>
      </c>
      <c r="H1831" s="13" t="e">
        <f t="shared" si="224"/>
        <v>#N/A</v>
      </c>
      <c r="I1831" t="e">
        <f t="shared" si="225"/>
        <v>#N/A</v>
      </c>
      <c r="J1831" t="e">
        <f t="shared" si="220"/>
        <v>#N/A</v>
      </c>
      <c r="K1831" s="27" t="e">
        <f t="shared" si="221"/>
        <v>#N/A</v>
      </c>
    </row>
    <row r="1832" spans="1:11">
      <c r="A1832" s="26">
        <v>1782</v>
      </c>
      <c r="B1832" s="82" t="e">
        <f t="shared" si="222"/>
        <v>#N/A</v>
      </c>
      <c r="C1832" s="58" t="e">
        <f t="shared" si="226"/>
        <v>#N/A</v>
      </c>
      <c r="D1832" s="83" t="e">
        <f t="shared" si="223"/>
        <v>#N/A</v>
      </c>
      <c r="E1832" t="e">
        <f t="shared" si="219"/>
        <v>#N/A</v>
      </c>
      <c r="G1832">
        <v>1782</v>
      </c>
      <c r="H1832" s="13" t="e">
        <f t="shared" si="224"/>
        <v>#N/A</v>
      </c>
      <c r="I1832" t="e">
        <f t="shared" si="225"/>
        <v>#N/A</v>
      </c>
      <c r="J1832" t="e">
        <f t="shared" si="220"/>
        <v>#N/A</v>
      </c>
      <c r="K1832" s="27" t="e">
        <f t="shared" si="221"/>
        <v>#N/A</v>
      </c>
    </row>
    <row r="1833" spans="1:11">
      <c r="A1833" s="26">
        <v>1783</v>
      </c>
      <c r="B1833" s="82" t="e">
        <f t="shared" si="222"/>
        <v>#N/A</v>
      </c>
      <c r="C1833" s="58" t="e">
        <f t="shared" si="226"/>
        <v>#N/A</v>
      </c>
      <c r="D1833" s="83" t="e">
        <f t="shared" si="223"/>
        <v>#N/A</v>
      </c>
      <c r="E1833" t="e">
        <f t="shared" si="219"/>
        <v>#N/A</v>
      </c>
      <c r="G1833">
        <v>1783</v>
      </c>
      <c r="H1833" s="13" t="e">
        <f t="shared" si="224"/>
        <v>#N/A</v>
      </c>
      <c r="I1833" t="e">
        <f t="shared" si="225"/>
        <v>#N/A</v>
      </c>
      <c r="J1833" t="e">
        <f t="shared" si="220"/>
        <v>#N/A</v>
      </c>
      <c r="K1833" s="27" t="e">
        <f t="shared" si="221"/>
        <v>#N/A</v>
      </c>
    </row>
    <row r="1834" spans="1:11">
      <c r="A1834" s="26">
        <v>1784</v>
      </c>
      <c r="B1834" s="82" t="e">
        <f t="shared" si="222"/>
        <v>#N/A</v>
      </c>
      <c r="C1834" s="58" t="e">
        <f t="shared" si="226"/>
        <v>#N/A</v>
      </c>
      <c r="D1834" s="83" t="e">
        <f t="shared" si="223"/>
        <v>#N/A</v>
      </c>
      <c r="E1834" t="e">
        <f t="shared" si="219"/>
        <v>#N/A</v>
      </c>
      <c r="G1834">
        <v>1784</v>
      </c>
      <c r="H1834" s="13" t="e">
        <f t="shared" si="224"/>
        <v>#N/A</v>
      </c>
      <c r="I1834" t="e">
        <f t="shared" si="225"/>
        <v>#N/A</v>
      </c>
      <c r="J1834" t="e">
        <f t="shared" si="220"/>
        <v>#N/A</v>
      </c>
      <c r="K1834" s="27" t="e">
        <f t="shared" si="221"/>
        <v>#N/A</v>
      </c>
    </row>
    <row r="1835" spans="1:11">
      <c r="A1835" s="26">
        <v>1785</v>
      </c>
      <c r="B1835" s="82" t="e">
        <f t="shared" si="222"/>
        <v>#N/A</v>
      </c>
      <c r="C1835" s="58" t="e">
        <f t="shared" si="226"/>
        <v>#N/A</v>
      </c>
      <c r="D1835" s="83" t="e">
        <f t="shared" si="223"/>
        <v>#N/A</v>
      </c>
      <c r="E1835" t="e">
        <f t="shared" si="219"/>
        <v>#N/A</v>
      </c>
      <c r="G1835">
        <v>1785</v>
      </c>
      <c r="H1835" s="13" t="e">
        <f t="shared" si="224"/>
        <v>#N/A</v>
      </c>
      <c r="I1835" t="e">
        <f t="shared" si="225"/>
        <v>#N/A</v>
      </c>
      <c r="J1835" t="e">
        <f t="shared" si="220"/>
        <v>#N/A</v>
      </c>
      <c r="K1835" s="27" t="e">
        <f t="shared" si="221"/>
        <v>#N/A</v>
      </c>
    </row>
    <row r="1836" spans="1:11">
      <c r="A1836" s="26">
        <v>1786</v>
      </c>
      <c r="B1836" s="82" t="e">
        <f t="shared" si="222"/>
        <v>#N/A</v>
      </c>
      <c r="C1836" s="58" t="e">
        <f t="shared" si="226"/>
        <v>#N/A</v>
      </c>
      <c r="D1836" s="83" t="e">
        <f t="shared" si="223"/>
        <v>#N/A</v>
      </c>
      <c r="E1836" t="e">
        <f t="shared" si="219"/>
        <v>#N/A</v>
      </c>
      <c r="G1836">
        <v>1786</v>
      </c>
      <c r="H1836" s="13" t="e">
        <f t="shared" si="224"/>
        <v>#N/A</v>
      </c>
      <c r="I1836" t="e">
        <f t="shared" si="225"/>
        <v>#N/A</v>
      </c>
      <c r="J1836" t="e">
        <f t="shared" si="220"/>
        <v>#N/A</v>
      </c>
      <c r="K1836" s="27" t="e">
        <f t="shared" si="221"/>
        <v>#N/A</v>
      </c>
    </row>
    <row r="1837" spans="1:11">
      <c r="A1837" s="26">
        <v>1787</v>
      </c>
      <c r="B1837" s="82" t="e">
        <f t="shared" si="222"/>
        <v>#N/A</v>
      </c>
      <c r="C1837" s="58" t="e">
        <f t="shared" si="226"/>
        <v>#N/A</v>
      </c>
      <c r="D1837" s="83" t="e">
        <f t="shared" si="223"/>
        <v>#N/A</v>
      </c>
      <c r="E1837" t="e">
        <f t="shared" si="219"/>
        <v>#N/A</v>
      </c>
      <c r="G1837">
        <v>1787</v>
      </c>
      <c r="H1837" s="13" t="e">
        <f t="shared" si="224"/>
        <v>#N/A</v>
      </c>
      <c r="I1837" t="e">
        <f t="shared" si="225"/>
        <v>#N/A</v>
      </c>
      <c r="J1837" t="e">
        <f t="shared" si="220"/>
        <v>#N/A</v>
      </c>
      <c r="K1837" s="27" t="e">
        <f t="shared" si="221"/>
        <v>#N/A</v>
      </c>
    </row>
    <row r="1838" spans="1:11">
      <c r="A1838" s="26">
        <v>1788</v>
      </c>
      <c r="B1838" s="82" t="e">
        <f t="shared" si="222"/>
        <v>#N/A</v>
      </c>
      <c r="C1838" s="58" t="e">
        <f t="shared" si="226"/>
        <v>#N/A</v>
      </c>
      <c r="D1838" s="83" t="e">
        <f t="shared" si="223"/>
        <v>#N/A</v>
      </c>
      <c r="E1838" t="e">
        <f t="shared" si="219"/>
        <v>#N/A</v>
      </c>
      <c r="G1838">
        <v>1788</v>
      </c>
      <c r="H1838" s="13" t="e">
        <f t="shared" si="224"/>
        <v>#N/A</v>
      </c>
      <c r="I1838" t="e">
        <f t="shared" si="225"/>
        <v>#N/A</v>
      </c>
      <c r="J1838" t="e">
        <f t="shared" si="220"/>
        <v>#N/A</v>
      </c>
      <c r="K1838" s="27" t="e">
        <f t="shared" si="221"/>
        <v>#N/A</v>
      </c>
    </row>
    <row r="1839" spans="1:11">
      <c r="A1839" s="26">
        <v>1789</v>
      </c>
      <c r="B1839" s="82" t="e">
        <f t="shared" si="222"/>
        <v>#N/A</v>
      </c>
      <c r="C1839" s="58" t="e">
        <f t="shared" si="226"/>
        <v>#N/A</v>
      </c>
      <c r="D1839" s="83" t="e">
        <f t="shared" si="223"/>
        <v>#N/A</v>
      </c>
      <c r="E1839" t="e">
        <f t="shared" si="219"/>
        <v>#N/A</v>
      </c>
      <c r="G1839">
        <v>1789</v>
      </c>
      <c r="H1839" s="13" t="e">
        <f t="shared" si="224"/>
        <v>#N/A</v>
      </c>
      <c r="I1839" t="e">
        <f t="shared" si="225"/>
        <v>#N/A</v>
      </c>
      <c r="J1839" t="e">
        <f t="shared" si="220"/>
        <v>#N/A</v>
      </c>
      <c r="K1839" s="27" t="e">
        <f t="shared" si="221"/>
        <v>#N/A</v>
      </c>
    </row>
    <row r="1840" spans="1:11">
      <c r="A1840" s="26">
        <v>1790</v>
      </c>
      <c r="B1840" s="82" t="e">
        <f t="shared" si="222"/>
        <v>#N/A</v>
      </c>
      <c r="C1840" s="58" t="e">
        <f t="shared" si="226"/>
        <v>#N/A</v>
      </c>
      <c r="D1840" s="83" t="e">
        <f t="shared" si="223"/>
        <v>#N/A</v>
      </c>
      <c r="E1840" t="e">
        <f t="shared" si="219"/>
        <v>#N/A</v>
      </c>
      <c r="G1840">
        <v>1790</v>
      </c>
      <c r="H1840" s="13" t="e">
        <f t="shared" si="224"/>
        <v>#N/A</v>
      </c>
      <c r="I1840" t="e">
        <f t="shared" si="225"/>
        <v>#N/A</v>
      </c>
      <c r="J1840" t="e">
        <f t="shared" si="220"/>
        <v>#N/A</v>
      </c>
      <c r="K1840" s="27" t="e">
        <f t="shared" si="221"/>
        <v>#N/A</v>
      </c>
    </row>
    <row r="1841" spans="1:11">
      <c r="A1841" s="26">
        <v>1791</v>
      </c>
      <c r="B1841" s="82" t="e">
        <f t="shared" si="222"/>
        <v>#N/A</v>
      </c>
      <c r="C1841" s="58" t="e">
        <f t="shared" si="226"/>
        <v>#N/A</v>
      </c>
      <c r="D1841" s="83" t="e">
        <f t="shared" si="223"/>
        <v>#N/A</v>
      </c>
      <c r="E1841" t="e">
        <f t="shared" si="219"/>
        <v>#N/A</v>
      </c>
      <c r="G1841">
        <v>1791</v>
      </c>
      <c r="H1841" s="13" t="e">
        <f t="shared" si="224"/>
        <v>#N/A</v>
      </c>
      <c r="I1841" t="e">
        <f t="shared" si="225"/>
        <v>#N/A</v>
      </c>
      <c r="J1841" t="e">
        <f t="shared" si="220"/>
        <v>#N/A</v>
      </c>
      <c r="K1841" s="27" t="e">
        <f t="shared" si="221"/>
        <v>#N/A</v>
      </c>
    </row>
    <row r="1842" spans="1:11">
      <c r="A1842" s="26">
        <v>1792</v>
      </c>
      <c r="B1842" s="82" t="e">
        <f t="shared" si="222"/>
        <v>#N/A</v>
      </c>
      <c r="C1842" s="58" t="e">
        <f t="shared" si="226"/>
        <v>#N/A</v>
      </c>
      <c r="D1842" s="83" t="e">
        <f t="shared" si="223"/>
        <v>#N/A</v>
      </c>
      <c r="E1842" t="e">
        <f t="shared" si="219"/>
        <v>#N/A</v>
      </c>
      <c r="G1842">
        <v>1792</v>
      </c>
      <c r="H1842" s="13" t="e">
        <f t="shared" si="224"/>
        <v>#N/A</v>
      </c>
      <c r="I1842" t="e">
        <f t="shared" si="225"/>
        <v>#N/A</v>
      </c>
      <c r="J1842" t="e">
        <f t="shared" si="220"/>
        <v>#N/A</v>
      </c>
      <c r="K1842" s="27" t="e">
        <f t="shared" si="221"/>
        <v>#N/A</v>
      </c>
    </row>
    <row r="1843" spans="1:11">
      <c r="A1843" s="26">
        <v>1793</v>
      </c>
      <c r="B1843" s="82" t="e">
        <f t="shared" si="222"/>
        <v>#N/A</v>
      </c>
      <c r="C1843" s="58" t="e">
        <f t="shared" si="226"/>
        <v>#N/A</v>
      </c>
      <c r="D1843" s="83" t="e">
        <f t="shared" si="223"/>
        <v>#N/A</v>
      </c>
      <c r="E1843" t="e">
        <f t="shared" ref="E1843:E1906" si="227">((D1843^2)+(D1843*D1844)+(D1844^2))*B1844/3</f>
        <v>#N/A</v>
      </c>
      <c r="G1843">
        <v>1793</v>
      </c>
      <c r="H1843" s="13" t="e">
        <f t="shared" si="224"/>
        <v>#N/A</v>
      </c>
      <c r="I1843" t="e">
        <f t="shared" si="225"/>
        <v>#N/A</v>
      </c>
      <c r="J1843" t="e">
        <f t="shared" ref="J1843:J1906" si="228">IF($G$28&lt;$C$14,0,((($C$11^2)-((I1843-$C$13)^2))^0.5)+$C$16)</f>
        <v>#N/A</v>
      </c>
      <c r="K1843" s="27" t="e">
        <f t="shared" ref="K1843:K1906" si="229">((J1843^2)+(J1843*J1844)+(J1844^2))*H1844/3</f>
        <v>#N/A</v>
      </c>
    </row>
    <row r="1844" spans="1:11">
      <c r="A1844" s="26">
        <v>1794</v>
      </c>
      <c r="B1844" s="82" t="e">
        <f t="shared" ref="B1844:B1907" si="230">C1844-C1843</f>
        <v>#N/A</v>
      </c>
      <c r="C1844" s="58" t="e">
        <f t="shared" si="226"/>
        <v>#N/A</v>
      </c>
      <c r="D1844" s="83" t="e">
        <f t="shared" ref="D1844:D1907" si="231">IF($G$28&lt;$C$14,0,((($C$11^2)-((C1844-$C$13)^2))^0.5)+$C$16)</f>
        <v>#N/A</v>
      </c>
      <c r="E1844" t="e">
        <f t="shared" si="227"/>
        <v>#N/A</v>
      </c>
      <c r="G1844">
        <v>1794</v>
      </c>
      <c r="H1844" s="13" t="e">
        <f t="shared" ref="H1844:H1907" si="232">I1844-I1843</f>
        <v>#N/A</v>
      </c>
      <c r="I1844" t="e">
        <f t="shared" ref="I1844:I1907" si="233">($G$27-$C$14)/2000+I1843</f>
        <v>#N/A</v>
      </c>
      <c r="J1844" t="e">
        <f t="shared" si="228"/>
        <v>#N/A</v>
      </c>
      <c r="K1844" s="27" t="e">
        <f t="shared" si="229"/>
        <v>#N/A</v>
      </c>
    </row>
    <row r="1845" spans="1:11">
      <c r="A1845" s="26">
        <v>1795</v>
      </c>
      <c r="B1845" s="82" t="e">
        <f t="shared" si="230"/>
        <v>#N/A</v>
      </c>
      <c r="C1845" s="58" t="e">
        <f t="shared" si="226"/>
        <v>#N/A</v>
      </c>
      <c r="D1845" s="83" t="e">
        <f t="shared" si="231"/>
        <v>#N/A</v>
      </c>
      <c r="E1845" t="e">
        <f t="shared" si="227"/>
        <v>#N/A</v>
      </c>
      <c r="G1845">
        <v>1795</v>
      </c>
      <c r="H1845" s="13" t="e">
        <f t="shared" si="232"/>
        <v>#N/A</v>
      </c>
      <c r="I1845" t="e">
        <f t="shared" si="233"/>
        <v>#N/A</v>
      </c>
      <c r="J1845" t="e">
        <f t="shared" si="228"/>
        <v>#N/A</v>
      </c>
      <c r="K1845" s="27" t="e">
        <f t="shared" si="229"/>
        <v>#N/A</v>
      </c>
    </row>
    <row r="1846" spans="1:11">
      <c r="A1846" s="26">
        <v>1796</v>
      </c>
      <c r="B1846" s="82" t="e">
        <f t="shared" si="230"/>
        <v>#N/A</v>
      </c>
      <c r="C1846" s="58" t="e">
        <f t="shared" si="226"/>
        <v>#N/A</v>
      </c>
      <c r="D1846" s="83" t="e">
        <f t="shared" si="231"/>
        <v>#N/A</v>
      </c>
      <c r="E1846" t="e">
        <f t="shared" si="227"/>
        <v>#N/A</v>
      </c>
      <c r="G1846">
        <v>1796</v>
      </c>
      <c r="H1846" s="13" t="e">
        <f t="shared" si="232"/>
        <v>#N/A</v>
      </c>
      <c r="I1846" t="e">
        <f t="shared" si="233"/>
        <v>#N/A</v>
      </c>
      <c r="J1846" t="e">
        <f t="shared" si="228"/>
        <v>#N/A</v>
      </c>
      <c r="K1846" s="27" t="e">
        <f t="shared" si="229"/>
        <v>#N/A</v>
      </c>
    </row>
    <row r="1847" spans="1:11">
      <c r="A1847" s="26">
        <v>1797</v>
      </c>
      <c r="B1847" s="82" t="e">
        <f t="shared" si="230"/>
        <v>#N/A</v>
      </c>
      <c r="C1847" s="58" t="e">
        <f t="shared" si="226"/>
        <v>#N/A</v>
      </c>
      <c r="D1847" s="83" t="e">
        <f t="shared" si="231"/>
        <v>#N/A</v>
      </c>
      <c r="E1847" t="e">
        <f t="shared" si="227"/>
        <v>#N/A</v>
      </c>
      <c r="G1847">
        <v>1797</v>
      </c>
      <c r="H1847" s="13" t="e">
        <f t="shared" si="232"/>
        <v>#N/A</v>
      </c>
      <c r="I1847" t="e">
        <f t="shared" si="233"/>
        <v>#N/A</v>
      </c>
      <c r="J1847" t="e">
        <f t="shared" si="228"/>
        <v>#N/A</v>
      </c>
      <c r="K1847" s="27" t="e">
        <f t="shared" si="229"/>
        <v>#N/A</v>
      </c>
    </row>
    <row r="1848" spans="1:11">
      <c r="A1848" s="26">
        <v>1798</v>
      </c>
      <c r="B1848" s="82" t="e">
        <f t="shared" si="230"/>
        <v>#N/A</v>
      </c>
      <c r="C1848" s="58" t="e">
        <f t="shared" si="226"/>
        <v>#N/A</v>
      </c>
      <c r="D1848" s="83" t="e">
        <f t="shared" si="231"/>
        <v>#N/A</v>
      </c>
      <c r="E1848" t="e">
        <f t="shared" si="227"/>
        <v>#N/A</v>
      </c>
      <c r="G1848">
        <v>1798</v>
      </c>
      <c r="H1848" s="13" t="e">
        <f t="shared" si="232"/>
        <v>#N/A</v>
      </c>
      <c r="I1848" t="e">
        <f t="shared" si="233"/>
        <v>#N/A</v>
      </c>
      <c r="J1848" t="e">
        <f t="shared" si="228"/>
        <v>#N/A</v>
      </c>
      <c r="K1848" s="27" t="e">
        <f t="shared" si="229"/>
        <v>#N/A</v>
      </c>
    </row>
    <row r="1849" spans="1:11">
      <c r="A1849" s="26">
        <v>1799</v>
      </c>
      <c r="B1849" s="82" t="e">
        <f t="shared" si="230"/>
        <v>#N/A</v>
      </c>
      <c r="C1849" s="58" t="e">
        <f t="shared" si="226"/>
        <v>#N/A</v>
      </c>
      <c r="D1849" s="83" t="e">
        <f t="shared" si="231"/>
        <v>#N/A</v>
      </c>
      <c r="E1849" t="e">
        <f t="shared" si="227"/>
        <v>#N/A</v>
      </c>
      <c r="G1849">
        <v>1799</v>
      </c>
      <c r="H1849" s="13" t="e">
        <f t="shared" si="232"/>
        <v>#N/A</v>
      </c>
      <c r="I1849" t="e">
        <f t="shared" si="233"/>
        <v>#N/A</v>
      </c>
      <c r="J1849" t="e">
        <f t="shared" si="228"/>
        <v>#N/A</v>
      </c>
      <c r="K1849" s="27" t="e">
        <f t="shared" si="229"/>
        <v>#N/A</v>
      </c>
    </row>
    <row r="1850" spans="1:11">
      <c r="A1850" s="26">
        <v>1800</v>
      </c>
      <c r="B1850" s="82" t="e">
        <f t="shared" si="230"/>
        <v>#N/A</v>
      </c>
      <c r="C1850" s="58" t="e">
        <f t="shared" si="226"/>
        <v>#N/A</v>
      </c>
      <c r="D1850" s="83" t="e">
        <f t="shared" si="231"/>
        <v>#N/A</v>
      </c>
      <c r="E1850" t="e">
        <f t="shared" si="227"/>
        <v>#N/A</v>
      </c>
      <c r="G1850">
        <v>1800</v>
      </c>
      <c r="H1850" s="13" t="e">
        <f t="shared" si="232"/>
        <v>#N/A</v>
      </c>
      <c r="I1850" t="e">
        <f t="shared" si="233"/>
        <v>#N/A</v>
      </c>
      <c r="J1850" t="e">
        <f t="shared" si="228"/>
        <v>#N/A</v>
      </c>
      <c r="K1850" s="27" t="e">
        <f t="shared" si="229"/>
        <v>#N/A</v>
      </c>
    </row>
    <row r="1851" spans="1:11">
      <c r="A1851" s="26">
        <v>1801</v>
      </c>
      <c r="B1851" s="82" t="e">
        <f t="shared" si="230"/>
        <v>#N/A</v>
      </c>
      <c r="C1851" s="58" t="e">
        <f t="shared" si="226"/>
        <v>#N/A</v>
      </c>
      <c r="D1851" s="83" t="e">
        <f t="shared" si="231"/>
        <v>#N/A</v>
      </c>
      <c r="E1851" t="e">
        <f t="shared" si="227"/>
        <v>#N/A</v>
      </c>
      <c r="G1851">
        <v>1801</v>
      </c>
      <c r="H1851" s="13" t="e">
        <f t="shared" si="232"/>
        <v>#N/A</v>
      </c>
      <c r="I1851" t="e">
        <f t="shared" si="233"/>
        <v>#N/A</v>
      </c>
      <c r="J1851" t="e">
        <f t="shared" si="228"/>
        <v>#N/A</v>
      </c>
      <c r="K1851" s="27" t="e">
        <f t="shared" si="229"/>
        <v>#N/A</v>
      </c>
    </row>
    <row r="1852" spans="1:11">
      <c r="A1852" s="26">
        <v>1802</v>
      </c>
      <c r="B1852" s="82" t="e">
        <f t="shared" si="230"/>
        <v>#N/A</v>
      </c>
      <c r="C1852" s="58" t="e">
        <f t="shared" si="226"/>
        <v>#N/A</v>
      </c>
      <c r="D1852" s="83" t="e">
        <f t="shared" si="231"/>
        <v>#N/A</v>
      </c>
      <c r="E1852" t="e">
        <f t="shared" si="227"/>
        <v>#N/A</v>
      </c>
      <c r="G1852">
        <v>1802</v>
      </c>
      <c r="H1852" s="13" t="e">
        <f t="shared" si="232"/>
        <v>#N/A</v>
      </c>
      <c r="I1852" t="e">
        <f t="shared" si="233"/>
        <v>#N/A</v>
      </c>
      <c r="J1852" t="e">
        <f t="shared" si="228"/>
        <v>#N/A</v>
      </c>
      <c r="K1852" s="27" t="e">
        <f t="shared" si="229"/>
        <v>#N/A</v>
      </c>
    </row>
    <row r="1853" spans="1:11">
      <c r="A1853" s="26">
        <v>1803</v>
      </c>
      <c r="B1853" s="82" t="e">
        <f t="shared" si="230"/>
        <v>#N/A</v>
      </c>
      <c r="C1853" s="58" t="e">
        <f t="shared" si="226"/>
        <v>#N/A</v>
      </c>
      <c r="D1853" s="83" t="e">
        <f t="shared" si="231"/>
        <v>#N/A</v>
      </c>
      <c r="E1853" t="e">
        <f t="shared" si="227"/>
        <v>#N/A</v>
      </c>
      <c r="G1853">
        <v>1803</v>
      </c>
      <c r="H1853" s="13" t="e">
        <f t="shared" si="232"/>
        <v>#N/A</v>
      </c>
      <c r="I1853" t="e">
        <f t="shared" si="233"/>
        <v>#N/A</v>
      </c>
      <c r="J1853" t="e">
        <f t="shared" si="228"/>
        <v>#N/A</v>
      </c>
      <c r="K1853" s="27" t="e">
        <f t="shared" si="229"/>
        <v>#N/A</v>
      </c>
    </row>
    <row r="1854" spans="1:11">
      <c r="A1854" s="26">
        <v>1804</v>
      </c>
      <c r="B1854" s="82" t="e">
        <f t="shared" si="230"/>
        <v>#N/A</v>
      </c>
      <c r="C1854" s="58" t="e">
        <f t="shared" si="226"/>
        <v>#N/A</v>
      </c>
      <c r="D1854" s="83" t="e">
        <f t="shared" si="231"/>
        <v>#N/A</v>
      </c>
      <c r="E1854" t="e">
        <f t="shared" si="227"/>
        <v>#N/A</v>
      </c>
      <c r="G1854">
        <v>1804</v>
      </c>
      <c r="H1854" s="13" t="e">
        <f t="shared" si="232"/>
        <v>#N/A</v>
      </c>
      <c r="I1854" t="e">
        <f t="shared" si="233"/>
        <v>#N/A</v>
      </c>
      <c r="J1854" t="e">
        <f t="shared" si="228"/>
        <v>#N/A</v>
      </c>
      <c r="K1854" s="27" t="e">
        <f t="shared" si="229"/>
        <v>#N/A</v>
      </c>
    </row>
    <row r="1855" spans="1:11">
      <c r="A1855" s="26">
        <v>1805</v>
      </c>
      <c r="B1855" s="82" t="e">
        <f t="shared" si="230"/>
        <v>#N/A</v>
      </c>
      <c r="C1855" s="58" t="e">
        <f t="shared" si="226"/>
        <v>#N/A</v>
      </c>
      <c r="D1855" s="83" t="e">
        <f t="shared" si="231"/>
        <v>#N/A</v>
      </c>
      <c r="E1855" t="e">
        <f t="shared" si="227"/>
        <v>#N/A</v>
      </c>
      <c r="G1855">
        <v>1805</v>
      </c>
      <c r="H1855" s="13" t="e">
        <f t="shared" si="232"/>
        <v>#N/A</v>
      </c>
      <c r="I1855" t="e">
        <f t="shared" si="233"/>
        <v>#N/A</v>
      </c>
      <c r="J1855" t="e">
        <f t="shared" si="228"/>
        <v>#N/A</v>
      </c>
      <c r="K1855" s="27" t="e">
        <f t="shared" si="229"/>
        <v>#N/A</v>
      </c>
    </row>
    <row r="1856" spans="1:11">
      <c r="A1856" s="26">
        <v>1806</v>
      </c>
      <c r="B1856" s="82" t="e">
        <f t="shared" si="230"/>
        <v>#N/A</v>
      </c>
      <c r="C1856" s="58" t="e">
        <f t="shared" si="226"/>
        <v>#N/A</v>
      </c>
      <c r="D1856" s="83" t="e">
        <f t="shared" si="231"/>
        <v>#N/A</v>
      </c>
      <c r="E1856" t="e">
        <f t="shared" si="227"/>
        <v>#N/A</v>
      </c>
      <c r="G1856">
        <v>1806</v>
      </c>
      <c r="H1856" s="13" t="e">
        <f t="shared" si="232"/>
        <v>#N/A</v>
      </c>
      <c r="I1856" t="e">
        <f t="shared" si="233"/>
        <v>#N/A</v>
      </c>
      <c r="J1856" t="e">
        <f t="shared" si="228"/>
        <v>#N/A</v>
      </c>
      <c r="K1856" s="27" t="e">
        <f t="shared" si="229"/>
        <v>#N/A</v>
      </c>
    </row>
    <row r="1857" spans="1:11">
      <c r="A1857" s="26">
        <v>1807</v>
      </c>
      <c r="B1857" s="82" t="e">
        <f t="shared" si="230"/>
        <v>#N/A</v>
      </c>
      <c r="C1857" s="58" t="e">
        <f t="shared" si="226"/>
        <v>#N/A</v>
      </c>
      <c r="D1857" s="83" t="e">
        <f t="shared" si="231"/>
        <v>#N/A</v>
      </c>
      <c r="E1857" t="e">
        <f t="shared" si="227"/>
        <v>#N/A</v>
      </c>
      <c r="G1857">
        <v>1807</v>
      </c>
      <c r="H1857" s="13" t="e">
        <f t="shared" si="232"/>
        <v>#N/A</v>
      </c>
      <c r="I1857" t="e">
        <f t="shared" si="233"/>
        <v>#N/A</v>
      </c>
      <c r="J1857" t="e">
        <f t="shared" si="228"/>
        <v>#N/A</v>
      </c>
      <c r="K1857" s="27" t="e">
        <f t="shared" si="229"/>
        <v>#N/A</v>
      </c>
    </row>
    <row r="1858" spans="1:11">
      <c r="A1858" s="26">
        <v>1808</v>
      </c>
      <c r="B1858" s="82" t="e">
        <f t="shared" si="230"/>
        <v>#N/A</v>
      </c>
      <c r="C1858" s="58" t="e">
        <f t="shared" si="226"/>
        <v>#N/A</v>
      </c>
      <c r="D1858" s="83" t="e">
        <f t="shared" si="231"/>
        <v>#N/A</v>
      </c>
      <c r="E1858" t="e">
        <f t="shared" si="227"/>
        <v>#N/A</v>
      </c>
      <c r="G1858">
        <v>1808</v>
      </c>
      <c r="H1858" s="13" t="e">
        <f t="shared" si="232"/>
        <v>#N/A</v>
      </c>
      <c r="I1858" t="e">
        <f t="shared" si="233"/>
        <v>#N/A</v>
      </c>
      <c r="J1858" t="e">
        <f t="shared" si="228"/>
        <v>#N/A</v>
      </c>
      <c r="K1858" s="27" t="e">
        <f t="shared" si="229"/>
        <v>#N/A</v>
      </c>
    </row>
    <row r="1859" spans="1:11">
      <c r="A1859" s="26">
        <v>1809</v>
      </c>
      <c r="B1859" s="82" t="e">
        <f t="shared" si="230"/>
        <v>#N/A</v>
      </c>
      <c r="C1859" s="58" t="e">
        <f t="shared" si="226"/>
        <v>#N/A</v>
      </c>
      <c r="D1859" s="83" t="e">
        <f t="shared" si="231"/>
        <v>#N/A</v>
      </c>
      <c r="E1859" t="e">
        <f t="shared" si="227"/>
        <v>#N/A</v>
      </c>
      <c r="G1859">
        <v>1809</v>
      </c>
      <c r="H1859" s="13" t="e">
        <f t="shared" si="232"/>
        <v>#N/A</v>
      </c>
      <c r="I1859" t="e">
        <f t="shared" si="233"/>
        <v>#N/A</v>
      </c>
      <c r="J1859" t="e">
        <f t="shared" si="228"/>
        <v>#N/A</v>
      </c>
      <c r="K1859" s="27" t="e">
        <f t="shared" si="229"/>
        <v>#N/A</v>
      </c>
    </row>
    <row r="1860" spans="1:11">
      <c r="A1860" s="26">
        <v>1810</v>
      </c>
      <c r="B1860" s="82" t="e">
        <f t="shared" si="230"/>
        <v>#N/A</v>
      </c>
      <c r="C1860" s="58" t="e">
        <f t="shared" si="226"/>
        <v>#N/A</v>
      </c>
      <c r="D1860" s="83" t="e">
        <f t="shared" si="231"/>
        <v>#N/A</v>
      </c>
      <c r="E1860" t="e">
        <f t="shared" si="227"/>
        <v>#N/A</v>
      </c>
      <c r="G1860">
        <v>1810</v>
      </c>
      <c r="H1860" s="13" t="e">
        <f t="shared" si="232"/>
        <v>#N/A</v>
      </c>
      <c r="I1860" t="e">
        <f t="shared" si="233"/>
        <v>#N/A</v>
      </c>
      <c r="J1860" t="e">
        <f t="shared" si="228"/>
        <v>#N/A</v>
      </c>
      <c r="K1860" s="27" t="e">
        <f t="shared" si="229"/>
        <v>#N/A</v>
      </c>
    </row>
    <row r="1861" spans="1:11">
      <c r="A1861" s="26">
        <v>1811</v>
      </c>
      <c r="B1861" s="82" t="e">
        <f t="shared" si="230"/>
        <v>#N/A</v>
      </c>
      <c r="C1861" s="58" t="e">
        <f t="shared" si="226"/>
        <v>#N/A</v>
      </c>
      <c r="D1861" s="83" t="e">
        <f t="shared" si="231"/>
        <v>#N/A</v>
      </c>
      <c r="E1861" t="e">
        <f t="shared" si="227"/>
        <v>#N/A</v>
      </c>
      <c r="G1861">
        <v>1811</v>
      </c>
      <c r="H1861" s="13" t="e">
        <f t="shared" si="232"/>
        <v>#N/A</v>
      </c>
      <c r="I1861" t="e">
        <f t="shared" si="233"/>
        <v>#N/A</v>
      </c>
      <c r="J1861" t="e">
        <f t="shared" si="228"/>
        <v>#N/A</v>
      </c>
      <c r="K1861" s="27" t="e">
        <f t="shared" si="229"/>
        <v>#N/A</v>
      </c>
    </row>
    <row r="1862" spans="1:11">
      <c r="A1862" s="26">
        <v>1812</v>
      </c>
      <c r="B1862" s="82" t="e">
        <f t="shared" si="230"/>
        <v>#N/A</v>
      </c>
      <c r="C1862" s="58" t="e">
        <f t="shared" si="226"/>
        <v>#N/A</v>
      </c>
      <c r="D1862" s="83" t="e">
        <f t="shared" si="231"/>
        <v>#N/A</v>
      </c>
      <c r="E1862" t="e">
        <f t="shared" si="227"/>
        <v>#N/A</v>
      </c>
      <c r="G1862">
        <v>1812</v>
      </c>
      <c r="H1862" s="13" t="e">
        <f t="shared" si="232"/>
        <v>#N/A</v>
      </c>
      <c r="I1862" t="e">
        <f t="shared" si="233"/>
        <v>#N/A</v>
      </c>
      <c r="J1862" t="e">
        <f t="shared" si="228"/>
        <v>#N/A</v>
      </c>
      <c r="K1862" s="27" t="e">
        <f t="shared" si="229"/>
        <v>#N/A</v>
      </c>
    </row>
    <row r="1863" spans="1:11">
      <c r="A1863" s="26">
        <v>1813</v>
      </c>
      <c r="B1863" s="82" t="e">
        <f t="shared" si="230"/>
        <v>#N/A</v>
      </c>
      <c r="C1863" s="58" t="e">
        <f t="shared" si="226"/>
        <v>#N/A</v>
      </c>
      <c r="D1863" s="83" t="e">
        <f t="shared" si="231"/>
        <v>#N/A</v>
      </c>
      <c r="E1863" t="e">
        <f t="shared" si="227"/>
        <v>#N/A</v>
      </c>
      <c r="G1863">
        <v>1813</v>
      </c>
      <c r="H1863" s="13" t="e">
        <f t="shared" si="232"/>
        <v>#N/A</v>
      </c>
      <c r="I1863" t="e">
        <f t="shared" si="233"/>
        <v>#N/A</v>
      </c>
      <c r="J1863" t="e">
        <f t="shared" si="228"/>
        <v>#N/A</v>
      </c>
      <c r="K1863" s="27" t="e">
        <f t="shared" si="229"/>
        <v>#N/A</v>
      </c>
    </row>
    <row r="1864" spans="1:11">
      <c r="A1864" s="26">
        <v>1814</v>
      </c>
      <c r="B1864" s="82" t="e">
        <f t="shared" si="230"/>
        <v>#N/A</v>
      </c>
      <c r="C1864" s="58" t="e">
        <f t="shared" si="226"/>
        <v>#N/A</v>
      </c>
      <c r="D1864" s="83" t="e">
        <f t="shared" si="231"/>
        <v>#N/A</v>
      </c>
      <c r="E1864" t="e">
        <f t="shared" si="227"/>
        <v>#N/A</v>
      </c>
      <c r="G1864">
        <v>1814</v>
      </c>
      <c r="H1864" s="13" t="e">
        <f t="shared" si="232"/>
        <v>#N/A</v>
      </c>
      <c r="I1864" t="e">
        <f t="shared" si="233"/>
        <v>#N/A</v>
      </c>
      <c r="J1864" t="e">
        <f t="shared" si="228"/>
        <v>#N/A</v>
      </c>
      <c r="K1864" s="27" t="e">
        <f t="shared" si="229"/>
        <v>#N/A</v>
      </c>
    </row>
    <row r="1865" spans="1:11">
      <c r="A1865" s="26">
        <v>1815</v>
      </c>
      <c r="B1865" s="82" t="e">
        <f t="shared" si="230"/>
        <v>#N/A</v>
      </c>
      <c r="C1865" s="58" t="e">
        <f t="shared" si="226"/>
        <v>#N/A</v>
      </c>
      <c r="D1865" s="83" t="e">
        <f t="shared" si="231"/>
        <v>#N/A</v>
      </c>
      <c r="E1865" t="e">
        <f t="shared" si="227"/>
        <v>#N/A</v>
      </c>
      <c r="G1865">
        <v>1815</v>
      </c>
      <c r="H1865" s="13" t="e">
        <f t="shared" si="232"/>
        <v>#N/A</v>
      </c>
      <c r="I1865" t="e">
        <f t="shared" si="233"/>
        <v>#N/A</v>
      </c>
      <c r="J1865" t="e">
        <f t="shared" si="228"/>
        <v>#N/A</v>
      </c>
      <c r="K1865" s="27" t="e">
        <f t="shared" si="229"/>
        <v>#N/A</v>
      </c>
    </row>
    <row r="1866" spans="1:11">
      <c r="A1866" s="26">
        <v>1816</v>
      </c>
      <c r="B1866" s="82" t="e">
        <f t="shared" si="230"/>
        <v>#N/A</v>
      </c>
      <c r="C1866" s="58" t="e">
        <f t="shared" si="226"/>
        <v>#N/A</v>
      </c>
      <c r="D1866" s="83" t="e">
        <f t="shared" si="231"/>
        <v>#N/A</v>
      </c>
      <c r="E1866" t="e">
        <f t="shared" si="227"/>
        <v>#N/A</v>
      </c>
      <c r="G1866">
        <v>1816</v>
      </c>
      <c r="H1866" s="13" t="e">
        <f t="shared" si="232"/>
        <v>#N/A</v>
      </c>
      <c r="I1866" t="e">
        <f t="shared" si="233"/>
        <v>#N/A</v>
      </c>
      <c r="J1866" t="e">
        <f t="shared" si="228"/>
        <v>#N/A</v>
      </c>
      <c r="K1866" s="27" t="e">
        <f t="shared" si="229"/>
        <v>#N/A</v>
      </c>
    </row>
    <row r="1867" spans="1:11">
      <c r="A1867" s="26">
        <v>1817</v>
      </c>
      <c r="B1867" s="82" t="e">
        <f t="shared" si="230"/>
        <v>#N/A</v>
      </c>
      <c r="C1867" s="58" t="e">
        <f t="shared" si="226"/>
        <v>#N/A</v>
      </c>
      <c r="D1867" s="83" t="e">
        <f t="shared" si="231"/>
        <v>#N/A</v>
      </c>
      <c r="E1867" t="e">
        <f t="shared" si="227"/>
        <v>#N/A</v>
      </c>
      <c r="G1867">
        <v>1817</v>
      </c>
      <c r="H1867" s="13" t="e">
        <f t="shared" si="232"/>
        <v>#N/A</v>
      </c>
      <c r="I1867" t="e">
        <f t="shared" si="233"/>
        <v>#N/A</v>
      </c>
      <c r="J1867" t="e">
        <f t="shared" si="228"/>
        <v>#N/A</v>
      </c>
      <c r="K1867" s="27" t="e">
        <f t="shared" si="229"/>
        <v>#N/A</v>
      </c>
    </row>
    <row r="1868" spans="1:11">
      <c r="A1868" s="26">
        <v>1818</v>
      </c>
      <c r="B1868" s="82" t="e">
        <f t="shared" si="230"/>
        <v>#N/A</v>
      </c>
      <c r="C1868" s="58" t="e">
        <f t="shared" si="226"/>
        <v>#N/A</v>
      </c>
      <c r="D1868" s="83" t="e">
        <f t="shared" si="231"/>
        <v>#N/A</v>
      </c>
      <c r="E1868" t="e">
        <f t="shared" si="227"/>
        <v>#N/A</v>
      </c>
      <c r="G1868">
        <v>1818</v>
      </c>
      <c r="H1868" s="13" t="e">
        <f t="shared" si="232"/>
        <v>#N/A</v>
      </c>
      <c r="I1868" t="e">
        <f t="shared" si="233"/>
        <v>#N/A</v>
      </c>
      <c r="J1868" t="e">
        <f t="shared" si="228"/>
        <v>#N/A</v>
      </c>
      <c r="K1868" s="27" t="e">
        <f t="shared" si="229"/>
        <v>#N/A</v>
      </c>
    </row>
    <row r="1869" spans="1:11">
      <c r="A1869" s="26">
        <v>1819</v>
      </c>
      <c r="B1869" s="82" t="e">
        <f t="shared" si="230"/>
        <v>#N/A</v>
      </c>
      <c r="C1869" s="58" t="e">
        <f t="shared" si="226"/>
        <v>#N/A</v>
      </c>
      <c r="D1869" s="83" t="e">
        <f t="shared" si="231"/>
        <v>#N/A</v>
      </c>
      <c r="E1869" t="e">
        <f t="shared" si="227"/>
        <v>#N/A</v>
      </c>
      <c r="G1869">
        <v>1819</v>
      </c>
      <c r="H1869" s="13" t="e">
        <f t="shared" si="232"/>
        <v>#N/A</v>
      </c>
      <c r="I1869" t="e">
        <f t="shared" si="233"/>
        <v>#N/A</v>
      </c>
      <c r="J1869" t="e">
        <f t="shared" si="228"/>
        <v>#N/A</v>
      </c>
      <c r="K1869" s="27" t="e">
        <f t="shared" si="229"/>
        <v>#N/A</v>
      </c>
    </row>
    <row r="1870" spans="1:11">
      <c r="A1870" s="26">
        <v>1820</v>
      </c>
      <c r="B1870" s="82" t="e">
        <f t="shared" si="230"/>
        <v>#N/A</v>
      </c>
      <c r="C1870" s="58" t="e">
        <f t="shared" si="226"/>
        <v>#N/A</v>
      </c>
      <c r="D1870" s="83" t="e">
        <f t="shared" si="231"/>
        <v>#N/A</v>
      </c>
      <c r="E1870" t="e">
        <f t="shared" si="227"/>
        <v>#N/A</v>
      </c>
      <c r="G1870">
        <v>1820</v>
      </c>
      <c r="H1870" s="13" t="e">
        <f t="shared" si="232"/>
        <v>#N/A</v>
      </c>
      <c r="I1870" t="e">
        <f t="shared" si="233"/>
        <v>#N/A</v>
      </c>
      <c r="J1870" t="e">
        <f t="shared" si="228"/>
        <v>#N/A</v>
      </c>
      <c r="K1870" s="27" t="e">
        <f t="shared" si="229"/>
        <v>#N/A</v>
      </c>
    </row>
    <row r="1871" spans="1:11">
      <c r="A1871" s="26">
        <v>1821</v>
      </c>
      <c r="B1871" s="82" t="e">
        <f t="shared" si="230"/>
        <v>#N/A</v>
      </c>
      <c r="C1871" s="58" t="e">
        <f t="shared" si="226"/>
        <v>#N/A</v>
      </c>
      <c r="D1871" s="83" t="e">
        <f t="shared" si="231"/>
        <v>#N/A</v>
      </c>
      <c r="E1871" t="e">
        <f t="shared" si="227"/>
        <v>#N/A</v>
      </c>
      <c r="G1871">
        <v>1821</v>
      </c>
      <c r="H1871" s="13" t="e">
        <f t="shared" si="232"/>
        <v>#N/A</v>
      </c>
      <c r="I1871" t="e">
        <f t="shared" si="233"/>
        <v>#N/A</v>
      </c>
      <c r="J1871" t="e">
        <f t="shared" si="228"/>
        <v>#N/A</v>
      </c>
      <c r="K1871" s="27" t="e">
        <f t="shared" si="229"/>
        <v>#N/A</v>
      </c>
    </row>
    <row r="1872" spans="1:11">
      <c r="A1872" s="26">
        <v>1822</v>
      </c>
      <c r="B1872" s="82" t="e">
        <f t="shared" si="230"/>
        <v>#N/A</v>
      </c>
      <c r="C1872" s="58" t="e">
        <f t="shared" ref="C1872:C1935" si="234">($C$37-$C$36)/2000+C1871</f>
        <v>#N/A</v>
      </c>
      <c r="D1872" s="83" t="e">
        <f t="shared" si="231"/>
        <v>#N/A</v>
      </c>
      <c r="E1872" t="e">
        <f t="shared" si="227"/>
        <v>#N/A</v>
      </c>
      <c r="G1872">
        <v>1822</v>
      </c>
      <c r="H1872" s="13" t="e">
        <f t="shared" si="232"/>
        <v>#N/A</v>
      </c>
      <c r="I1872" t="e">
        <f t="shared" si="233"/>
        <v>#N/A</v>
      </c>
      <c r="J1872" t="e">
        <f t="shared" si="228"/>
        <v>#N/A</v>
      </c>
      <c r="K1872" s="27" t="e">
        <f t="shared" si="229"/>
        <v>#N/A</v>
      </c>
    </row>
    <row r="1873" spans="1:11">
      <c r="A1873" s="26">
        <v>1823</v>
      </c>
      <c r="B1873" s="82" t="e">
        <f t="shared" si="230"/>
        <v>#N/A</v>
      </c>
      <c r="C1873" s="58" t="e">
        <f t="shared" si="234"/>
        <v>#N/A</v>
      </c>
      <c r="D1873" s="83" t="e">
        <f t="shared" si="231"/>
        <v>#N/A</v>
      </c>
      <c r="E1873" t="e">
        <f t="shared" si="227"/>
        <v>#N/A</v>
      </c>
      <c r="G1873">
        <v>1823</v>
      </c>
      <c r="H1873" s="13" t="e">
        <f t="shared" si="232"/>
        <v>#N/A</v>
      </c>
      <c r="I1873" t="e">
        <f t="shared" si="233"/>
        <v>#N/A</v>
      </c>
      <c r="J1873" t="e">
        <f t="shared" si="228"/>
        <v>#N/A</v>
      </c>
      <c r="K1873" s="27" t="e">
        <f t="shared" si="229"/>
        <v>#N/A</v>
      </c>
    </row>
    <row r="1874" spans="1:11">
      <c r="A1874" s="26">
        <v>1824</v>
      </c>
      <c r="B1874" s="82" t="e">
        <f t="shared" si="230"/>
        <v>#N/A</v>
      </c>
      <c r="C1874" s="58" t="e">
        <f t="shared" si="234"/>
        <v>#N/A</v>
      </c>
      <c r="D1874" s="83" t="e">
        <f t="shared" si="231"/>
        <v>#N/A</v>
      </c>
      <c r="E1874" t="e">
        <f t="shared" si="227"/>
        <v>#N/A</v>
      </c>
      <c r="G1874">
        <v>1824</v>
      </c>
      <c r="H1874" s="13" t="e">
        <f t="shared" si="232"/>
        <v>#N/A</v>
      </c>
      <c r="I1874" t="e">
        <f t="shared" si="233"/>
        <v>#N/A</v>
      </c>
      <c r="J1874" t="e">
        <f t="shared" si="228"/>
        <v>#N/A</v>
      </c>
      <c r="K1874" s="27" t="e">
        <f t="shared" si="229"/>
        <v>#N/A</v>
      </c>
    </row>
    <row r="1875" spans="1:11">
      <c r="A1875" s="26">
        <v>1825</v>
      </c>
      <c r="B1875" s="82" t="e">
        <f t="shared" si="230"/>
        <v>#N/A</v>
      </c>
      <c r="C1875" s="58" t="e">
        <f t="shared" si="234"/>
        <v>#N/A</v>
      </c>
      <c r="D1875" s="83" t="e">
        <f t="shared" si="231"/>
        <v>#N/A</v>
      </c>
      <c r="E1875" t="e">
        <f t="shared" si="227"/>
        <v>#N/A</v>
      </c>
      <c r="G1875">
        <v>1825</v>
      </c>
      <c r="H1875" s="13" t="e">
        <f t="shared" si="232"/>
        <v>#N/A</v>
      </c>
      <c r="I1875" t="e">
        <f t="shared" si="233"/>
        <v>#N/A</v>
      </c>
      <c r="J1875" t="e">
        <f t="shared" si="228"/>
        <v>#N/A</v>
      </c>
      <c r="K1875" s="27" t="e">
        <f t="shared" si="229"/>
        <v>#N/A</v>
      </c>
    </row>
    <row r="1876" spans="1:11">
      <c r="A1876" s="26">
        <v>1826</v>
      </c>
      <c r="B1876" s="82" t="e">
        <f t="shared" si="230"/>
        <v>#N/A</v>
      </c>
      <c r="C1876" s="58" t="e">
        <f t="shared" si="234"/>
        <v>#N/A</v>
      </c>
      <c r="D1876" s="83" t="e">
        <f t="shared" si="231"/>
        <v>#N/A</v>
      </c>
      <c r="E1876" t="e">
        <f t="shared" si="227"/>
        <v>#N/A</v>
      </c>
      <c r="G1876">
        <v>1826</v>
      </c>
      <c r="H1876" s="13" t="e">
        <f t="shared" si="232"/>
        <v>#N/A</v>
      </c>
      <c r="I1876" t="e">
        <f t="shared" si="233"/>
        <v>#N/A</v>
      </c>
      <c r="J1876" t="e">
        <f t="shared" si="228"/>
        <v>#N/A</v>
      </c>
      <c r="K1876" s="27" t="e">
        <f t="shared" si="229"/>
        <v>#N/A</v>
      </c>
    </row>
    <row r="1877" spans="1:11">
      <c r="A1877" s="26">
        <v>1827</v>
      </c>
      <c r="B1877" s="82" t="e">
        <f t="shared" si="230"/>
        <v>#N/A</v>
      </c>
      <c r="C1877" s="58" t="e">
        <f t="shared" si="234"/>
        <v>#N/A</v>
      </c>
      <c r="D1877" s="83" t="e">
        <f t="shared" si="231"/>
        <v>#N/A</v>
      </c>
      <c r="E1877" t="e">
        <f t="shared" si="227"/>
        <v>#N/A</v>
      </c>
      <c r="G1877">
        <v>1827</v>
      </c>
      <c r="H1877" s="13" t="e">
        <f t="shared" si="232"/>
        <v>#N/A</v>
      </c>
      <c r="I1877" t="e">
        <f t="shared" si="233"/>
        <v>#N/A</v>
      </c>
      <c r="J1877" t="e">
        <f t="shared" si="228"/>
        <v>#N/A</v>
      </c>
      <c r="K1877" s="27" t="e">
        <f t="shared" si="229"/>
        <v>#N/A</v>
      </c>
    </row>
    <row r="1878" spans="1:11">
      <c r="A1878" s="26">
        <v>1828</v>
      </c>
      <c r="B1878" s="82" t="e">
        <f t="shared" si="230"/>
        <v>#N/A</v>
      </c>
      <c r="C1878" s="58" t="e">
        <f t="shared" si="234"/>
        <v>#N/A</v>
      </c>
      <c r="D1878" s="83" t="e">
        <f t="shared" si="231"/>
        <v>#N/A</v>
      </c>
      <c r="E1878" t="e">
        <f t="shared" si="227"/>
        <v>#N/A</v>
      </c>
      <c r="G1878">
        <v>1828</v>
      </c>
      <c r="H1878" s="13" t="e">
        <f t="shared" si="232"/>
        <v>#N/A</v>
      </c>
      <c r="I1878" t="e">
        <f t="shared" si="233"/>
        <v>#N/A</v>
      </c>
      <c r="J1878" t="e">
        <f t="shared" si="228"/>
        <v>#N/A</v>
      </c>
      <c r="K1878" s="27" t="e">
        <f t="shared" si="229"/>
        <v>#N/A</v>
      </c>
    </row>
    <row r="1879" spans="1:11">
      <c r="A1879" s="26">
        <v>1829</v>
      </c>
      <c r="B1879" s="82" t="e">
        <f t="shared" si="230"/>
        <v>#N/A</v>
      </c>
      <c r="C1879" s="58" t="e">
        <f t="shared" si="234"/>
        <v>#N/A</v>
      </c>
      <c r="D1879" s="83" t="e">
        <f t="shared" si="231"/>
        <v>#N/A</v>
      </c>
      <c r="E1879" t="e">
        <f t="shared" si="227"/>
        <v>#N/A</v>
      </c>
      <c r="G1879">
        <v>1829</v>
      </c>
      <c r="H1879" s="13" t="e">
        <f t="shared" si="232"/>
        <v>#N/A</v>
      </c>
      <c r="I1879" t="e">
        <f t="shared" si="233"/>
        <v>#N/A</v>
      </c>
      <c r="J1879" t="e">
        <f t="shared" si="228"/>
        <v>#N/A</v>
      </c>
      <c r="K1879" s="27" t="e">
        <f t="shared" si="229"/>
        <v>#N/A</v>
      </c>
    </row>
    <row r="1880" spans="1:11">
      <c r="A1880" s="26">
        <v>1830</v>
      </c>
      <c r="B1880" s="82" t="e">
        <f t="shared" si="230"/>
        <v>#N/A</v>
      </c>
      <c r="C1880" s="58" t="e">
        <f t="shared" si="234"/>
        <v>#N/A</v>
      </c>
      <c r="D1880" s="83" t="e">
        <f t="shared" si="231"/>
        <v>#N/A</v>
      </c>
      <c r="E1880" t="e">
        <f t="shared" si="227"/>
        <v>#N/A</v>
      </c>
      <c r="G1880">
        <v>1830</v>
      </c>
      <c r="H1880" s="13" t="e">
        <f t="shared" si="232"/>
        <v>#N/A</v>
      </c>
      <c r="I1880" t="e">
        <f t="shared" si="233"/>
        <v>#N/A</v>
      </c>
      <c r="J1880" t="e">
        <f t="shared" si="228"/>
        <v>#N/A</v>
      </c>
      <c r="K1880" s="27" t="e">
        <f t="shared" si="229"/>
        <v>#N/A</v>
      </c>
    </row>
    <row r="1881" spans="1:11">
      <c r="A1881" s="26">
        <v>1831</v>
      </c>
      <c r="B1881" s="82" t="e">
        <f t="shared" si="230"/>
        <v>#N/A</v>
      </c>
      <c r="C1881" s="58" t="e">
        <f t="shared" si="234"/>
        <v>#N/A</v>
      </c>
      <c r="D1881" s="83" t="e">
        <f t="shared" si="231"/>
        <v>#N/A</v>
      </c>
      <c r="E1881" t="e">
        <f t="shared" si="227"/>
        <v>#N/A</v>
      </c>
      <c r="G1881">
        <v>1831</v>
      </c>
      <c r="H1881" s="13" t="e">
        <f t="shared" si="232"/>
        <v>#N/A</v>
      </c>
      <c r="I1881" t="e">
        <f t="shared" si="233"/>
        <v>#N/A</v>
      </c>
      <c r="J1881" t="e">
        <f t="shared" si="228"/>
        <v>#N/A</v>
      </c>
      <c r="K1881" s="27" t="e">
        <f t="shared" si="229"/>
        <v>#N/A</v>
      </c>
    </row>
    <row r="1882" spans="1:11">
      <c r="A1882" s="26">
        <v>1832</v>
      </c>
      <c r="B1882" s="82" t="e">
        <f t="shared" si="230"/>
        <v>#N/A</v>
      </c>
      <c r="C1882" s="58" t="e">
        <f t="shared" si="234"/>
        <v>#N/A</v>
      </c>
      <c r="D1882" s="83" t="e">
        <f t="shared" si="231"/>
        <v>#N/A</v>
      </c>
      <c r="E1882" t="e">
        <f t="shared" si="227"/>
        <v>#N/A</v>
      </c>
      <c r="G1882">
        <v>1832</v>
      </c>
      <c r="H1882" s="13" t="e">
        <f t="shared" si="232"/>
        <v>#N/A</v>
      </c>
      <c r="I1882" t="e">
        <f t="shared" si="233"/>
        <v>#N/A</v>
      </c>
      <c r="J1882" t="e">
        <f t="shared" si="228"/>
        <v>#N/A</v>
      </c>
      <c r="K1882" s="27" t="e">
        <f t="shared" si="229"/>
        <v>#N/A</v>
      </c>
    </row>
    <row r="1883" spans="1:11">
      <c r="A1883" s="26">
        <v>1833</v>
      </c>
      <c r="B1883" s="82" t="e">
        <f t="shared" si="230"/>
        <v>#N/A</v>
      </c>
      <c r="C1883" s="58" t="e">
        <f t="shared" si="234"/>
        <v>#N/A</v>
      </c>
      <c r="D1883" s="83" t="e">
        <f t="shared" si="231"/>
        <v>#N/A</v>
      </c>
      <c r="E1883" t="e">
        <f t="shared" si="227"/>
        <v>#N/A</v>
      </c>
      <c r="G1883">
        <v>1833</v>
      </c>
      <c r="H1883" s="13" t="e">
        <f t="shared" si="232"/>
        <v>#N/A</v>
      </c>
      <c r="I1883" t="e">
        <f t="shared" si="233"/>
        <v>#N/A</v>
      </c>
      <c r="J1883" t="e">
        <f t="shared" si="228"/>
        <v>#N/A</v>
      </c>
      <c r="K1883" s="27" t="e">
        <f t="shared" si="229"/>
        <v>#N/A</v>
      </c>
    </row>
    <row r="1884" spans="1:11">
      <c r="A1884" s="26">
        <v>1834</v>
      </c>
      <c r="B1884" s="82" t="e">
        <f t="shared" si="230"/>
        <v>#N/A</v>
      </c>
      <c r="C1884" s="58" t="e">
        <f t="shared" si="234"/>
        <v>#N/A</v>
      </c>
      <c r="D1884" s="83" t="e">
        <f t="shared" si="231"/>
        <v>#N/A</v>
      </c>
      <c r="E1884" t="e">
        <f t="shared" si="227"/>
        <v>#N/A</v>
      </c>
      <c r="G1884">
        <v>1834</v>
      </c>
      <c r="H1884" s="13" t="e">
        <f t="shared" si="232"/>
        <v>#N/A</v>
      </c>
      <c r="I1884" t="e">
        <f t="shared" si="233"/>
        <v>#N/A</v>
      </c>
      <c r="J1884" t="e">
        <f t="shared" si="228"/>
        <v>#N/A</v>
      </c>
      <c r="K1884" s="27" t="e">
        <f t="shared" si="229"/>
        <v>#N/A</v>
      </c>
    </row>
    <row r="1885" spans="1:11">
      <c r="A1885" s="26">
        <v>1835</v>
      </c>
      <c r="B1885" s="82" t="e">
        <f t="shared" si="230"/>
        <v>#N/A</v>
      </c>
      <c r="C1885" s="58" t="e">
        <f t="shared" si="234"/>
        <v>#N/A</v>
      </c>
      <c r="D1885" s="83" t="e">
        <f t="shared" si="231"/>
        <v>#N/A</v>
      </c>
      <c r="E1885" t="e">
        <f t="shared" si="227"/>
        <v>#N/A</v>
      </c>
      <c r="G1885">
        <v>1835</v>
      </c>
      <c r="H1885" s="13" t="e">
        <f t="shared" si="232"/>
        <v>#N/A</v>
      </c>
      <c r="I1885" t="e">
        <f t="shared" si="233"/>
        <v>#N/A</v>
      </c>
      <c r="J1885" t="e">
        <f t="shared" si="228"/>
        <v>#N/A</v>
      </c>
      <c r="K1885" s="27" t="e">
        <f t="shared" si="229"/>
        <v>#N/A</v>
      </c>
    </row>
    <row r="1886" spans="1:11">
      <c r="A1886" s="26">
        <v>1836</v>
      </c>
      <c r="B1886" s="82" t="e">
        <f t="shared" si="230"/>
        <v>#N/A</v>
      </c>
      <c r="C1886" s="58" t="e">
        <f t="shared" si="234"/>
        <v>#N/A</v>
      </c>
      <c r="D1886" s="83" t="e">
        <f t="shared" si="231"/>
        <v>#N/A</v>
      </c>
      <c r="E1886" t="e">
        <f t="shared" si="227"/>
        <v>#N/A</v>
      </c>
      <c r="G1886">
        <v>1836</v>
      </c>
      <c r="H1886" s="13" t="e">
        <f t="shared" si="232"/>
        <v>#N/A</v>
      </c>
      <c r="I1886" t="e">
        <f t="shared" si="233"/>
        <v>#N/A</v>
      </c>
      <c r="J1886" t="e">
        <f t="shared" si="228"/>
        <v>#N/A</v>
      </c>
      <c r="K1886" s="27" t="e">
        <f t="shared" si="229"/>
        <v>#N/A</v>
      </c>
    </row>
    <row r="1887" spans="1:11">
      <c r="A1887" s="26">
        <v>1837</v>
      </c>
      <c r="B1887" s="82" t="e">
        <f t="shared" si="230"/>
        <v>#N/A</v>
      </c>
      <c r="C1887" s="58" t="e">
        <f t="shared" si="234"/>
        <v>#N/A</v>
      </c>
      <c r="D1887" s="83" t="e">
        <f t="shared" si="231"/>
        <v>#N/A</v>
      </c>
      <c r="E1887" t="e">
        <f t="shared" si="227"/>
        <v>#N/A</v>
      </c>
      <c r="G1887">
        <v>1837</v>
      </c>
      <c r="H1887" s="13" t="e">
        <f t="shared" si="232"/>
        <v>#N/A</v>
      </c>
      <c r="I1887" t="e">
        <f t="shared" si="233"/>
        <v>#N/A</v>
      </c>
      <c r="J1887" t="e">
        <f t="shared" si="228"/>
        <v>#N/A</v>
      </c>
      <c r="K1887" s="27" t="e">
        <f t="shared" si="229"/>
        <v>#N/A</v>
      </c>
    </row>
    <row r="1888" spans="1:11">
      <c r="A1888" s="26">
        <v>1838</v>
      </c>
      <c r="B1888" s="82" t="e">
        <f t="shared" si="230"/>
        <v>#N/A</v>
      </c>
      <c r="C1888" s="58" t="e">
        <f t="shared" si="234"/>
        <v>#N/A</v>
      </c>
      <c r="D1888" s="83" t="e">
        <f t="shared" si="231"/>
        <v>#N/A</v>
      </c>
      <c r="E1888" t="e">
        <f t="shared" si="227"/>
        <v>#N/A</v>
      </c>
      <c r="G1888">
        <v>1838</v>
      </c>
      <c r="H1888" s="13" t="e">
        <f t="shared" si="232"/>
        <v>#N/A</v>
      </c>
      <c r="I1888" t="e">
        <f t="shared" si="233"/>
        <v>#N/A</v>
      </c>
      <c r="J1888" t="e">
        <f t="shared" si="228"/>
        <v>#N/A</v>
      </c>
      <c r="K1888" s="27" t="e">
        <f t="shared" si="229"/>
        <v>#N/A</v>
      </c>
    </row>
    <row r="1889" spans="1:11">
      <c r="A1889" s="26">
        <v>1839</v>
      </c>
      <c r="B1889" s="82" t="e">
        <f t="shared" si="230"/>
        <v>#N/A</v>
      </c>
      <c r="C1889" s="58" t="e">
        <f t="shared" si="234"/>
        <v>#N/A</v>
      </c>
      <c r="D1889" s="83" t="e">
        <f t="shared" si="231"/>
        <v>#N/A</v>
      </c>
      <c r="E1889" t="e">
        <f t="shared" si="227"/>
        <v>#N/A</v>
      </c>
      <c r="G1889">
        <v>1839</v>
      </c>
      <c r="H1889" s="13" t="e">
        <f t="shared" si="232"/>
        <v>#N/A</v>
      </c>
      <c r="I1889" t="e">
        <f t="shared" si="233"/>
        <v>#N/A</v>
      </c>
      <c r="J1889" t="e">
        <f t="shared" si="228"/>
        <v>#N/A</v>
      </c>
      <c r="K1889" s="27" t="e">
        <f t="shared" si="229"/>
        <v>#N/A</v>
      </c>
    </row>
    <row r="1890" spans="1:11">
      <c r="A1890" s="26">
        <v>1840</v>
      </c>
      <c r="B1890" s="82" t="e">
        <f t="shared" si="230"/>
        <v>#N/A</v>
      </c>
      <c r="C1890" s="58" t="e">
        <f t="shared" si="234"/>
        <v>#N/A</v>
      </c>
      <c r="D1890" s="83" t="e">
        <f t="shared" si="231"/>
        <v>#N/A</v>
      </c>
      <c r="E1890" t="e">
        <f t="shared" si="227"/>
        <v>#N/A</v>
      </c>
      <c r="G1890">
        <v>1840</v>
      </c>
      <c r="H1890" s="13" t="e">
        <f t="shared" si="232"/>
        <v>#N/A</v>
      </c>
      <c r="I1890" t="e">
        <f t="shared" si="233"/>
        <v>#N/A</v>
      </c>
      <c r="J1890" t="e">
        <f t="shared" si="228"/>
        <v>#N/A</v>
      </c>
      <c r="K1890" s="27" t="e">
        <f t="shared" si="229"/>
        <v>#N/A</v>
      </c>
    </row>
    <row r="1891" spans="1:11">
      <c r="A1891" s="26">
        <v>1841</v>
      </c>
      <c r="B1891" s="82" t="e">
        <f t="shared" si="230"/>
        <v>#N/A</v>
      </c>
      <c r="C1891" s="58" t="e">
        <f t="shared" si="234"/>
        <v>#N/A</v>
      </c>
      <c r="D1891" s="83" t="e">
        <f t="shared" si="231"/>
        <v>#N/A</v>
      </c>
      <c r="E1891" t="e">
        <f t="shared" si="227"/>
        <v>#N/A</v>
      </c>
      <c r="G1891">
        <v>1841</v>
      </c>
      <c r="H1891" s="13" t="e">
        <f t="shared" si="232"/>
        <v>#N/A</v>
      </c>
      <c r="I1891" t="e">
        <f t="shared" si="233"/>
        <v>#N/A</v>
      </c>
      <c r="J1891" t="e">
        <f t="shared" si="228"/>
        <v>#N/A</v>
      </c>
      <c r="K1891" s="27" t="e">
        <f t="shared" si="229"/>
        <v>#N/A</v>
      </c>
    </row>
    <row r="1892" spans="1:11">
      <c r="A1892" s="26">
        <v>1842</v>
      </c>
      <c r="B1892" s="82" t="e">
        <f t="shared" si="230"/>
        <v>#N/A</v>
      </c>
      <c r="C1892" s="58" t="e">
        <f t="shared" si="234"/>
        <v>#N/A</v>
      </c>
      <c r="D1892" s="83" t="e">
        <f t="shared" si="231"/>
        <v>#N/A</v>
      </c>
      <c r="E1892" t="e">
        <f t="shared" si="227"/>
        <v>#N/A</v>
      </c>
      <c r="G1892">
        <v>1842</v>
      </c>
      <c r="H1892" s="13" t="e">
        <f t="shared" si="232"/>
        <v>#N/A</v>
      </c>
      <c r="I1892" t="e">
        <f t="shared" si="233"/>
        <v>#N/A</v>
      </c>
      <c r="J1892" t="e">
        <f t="shared" si="228"/>
        <v>#N/A</v>
      </c>
      <c r="K1892" s="27" t="e">
        <f t="shared" si="229"/>
        <v>#N/A</v>
      </c>
    </row>
    <row r="1893" spans="1:11">
      <c r="A1893" s="26">
        <v>1843</v>
      </c>
      <c r="B1893" s="82" t="e">
        <f t="shared" si="230"/>
        <v>#N/A</v>
      </c>
      <c r="C1893" s="58" t="e">
        <f t="shared" si="234"/>
        <v>#N/A</v>
      </c>
      <c r="D1893" s="83" t="e">
        <f t="shared" si="231"/>
        <v>#N/A</v>
      </c>
      <c r="E1893" t="e">
        <f t="shared" si="227"/>
        <v>#N/A</v>
      </c>
      <c r="G1893">
        <v>1843</v>
      </c>
      <c r="H1893" s="13" t="e">
        <f t="shared" si="232"/>
        <v>#N/A</v>
      </c>
      <c r="I1893" t="e">
        <f t="shared" si="233"/>
        <v>#N/A</v>
      </c>
      <c r="J1893" t="e">
        <f t="shared" si="228"/>
        <v>#N/A</v>
      </c>
      <c r="K1893" s="27" t="e">
        <f t="shared" si="229"/>
        <v>#N/A</v>
      </c>
    </row>
    <row r="1894" spans="1:11">
      <c r="A1894" s="26">
        <v>1844</v>
      </c>
      <c r="B1894" s="82" t="e">
        <f t="shared" si="230"/>
        <v>#N/A</v>
      </c>
      <c r="C1894" s="58" t="e">
        <f t="shared" si="234"/>
        <v>#N/A</v>
      </c>
      <c r="D1894" s="83" t="e">
        <f t="shared" si="231"/>
        <v>#N/A</v>
      </c>
      <c r="E1894" t="e">
        <f t="shared" si="227"/>
        <v>#N/A</v>
      </c>
      <c r="G1894">
        <v>1844</v>
      </c>
      <c r="H1894" s="13" t="e">
        <f t="shared" si="232"/>
        <v>#N/A</v>
      </c>
      <c r="I1894" t="e">
        <f t="shared" si="233"/>
        <v>#N/A</v>
      </c>
      <c r="J1894" t="e">
        <f t="shared" si="228"/>
        <v>#N/A</v>
      </c>
      <c r="K1894" s="27" t="e">
        <f t="shared" si="229"/>
        <v>#N/A</v>
      </c>
    </row>
    <row r="1895" spans="1:11">
      <c r="A1895" s="26">
        <v>1845</v>
      </c>
      <c r="B1895" s="82" t="e">
        <f t="shared" si="230"/>
        <v>#N/A</v>
      </c>
      <c r="C1895" s="58" t="e">
        <f t="shared" si="234"/>
        <v>#N/A</v>
      </c>
      <c r="D1895" s="83" t="e">
        <f t="shared" si="231"/>
        <v>#N/A</v>
      </c>
      <c r="E1895" t="e">
        <f t="shared" si="227"/>
        <v>#N/A</v>
      </c>
      <c r="G1895">
        <v>1845</v>
      </c>
      <c r="H1895" s="13" t="e">
        <f t="shared" si="232"/>
        <v>#N/A</v>
      </c>
      <c r="I1895" t="e">
        <f t="shared" si="233"/>
        <v>#N/A</v>
      </c>
      <c r="J1895" t="e">
        <f t="shared" si="228"/>
        <v>#N/A</v>
      </c>
      <c r="K1895" s="27" t="e">
        <f t="shared" si="229"/>
        <v>#N/A</v>
      </c>
    </row>
    <row r="1896" spans="1:11">
      <c r="A1896" s="26">
        <v>1846</v>
      </c>
      <c r="B1896" s="82" t="e">
        <f t="shared" si="230"/>
        <v>#N/A</v>
      </c>
      <c r="C1896" s="58" t="e">
        <f t="shared" si="234"/>
        <v>#N/A</v>
      </c>
      <c r="D1896" s="83" t="e">
        <f t="shared" si="231"/>
        <v>#N/A</v>
      </c>
      <c r="E1896" t="e">
        <f t="shared" si="227"/>
        <v>#N/A</v>
      </c>
      <c r="G1896">
        <v>1846</v>
      </c>
      <c r="H1896" s="13" t="e">
        <f t="shared" si="232"/>
        <v>#N/A</v>
      </c>
      <c r="I1896" t="e">
        <f t="shared" si="233"/>
        <v>#N/A</v>
      </c>
      <c r="J1896" t="e">
        <f t="shared" si="228"/>
        <v>#N/A</v>
      </c>
      <c r="K1896" s="27" t="e">
        <f t="shared" si="229"/>
        <v>#N/A</v>
      </c>
    </row>
    <row r="1897" spans="1:11">
      <c r="A1897" s="26">
        <v>1847</v>
      </c>
      <c r="B1897" s="82" t="e">
        <f t="shared" si="230"/>
        <v>#N/A</v>
      </c>
      <c r="C1897" s="58" t="e">
        <f t="shared" si="234"/>
        <v>#N/A</v>
      </c>
      <c r="D1897" s="83" t="e">
        <f t="shared" si="231"/>
        <v>#N/A</v>
      </c>
      <c r="E1897" t="e">
        <f t="shared" si="227"/>
        <v>#N/A</v>
      </c>
      <c r="G1897">
        <v>1847</v>
      </c>
      <c r="H1897" s="13" t="e">
        <f t="shared" si="232"/>
        <v>#N/A</v>
      </c>
      <c r="I1897" t="e">
        <f t="shared" si="233"/>
        <v>#N/A</v>
      </c>
      <c r="J1897" t="e">
        <f t="shared" si="228"/>
        <v>#N/A</v>
      </c>
      <c r="K1897" s="27" t="e">
        <f t="shared" si="229"/>
        <v>#N/A</v>
      </c>
    </row>
    <row r="1898" spans="1:11">
      <c r="A1898" s="26">
        <v>1848</v>
      </c>
      <c r="B1898" s="82" t="e">
        <f t="shared" si="230"/>
        <v>#N/A</v>
      </c>
      <c r="C1898" s="58" t="e">
        <f t="shared" si="234"/>
        <v>#N/A</v>
      </c>
      <c r="D1898" s="83" t="e">
        <f t="shared" si="231"/>
        <v>#N/A</v>
      </c>
      <c r="E1898" t="e">
        <f t="shared" si="227"/>
        <v>#N/A</v>
      </c>
      <c r="G1898">
        <v>1848</v>
      </c>
      <c r="H1898" s="13" t="e">
        <f t="shared" si="232"/>
        <v>#N/A</v>
      </c>
      <c r="I1898" t="e">
        <f t="shared" si="233"/>
        <v>#N/A</v>
      </c>
      <c r="J1898" t="e">
        <f t="shared" si="228"/>
        <v>#N/A</v>
      </c>
      <c r="K1898" s="27" t="e">
        <f t="shared" si="229"/>
        <v>#N/A</v>
      </c>
    </row>
    <row r="1899" spans="1:11">
      <c r="A1899" s="26">
        <v>1849</v>
      </c>
      <c r="B1899" s="82" t="e">
        <f t="shared" si="230"/>
        <v>#N/A</v>
      </c>
      <c r="C1899" s="58" t="e">
        <f t="shared" si="234"/>
        <v>#N/A</v>
      </c>
      <c r="D1899" s="83" t="e">
        <f t="shared" si="231"/>
        <v>#N/A</v>
      </c>
      <c r="E1899" t="e">
        <f t="shared" si="227"/>
        <v>#N/A</v>
      </c>
      <c r="G1899">
        <v>1849</v>
      </c>
      <c r="H1899" s="13" t="e">
        <f t="shared" si="232"/>
        <v>#N/A</v>
      </c>
      <c r="I1899" t="e">
        <f t="shared" si="233"/>
        <v>#N/A</v>
      </c>
      <c r="J1899" t="e">
        <f t="shared" si="228"/>
        <v>#N/A</v>
      </c>
      <c r="K1899" s="27" t="e">
        <f t="shared" si="229"/>
        <v>#N/A</v>
      </c>
    </row>
    <row r="1900" spans="1:11">
      <c r="A1900" s="26">
        <v>1850</v>
      </c>
      <c r="B1900" s="82" t="e">
        <f t="shared" si="230"/>
        <v>#N/A</v>
      </c>
      <c r="C1900" s="58" t="e">
        <f t="shared" si="234"/>
        <v>#N/A</v>
      </c>
      <c r="D1900" s="83" t="e">
        <f t="shared" si="231"/>
        <v>#N/A</v>
      </c>
      <c r="E1900" t="e">
        <f t="shared" si="227"/>
        <v>#N/A</v>
      </c>
      <c r="G1900">
        <v>1850</v>
      </c>
      <c r="H1900" s="13" t="e">
        <f t="shared" si="232"/>
        <v>#N/A</v>
      </c>
      <c r="I1900" t="e">
        <f t="shared" si="233"/>
        <v>#N/A</v>
      </c>
      <c r="J1900" t="e">
        <f t="shared" si="228"/>
        <v>#N/A</v>
      </c>
      <c r="K1900" s="27" t="e">
        <f t="shared" si="229"/>
        <v>#N/A</v>
      </c>
    </row>
    <row r="1901" spans="1:11">
      <c r="A1901" s="26">
        <v>1851</v>
      </c>
      <c r="B1901" s="82" t="e">
        <f t="shared" si="230"/>
        <v>#N/A</v>
      </c>
      <c r="C1901" s="58" t="e">
        <f t="shared" si="234"/>
        <v>#N/A</v>
      </c>
      <c r="D1901" s="83" t="e">
        <f t="shared" si="231"/>
        <v>#N/A</v>
      </c>
      <c r="E1901" t="e">
        <f t="shared" si="227"/>
        <v>#N/A</v>
      </c>
      <c r="G1901">
        <v>1851</v>
      </c>
      <c r="H1901" s="13" t="e">
        <f t="shared" si="232"/>
        <v>#N/A</v>
      </c>
      <c r="I1901" t="e">
        <f t="shared" si="233"/>
        <v>#N/A</v>
      </c>
      <c r="J1901" t="e">
        <f t="shared" si="228"/>
        <v>#N/A</v>
      </c>
      <c r="K1901" s="27" t="e">
        <f t="shared" si="229"/>
        <v>#N/A</v>
      </c>
    </row>
    <row r="1902" spans="1:11">
      <c r="A1902" s="26">
        <v>1852</v>
      </c>
      <c r="B1902" s="82" t="e">
        <f t="shared" si="230"/>
        <v>#N/A</v>
      </c>
      <c r="C1902" s="58" t="e">
        <f t="shared" si="234"/>
        <v>#N/A</v>
      </c>
      <c r="D1902" s="83" t="e">
        <f t="shared" si="231"/>
        <v>#N/A</v>
      </c>
      <c r="E1902" t="e">
        <f t="shared" si="227"/>
        <v>#N/A</v>
      </c>
      <c r="G1902">
        <v>1852</v>
      </c>
      <c r="H1902" s="13" t="e">
        <f t="shared" si="232"/>
        <v>#N/A</v>
      </c>
      <c r="I1902" t="e">
        <f t="shared" si="233"/>
        <v>#N/A</v>
      </c>
      <c r="J1902" t="e">
        <f t="shared" si="228"/>
        <v>#N/A</v>
      </c>
      <c r="K1902" s="27" t="e">
        <f t="shared" si="229"/>
        <v>#N/A</v>
      </c>
    </row>
    <row r="1903" spans="1:11">
      <c r="A1903" s="26">
        <v>1853</v>
      </c>
      <c r="B1903" s="82" t="e">
        <f t="shared" si="230"/>
        <v>#N/A</v>
      </c>
      <c r="C1903" s="58" t="e">
        <f t="shared" si="234"/>
        <v>#N/A</v>
      </c>
      <c r="D1903" s="83" t="e">
        <f t="shared" si="231"/>
        <v>#N/A</v>
      </c>
      <c r="E1903" t="e">
        <f t="shared" si="227"/>
        <v>#N/A</v>
      </c>
      <c r="G1903">
        <v>1853</v>
      </c>
      <c r="H1903" s="13" t="e">
        <f t="shared" si="232"/>
        <v>#N/A</v>
      </c>
      <c r="I1903" t="e">
        <f t="shared" si="233"/>
        <v>#N/A</v>
      </c>
      <c r="J1903" t="e">
        <f t="shared" si="228"/>
        <v>#N/A</v>
      </c>
      <c r="K1903" s="27" t="e">
        <f t="shared" si="229"/>
        <v>#N/A</v>
      </c>
    </row>
    <row r="1904" spans="1:11">
      <c r="A1904" s="26">
        <v>1854</v>
      </c>
      <c r="B1904" s="82" t="e">
        <f t="shared" si="230"/>
        <v>#N/A</v>
      </c>
      <c r="C1904" s="58" t="e">
        <f t="shared" si="234"/>
        <v>#N/A</v>
      </c>
      <c r="D1904" s="83" t="e">
        <f t="shared" si="231"/>
        <v>#N/A</v>
      </c>
      <c r="E1904" t="e">
        <f t="shared" si="227"/>
        <v>#N/A</v>
      </c>
      <c r="G1904">
        <v>1854</v>
      </c>
      <c r="H1904" s="13" t="e">
        <f t="shared" si="232"/>
        <v>#N/A</v>
      </c>
      <c r="I1904" t="e">
        <f t="shared" si="233"/>
        <v>#N/A</v>
      </c>
      <c r="J1904" t="e">
        <f t="shared" si="228"/>
        <v>#N/A</v>
      </c>
      <c r="K1904" s="27" t="e">
        <f t="shared" si="229"/>
        <v>#N/A</v>
      </c>
    </row>
    <row r="1905" spans="1:11">
      <c r="A1905" s="26">
        <v>1855</v>
      </c>
      <c r="B1905" s="82" t="e">
        <f t="shared" si="230"/>
        <v>#N/A</v>
      </c>
      <c r="C1905" s="58" t="e">
        <f t="shared" si="234"/>
        <v>#N/A</v>
      </c>
      <c r="D1905" s="83" t="e">
        <f t="shared" si="231"/>
        <v>#N/A</v>
      </c>
      <c r="E1905" t="e">
        <f t="shared" si="227"/>
        <v>#N/A</v>
      </c>
      <c r="G1905">
        <v>1855</v>
      </c>
      <c r="H1905" s="13" t="e">
        <f t="shared" si="232"/>
        <v>#N/A</v>
      </c>
      <c r="I1905" t="e">
        <f t="shared" si="233"/>
        <v>#N/A</v>
      </c>
      <c r="J1905" t="e">
        <f t="shared" si="228"/>
        <v>#N/A</v>
      </c>
      <c r="K1905" s="27" t="e">
        <f t="shared" si="229"/>
        <v>#N/A</v>
      </c>
    </row>
    <row r="1906" spans="1:11">
      <c r="A1906" s="26">
        <v>1856</v>
      </c>
      <c r="B1906" s="82" t="e">
        <f t="shared" si="230"/>
        <v>#N/A</v>
      </c>
      <c r="C1906" s="58" t="e">
        <f t="shared" si="234"/>
        <v>#N/A</v>
      </c>
      <c r="D1906" s="83" t="e">
        <f t="shared" si="231"/>
        <v>#N/A</v>
      </c>
      <c r="E1906" t="e">
        <f t="shared" si="227"/>
        <v>#N/A</v>
      </c>
      <c r="G1906">
        <v>1856</v>
      </c>
      <c r="H1906" s="13" t="e">
        <f t="shared" si="232"/>
        <v>#N/A</v>
      </c>
      <c r="I1906" t="e">
        <f t="shared" si="233"/>
        <v>#N/A</v>
      </c>
      <c r="J1906" t="e">
        <f t="shared" si="228"/>
        <v>#N/A</v>
      </c>
      <c r="K1906" s="27" t="e">
        <f t="shared" si="229"/>
        <v>#N/A</v>
      </c>
    </row>
    <row r="1907" spans="1:11">
      <c r="A1907" s="26">
        <v>1857</v>
      </c>
      <c r="B1907" s="82" t="e">
        <f t="shared" si="230"/>
        <v>#N/A</v>
      </c>
      <c r="C1907" s="58" t="e">
        <f t="shared" si="234"/>
        <v>#N/A</v>
      </c>
      <c r="D1907" s="83" t="e">
        <f t="shared" si="231"/>
        <v>#N/A</v>
      </c>
      <c r="E1907" t="e">
        <f t="shared" ref="E1907:E1970" si="235">((D1907^2)+(D1907*D1908)+(D1908^2))*B1908/3</f>
        <v>#N/A</v>
      </c>
      <c r="G1907">
        <v>1857</v>
      </c>
      <c r="H1907" s="13" t="e">
        <f t="shared" si="232"/>
        <v>#N/A</v>
      </c>
      <c r="I1907" t="e">
        <f t="shared" si="233"/>
        <v>#N/A</v>
      </c>
      <c r="J1907" t="e">
        <f t="shared" ref="J1907:J1970" si="236">IF($G$28&lt;$C$14,0,((($C$11^2)-((I1907-$C$13)^2))^0.5)+$C$16)</f>
        <v>#N/A</v>
      </c>
      <c r="K1907" s="27" t="e">
        <f t="shared" ref="K1907:K1970" si="237">((J1907^2)+(J1907*J1908)+(J1908^2))*H1908/3</f>
        <v>#N/A</v>
      </c>
    </row>
    <row r="1908" spans="1:11">
      <c r="A1908" s="26">
        <v>1858</v>
      </c>
      <c r="B1908" s="82" t="e">
        <f t="shared" ref="B1908:B1971" si="238">C1908-C1907</f>
        <v>#N/A</v>
      </c>
      <c r="C1908" s="58" t="e">
        <f t="shared" si="234"/>
        <v>#N/A</v>
      </c>
      <c r="D1908" s="83" t="e">
        <f t="shared" ref="D1908:D1971" si="239">IF($G$28&lt;$C$14,0,((($C$11^2)-((C1908-$C$13)^2))^0.5)+$C$16)</f>
        <v>#N/A</v>
      </c>
      <c r="E1908" t="e">
        <f t="shared" si="235"/>
        <v>#N/A</v>
      </c>
      <c r="G1908">
        <v>1858</v>
      </c>
      <c r="H1908" s="13" t="e">
        <f t="shared" ref="H1908:H1971" si="240">I1908-I1907</f>
        <v>#N/A</v>
      </c>
      <c r="I1908" t="e">
        <f t="shared" ref="I1908:I1971" si="241">($G$27-$C$14)/2000+I1907</f>
        <v>#N/A</v>
      </c>
      <c r="J1908" t="e">
        <f t="shared" si="236"/>
        <v>#N/A</v>
      </c>
      <c r="K1908" s="27" t="e">
        <f t="shared" si="237"/>
        <v>#N/A</v>
      </c>
    </row>
    <row r="1909" spans="1:11">
      <c r="A1909" s="26">
        <v>1859</v>
      </c>
      <c r="B1909" s="82" t="e">
        <f t="shared" si="238"/>
        <v>#N/A</v>
      </c>
      <c r="C1909" s="58" t="e">
        <f t="shared" si="234"/>
        <v>#N/A</v>
      </c>
      <c r="D1909" s="83" t="e">
        <f t="shared" si="239"/>
        <v>#N/A</v>
      </c>
      <c r="E1909" t="e">
        <f t="shared" si="235"/>
        <v>#N/A</v>
      </c>
      <c r="G1909">
        <v>1859</v>
      </c>
      <c r="H1909" s="13" t="e">
        <f t="shared" si="240"/>
        <v>#N/A</v>
      </c>
      <c r="I1909" t="e">
        <f t="shared" si="241"/>
        <v>#N/A</v>
      </c>
      <c r="J1909" t="e">
        <f t="shared" si="236"/>
        <v>#N/A</v>
      </c>
      <c r="K1909" s="27" t="e">
        <f t="shared" si="237"/>
        <v>#N/A</v>
      </c>
    </row>
    <row r="1910" spans="1:11">
      <c r="A1910" s="26">
        <v>1860</v>
      </c>
      <c r="B1910" s="82" t="e">
        <f t="shared" si="238"/>
        <v>#N/A</v>
      </c>
      <c r="C1910" s="58" t="e">
        <f t="shared" si="234"/>
        <v>#N/A</v>
      </c>
      <c r="D1910" s="83" t="e">
        <f t="shared" si="239"/>
        <v>#N/A</v>
      </c>
      <c r="E1910" t="e">
        <f t="shared" si="235"/>
        <v>#N/A</v>
      </c>
      <c r="G1910">
        <v>1860</v>
      </c>
      <c r="H1910" s="13" t="e">
        <f t="shared" si="240"/>
        <v>#N/A</v>
      </c>
      <c r="I1910" t="e">
        <f t="shared" si="241"/>
        <v>#N/A</v>
      </c>
      <c r="J1910" t="e">
        <f t="shared" si="236"/>
        <v>#N/A</v>
      </c>
      <c r="K1910" s="27" t="e">
        <f t="shared" si="237"/>
        <v>#N/A</v>
      </c>
    </row>
    <row r="1911" spans="1:11">
      <c r="A1911" s="26">
        <v>1861</v>
      </c>
      <c r="B1911" s="82" t="e">
        <f t="shared" si="238"/>
        <v>#N/A</v>
      </c>
      <c r="C1911" s="58" t="e">
        <f t="shared" si="234"/>
        <v>#N/A</v>
      </c>
      <c r="D1911" s="83" t="e">
        <f t="shared" si="239"/>
        <v>#N/A</v>
      </c>
      <c r="E1911" t="e">
        <f t="shared" si="235"/>
        <v>#N/A</v>
      </c>
      <c r="G1911">
        <v>1861</v>
      </c>
      <c r="H1911" s="13" t="e">
        <f t="shared" si="240"/>
        <v>#N/A</v>
      </c>
      <c r="I1911" t="e">
        <f t="shared" si="241"/>
        <v>#N/A</v>
      </c>
      <c r="J1911" t="e">
        <f t="shared" si="236"/>
        <v>#N/A</v>
      </c>
      <c r="K1911" s="27" t="e">
        <f t="shared" si="237"/>
        <v>#N/A</v>
      </c>
    </row>
    <row r="1912" spans="1:11">
      <c r="A1912" s="26">
        <v>1862</v>
      </c>
      <c r="B1912" s="82" t="e">
        <f t="shared" si="238"/>
        <v>#N/A</v>
      </c>
      <c r="C1912" s="58" t="e">
        <f t="shared" si="234"/>
        <v>#N/A</v>
      </c>
      <c r="D1912" s="83" t="e">
        <f t="shared" si="239"/>
        <v>#N/A</v>
      </c>
      <c r="E1912" t="e">
        <f t="shared" si="235"/>
        <v>#N/A</v>
      </c>
      <c r="G1912">
        <v>1862</v>
      </c>
      <c r="H1912" s="13" t="e">
        <f t="shared" si="240"/>
        <v>#N/A</v>
      </c>
      <c r="I1912" t="e">
        <f t="shared" si="241"/>
        <v>#N/A</v>
      </c>
      <c r="J1912" t="e">
        <f t="shared" si="236"/>
        <v>#N/A</v>
      </c>
      <c r="K1912" s="27" t="e">
        <f t="shared" si="237"/>
        <v>#N/A</v>
      </c>
    </row>
    <row r="1913" spans="1:11">
      <c r="A1913" s="26">
        <v>1863</v>
      </c>
      <c r="B1913" s="82" t="e">
        <f t="shared" si="238"/>
        <v>#N/A</v>
      </c>
      <c r="C1913" s="58" t="e">
        <f t="shared" si="234"/>
        <v>#N/A</v>
      </c>
      <c r="D1913" s="83" t="e">
        <f t="shared" si="239"/>
        <v>#N/A</v>
      </c>
      <c r="E1913" t="e">
        <f t="shared" si="235"/>
        <v>#N/A</v>
      </c>
      <c r="G1913">
        <v>1863</v>
      </c>
      <c r="H1913" s="13" t="e">
        <f t="shared" si="240"/>
        <v>#N/A</v>
      </c>
      <c r="I1913" t="e">
        <f t="shared" si="241"/>
        <v>#N/A</v>
      </c>
      <c r="J1913" t="e">
        <f t="shared" si="236"/>
        <v>#N/A</v>
      </c>
      <c r="K1913" s="27" t="e">
        <f t="shared" si="237"/>
        <v>#N/A</v>
      </c>
    </row>
    <row r="1914" spans="1:11">
      <c r="A1914" s="26">
        <v>1864</v>
      </c>
      <c r="B1914" s="82" t="e">
        <f t="shared" si="238"/>
        <v>#N/A</v>
      </c>
      <c r="C1914" s="58" t="e">
        <f t="shared" si="234"/>
        <v>#N/A</v>
      </c>
      <c r="D1914" s="83" t="e">
        <f t="shared" si="239"/>
        <v>#N/A</v>
      </c>
      <c r="E1914" t="e">
        <f t="shared" si="235"/>
        <v>#N/A</v>
      </c>
      <c r="G1914">
        <v>1864</v>
      </c>
      <c r="H1914" s="13" t="e">
        <f t="shared" si="240"/>
        <v>#N/A</v>
      </c>
      <c r="I1914" t="e">
        <f t="shared" si="241"/>
        <v>#N/A</v>
      </c>
      <c r="J1914" t="e">
        <f t="shared" si="236"/>
        <v>#N/A</v>
      </c>
      <c r="K1914" s="27" t="e">
        <f t="shared" si="237"/>
        <v>#N/A</v>
      </c>
    </row>
    <row r="1915" spans="1:11">
      <c r="A1915" s="26">
        <v>1865</v>
      </c>
      <c r="B1915" s="82" t="e">
        <f t="shared" si="238"/>
        <v>#N/A</v>
      </c>
      <c r="C1915" s="58" t="e">
        <f t="shared" si="234"/>
        <v>#N/A</v>
      </c>
      <c r="D1915" s="83" t="e">
        <f t="shared" si="239"/>
        <v>#N/A</v>
      </c>
      <c r="E1915" t="e">
        <f t="shared" si="235"/>
        <v>#N/A</v>
      </c>
      <c r="G1915">
        <v>1865</v>
      </c>
      <c r="H1915" s="13" t="e">
        <f t="shared" si="240"/>
        <v>#N/A</v>
      </c>
      <c r="I1915" t="e">
        <f t="shared" si="241"/>
        <v>#N/A</v>
      </c>
      <c r="J1915" t="e">
        <f t="shared" si="236"/>
        <v>#N/A</v>
      </c>
      <c r="K1915" s="27" t="e">
        <f t="shared" si="237"/>
        <v>#N/A</v>
      </c>
    </row>
    <row r="1916" spans="1:11">
      <c r="A1916" s="26">
        <v>1866</v>
      </c>
      <c r="B1916" s="82" t="e">
        <f t="shared" si="238"/>
        <v>#N/A</v>
      </c>
      <c r="C1916" s="58" t="e">
        <f t="shared" si="234"/>
        <v>#N/A</v>
      </c>
      <c r="D1916" s="83" t="e">
        <f t="shared" si="239"/>
        <v>#N/A</v>
      </c>
      <c r="E1916" t="e">
        <f t="shared" si="235"/>
        <v>#N/A</v>
      </c>
      <c r="G1916">
        <v>1866</v>
      </c>
      <c r="H1916" s="13" t="e">
        <f t="shared" si="240"/>
        <v>#N/A</v>
      </c>
      <c r="I1916" t="e">
        <f t="shared" si="241"/>
        <v>#N/A</v>
      </c>
      <c r="J1916" t="e">
        <f t="shared" si="236"/>
        <v>#N/A</v>
      </c>
      <c r="K1916" s="27" t="e">
        <f t="shared" si="237"/>
        <v>#N/A</v>
      </c>
    </row>
    <row r="1917" spans="1:11">
      <c r="A1917" s="26">
        <v>1867</v>
      </c>
      <c r="B1917" s="82" t="e">
        <f t="shared" si="238"/>
        <v>#N/A</v>
      </c>
      <c r="C1917" s="58" t="e">
        <f t="shared" si="234"/>
        <v>#N/A</v>
      </c>
      <c r="D1917" s="83" t="e">
        <f t="shared" si="239"/>
        <v>#N/A</v>
      </c>
      <c r="E1917" t="e">
        <f t="shared" si="235"/>
        <v>#N/A</v>
      </c>
      <c r="G1917">
        <v>1867</v>
      </c>
      <c r="H1917" s="13" t="e">
        <f t="shared" si="240"/>
        <v>#N/A</v>
      </c>
      <c r="I1917" t="e">
        <f t="shared" si="241"/>
        <v>#N/A</v>
      </c>
      <c r="J1917" t="e">
        <f t="shared" si="236"/>
        <v>#N/A</v>
      </c>
      <c r="K1917" s="27" t="e">
        <f t="shared" si="237"/>
        <v>#N/A</v>
      </c>
    </row>
    <row r="1918" spans="1:11">
      <c r="A1918" s="26">
        <v>1868</v>
      </c>
      <c r="B1918" s="82" t="e">
        <f t="shared" si="238"/>
        <v>#N/A</v>
      </c>
      <c r="C1918" s="58" t="e">
        <f t="shared" si="234"/>
        <v>#N/A</v>
      </c>
      <c r="D1918" s="83" t="e">
        <f t="shared" si="239"/>
        <v>#N/A</v>
      </c>
      <c r="E1918" t="e">
        <f t="shared" si="235"/>
        <v>#N/A</v>
      </c>
      <c r="G1918">
        <v>1868</v>
      </c>
      <c r="H1918" s="13" t="e">
        <f t="shared" si="240"/>
        <v>#N/A</v>
      </c>
      <c r="I1918" t="e">
        <f t="shared" si="241"/>
        <v>#N/A</v>
      </c>
      <c r="J1918" t="e">
        <f t="shared" si="236"/>
        <v>#N/A</v>
      </c>
      <c r="K1918" s="27" t="e">
        <f t="shared" si="237"/>
        <v>#N/A</v>
      </c>
    </row>
    <row r="1919" spans="1:11">
      <c r="A1919" s="26">
        <v>1869</v>
      </c>
      <c r="B1919" s="82" t="e">
        <f t="shared" si="238"/>
        <v>#N/A</v>
      </c>
      <c r="C1919" s="58" t="e">
        <f t="shared" si="234"/>
        <v>#N/A</v>
      </c>
      <c r="D1919" s="83" t="e">
        <f t="shared" si="239"/>
        <v>#N/A</v>
      </c>
      <c r="E1919" t="e">
        <f t="shared" si="235"/>
        <v>#N/A</v>
      </c>
      <c r="G1919">
        <v>1869</v>
      </c>
      <c r="H1919" s="13" t="e">
        <f t="shared" si="240"/>
        <v>#N/A</v>
      </c>
      <c r="I1919" t="e">
        <f t="shared" si="241"/>
        <v>#N/A</v>
      </c>
      <c r="J1919" t="e">
        <f t="shared" si="236"/>
        <v>#N/A</v>
      </c>
      <c r="K1919" s="27" t="e">
        <f t="shared" si="237"/>
        <v>#N/A</v>
      </c>
    </row>
    <row r="1920" spans="1:11">
      <c r="A1920" s="26">
        <v>1870</v>
      </c>
      <c r="B1920" s="82" t="e">
        <f t="shared" si="238"/>
        <v>#N/A</v>
      </c>
      <c r="C1920" s="58" t="e">
        <f t="shared" si="234"/>
        <v>#N/A</v>
      </c>
      <c r="D1920" s="83" t="e">
        <f t="shared" si="239"/>
        <v>#N/A</v>
      </c>
      <c r="E1920" t="e">
        <f t="shared" si="235"/>
        <v>#N/A</v>
      </c>
      <c r="G1920">
        <v>1870</v>
      </c>
      <c r="H1920" s="13" t="e">
        <f t="shared" si="240"/>
        <v>#N/A</v>
      </c>
      <c r="I1920" t="e">
        <f t="shared" si="241"/>
        <v>#N/A</v>
      </c>
      <c r="J1920" t="e">
        <f t="shared" si="236"/>
        <v>#N/A</v>
      </c>
      <c r="K1920" s="27" t="e">
        <f t="shared" si="237"/>
        <v>#N/A</v>
      </c>
    </row>
    <row r="1921" spans="1:11">
      <c r="A1921" s="26">
        <v>1871</v>
      </c>
      <c r="B1921" s="82" t="e">
        <f t="shared" si="238"/>
        <v>#N/A</v>
      </c>
      <c r="C1921" s="58" t="e">
        <f t="shared" si="234"/>
        <v>#N/A</v>
      </c>
      <c r="D1921" s="83" t="e">
        <f t="shared" si="239"/>
        <v>#N/A</v>
      </c>
      <c r="E1921" t="e">
        <f t="shared" si="235"/>
        <v>#N/A</v>
      </c>
      <c r="G1921">
        <v>1871</v>
      </c>
      <c r="H1921" s="13" t="e">
        <f t="shared" si="240"/>
        <v>#N/A</v>
      </c>
      <c r="I1921" t="e">
        <f t="shared" si="241"/>
        <v>#N/A</v>
      </c>
      <c r="J1921" t="e">
        <f t="shared" si="236"/>
        <v>#N/A</v>
      </c>
      <c r="K1921" s="27" t="e">
        <f t="shared" si="237"/>
        <v>#N/A</v>
      </c>
    </row>
    <row r="1922" spans="1:11">
      <c r="A1922" s="26">
        <v>1872</v>
      </c>
      <c r="B1922" s="82" t="e">
        <f t="shared" si="238"/>
        <v>#N/A</v>
      </c>
      <c r="C1922" s="58" t="e">
        <f t="shared" si="234"/>
        <v>#N/A</v>
      </c>
      <c r="D1922" s="83" t="e">
        <f t="shared" si="239"/>
        <v>#N/A</v>
      </c>
      <c r="E1922" t="e">
        <f t="shared" si="235"/>
        <v>#N/A</v>
      </c>
      <c r="G1922">
        <v>1872</v>
      </c>
      <c r="H1922" s="13" t="e">
        <f t="shared" si="240"/>
        <v>#N/A</v>
      </c>
      <c r="I1922" t="e">
        <f t="shared" si="241"/>
        <v>#N/A</v>
      </c>
      <c r="J1922" t="e">
        <f t="shared" si="236"/>
        <v>#N/A</v>
      </c>
      <c r="K1922" s="27" t="e">
        <f t="shared" si="237"/>
        <v>#N/A</v>
      </c>
    </row>
    <row r="1923" spans="1:11">
      <c r="A1923" s="26">
        <v>1873</v>
      </c>
      <c r="B1923" s="82" t="e">
        <f t="shared" si="238"/>
        <v>#N/A</v>
      </c>
      <c r="C1923" s="58" t="e">
        <f t="shared" si="234"/>
        <v>#N/A</v>
      </c>
      <c r="D1923" s="83" t="e">
        <f t="shared" si="239"/>
        <v>#N/A</v>
      </c>
      <c r="E1923" t="e">
        <f t="shared" si="235"/>
        <v>#N/A</v>
      </c>
      <c r="G1923">
        <v>1873</v>
      </c>
      <c r="H1923" s="13" t="e">
        <f t="shared" si="240"/>
        <v>#N/A</v>
      </c>
      <c r="I1923" t="e">
        <f t="shared" si="241"/>
        <v>#N/A</v>
      </c>
      <c r="J1923" t="e">
        <f t="shared" si="236"/>
        <v>#N/A</v>
      </c>
      <c r="K1923" s="27" t="e">
        <f t="shared" si="237"/>
        <v>#N/A</v>
      </c>
    </row>
    <row r="1924" spans="1:11">
      <c r="A1924" s="26">
        <v>1874</v>
      </c>
      <c r="B1924" s="82" t="e">
        <f t="shared" si="238"/>
        <v>#N/A</v>
      </c>
      <c r="C1924" s="58" t="e">
        <f t="shared" si="234"/>
        <v>#N/A</v>
      </c>
      <c r="D1924" s="83" t="e">
        <f t="shared" si="239"/>
        <v>#N/A</v>
      </c>
      <c r="E1924" t="e">
        <f t="shared" si="235"/>
        <v>#N/A</v>
      </c>
      <c r="G1924">
        <v>1874</v>
      </c>
      <c r="H1924" s="13" t="e">
        <f t="shared" si="240"/>
        <v>#N/A</v>
      </c>
      <c r="I1924" t="e">
        <f t="shared" si="241"/>
        <v>#N/A</v>
      </c>
      <c r="J1924" t="e">
        <f t="shared" si="236"/>
        <v>#N/A</v>
      </c>
      <c r="K1924" s="27" t="e">
        <f t="shared" si="237"/>
        <v>#N/A</v>
      </c>
    </row>
    <row r="1925" spans="1:11">
      <c r="A1925" s="26">
        <v>1875</v>
      </c>
      <c r="B1925" s="82" t="e">
        <f t="shared" si="238"/>
        <v>#N/A</v>
      </c>
      <c r="C1925" s="58" t="e">
        <f t="shared" si="234"/>
        <v>#N/A</v>
      </c>
      <c r="D1925" s="83" t="e">
        <f t="shared" si="239"/>
        <v>#N/A</v>
      </c>
      <c r="E1925" t="e">
        <f t="shared" si="235"/>
        <v>#N/A</v>
      </c>
      <c r="G1925">
        <v>1875</v>
      </c>
      <c r="H1925" s="13" t="e">
        <f t="shared" si="240"/>
        <v>#N/A</v>
      </c>
      <c r="I1925" t="e">
        <f t="shared" si="241"/>
        <v>#N/A</v>
      </c>
      <c r="J1925" t="e">
        <f t="shared" si="236"/>
        <v>#N/A</v>
      </c>
      <c r="K1925" s="27" t="e">
        <f t="shared" si="237"/>
        <v>#N/A</v>
      </c>
    </row>
    <row r="1926" spans="1:11">
      <c r="A1926" s="26">
        <v>1876</v>
      </c>
      <c r="B1926" s="82" t="e">
        <f t="shared" si="238"/>
        <v>#N/A</v>
      </c>
      <c r="C1926" s="58" t="e">
        <f t="shared" si="234"/>
        <v>#N/A</v>
      </c>
      <c r="D1926" s="83" t="e">
        <f t="shared" si="239"/>
        <v>#N/A</v>
      </c>
      <c r="E1926" t="e">
        <f t="shared" si="235"/>
        <v>#N/A</v>
      </c>
      <c r="G1926">
        <v>1876</v>
      </c>
      <c r="H1926" s="13" t="e">
        <f t="shared" si="240"/>
        <v>#N/A</v>
      </c>
      <c r="I1926" t="e">
        <f t="shared" si="241"/>
        <v>#N/A</v>
      </c>
      <c r="J1926" t="e">
        <f t="shared" si="236"/>
        <v>#N/A</v>
      </c>
      <c r="K1926" s="27" t="e">
        <f t="shared" si="237"/>
        <v>#N/A</v>
      </c>
    </row>
    <row r="1927" spans="1:11">
      <c r="A1927" s="26">
        <v>1877</v>
      </c>
      <c r="B1927" s="82" t="e">
        <f t="shared" si="238"/>
        <v>#N/A</v>
      </c>
      <c r="C1927" s="58" t="e">
        <f t="shared" si="234"/>
        <v>#N/A</v>
      </c>
      <c r="D1927" s="83" t="e">
        <f t="shared" si="239"/>
        <v>#N/A</v>
      </c>
      <c r="E1927" t="e">
        <f t="shared" si="235"/>
        <v>#N/A</v>
      </c>
      <c r="G1927">
        <v>1877</v>
      </c>
      <c r="H1927" s="13" t="e">
        <f t="shared" si="240"/>
        <v>#N/A</v>
      </c>
      <c r="I1927" t="e">
        <f t="shared" si="241"/>
        <v>#N/A</v>
      </c>
      <c r="J1927" t="e">
        <f t="shared" si="236"/>
        <v>#N/A</v>
      </c>
      <c r="K1927" s="27" t="e">
        <f t="shared" si="237"/>
        <v>#N/A</v>
      </c>
    </row>
    <row r="1928" spans="1:11">
      <c r="A1928" s="26">
        <v>1878</v>
      </c>
      <c r="B1928" s="82" t="e">
        <f t="shared" si="238"/>
        <v>#N/A</v>
      </c>
      <c r="C1928" s="58" t="e">
        <f t="shared" si="234"/>
        <v>#N/A</v>
      </c>
      <c r="D1928" s="83" t="e">
        <f t="shared" si="239"/>
        <v>#N/A</v>
      </c>
      <c r="E1928" t="e">
        <f t="shared" si="235"/>
        <v>#N/A</v>
      </c>
      <c r="G1928">
        <v>1878</v>
      </c>
      <c r="H1928" s="13" t="e">
        <f t="shared" si="240"/>
        <v>#N/A</v>
      </c>
      <c r="I1928" t="e">
        <f t="shared" si="241"/>
        <v>#N/A</v>
      </c>
      <c r="J1928" t="e">
        <f t="shared" si="236"/>
        <v>#N/A</v>
      </c>
      <c r="K1928" s="27" t="e">
        <f t="shared" si="237"/>
        <v>#N/A</v>
      </c>
    </row>
    <row r="1929" spans="1:11">
      <c r="A1929" s="26">
        <v>1879</v>
      </c>
      <c r="B1929" s="82" t="e">
        <f t="shared" si="238"/>
        <v>#N/A</v>
      </c>
      <c r="C1929" s="58" t="e">
        <f t="shared" si="234"/>
        <v>#N/A</v>
      </c>
      <c r="D1929" s="83" t="e">
        <f t="shared" si="239"/>
        <v>#N/A</v>
      </c>
      <c r="E1929" t="e">
        <f t="shared" si="235"/>
        <v>#N/A</v>
      </c>
      <c r="G1929">
        <v>1879</v>
      </c>
      <c r="H1929" s="13" t="e">
        <f t="shared" si="240"/>
        <v>#N/A</v>
      </c>
      <c r="I1929" t="e">
        <f t="shared" si="241"/>
        <v>#N/A</v>
      </c>
      <c r="J1929" t="e">
        <f t="shared" si="236"/>
        <v>#N/A</v>
      </c>
      <c r="K1929" s="27" t="e">
        <f t="shared" si="237"/>
        <v>#N/A</v>
      </c>
    </row>
    <row r="1930" spans="1:11">
      <c r="A1930" s="26">
        <v>1880</v>
      </c>
      <c r="B1930" s="82" t="e">
        <f t="shared" si="238"/>
        <v>#N/A</v>
      </c>
      <c r="C1930" s="58" t="e">
        <f t="shared" si="234"/>
        <v>#N/A</v>
      </c>
      <c r="D1930" s="83" t="e">
        <f t="shared" si="239"/>
        <v>#N/A</v>
      </c>
      <c r="E1930" t="e">
        <f t="shared" si="235"/>
        <v>#N/A</v>
      </c>
      <c r="G1930">
        <v>1880</v>
      </c>
      <c r="H1930" s="13" t="e">
        <f t="shared" si="240"/>
        <v>#N/A</v>
      </c>
      <c r="I1930" t="e">
        <f t="shared" si="241"/>
        <v>#N/A</v>
      </c>
      <c r="J1930" t="e">
        <f t="shared" si="236"/>
        <v>#N/A</v>
      </c>
      <c r="K1930" s="27" t="e">
        <f t="shared" si="237"/>
        <v>#N/A</v>
      </c>
    </row>
    <row r="1931" spans="1:11">
      <c r="A1931" s="26">
        <v>1881</v>
      </c>
      <c r="B1931" s="82" t="e">
        <f t="shared" si="238"/>
        <v>#N/A</v>
      </c>
      <c r="C1931" s="58" t="e">
        <f t="shared" si="234"/>
        <v>#N/A</v>
      </c>
      <c r="D1931" s="83" t="e">
        <f t="shared" si="239"/>
        <v>#N/A</v>
      </c>
      <c r="E1931" t="e">
        <f t="shared" si="235"/>
        <v>#N/A</v>
      </c>
      <c r="G1931">
        <v>1881</v>
      </c>
      <c r="H1931" s="13" t="e">
        <f t="shared" si="240"/>
        <v>#N/A</v>
      </c>
      <c r="I1931" t="e">
        <f t="shared" si="241"/>
        <v>#N/A</v>
      </c>
      <c r="J1931" t="e">
        <f t="shared" si="236"/>
        <v>#N/A</v>
      </c>
      <c r="K1931" s="27" t="e">
        <f t="shared" si="237"/>
        <v>#N/A</v>
      </c>
    </row>
    <row r="1932" spans="1:11">
      <c r="A1932" s="26">
        <v>1882</v>
      </c>
      <c r="B1932" s="82" t="e">
        <f t="shared" si="238"/>
        <v>#N/A</v>
      </c>
      <c r="C1932" s="58" t="e">
        <f t="shared" si="234"/>
        <v>#N/A</v>
      </c>
      <c r="D1932" s="83" t="e">
        <f t="shared" si="239"/>
        <v>#N/A</v>
      </c>
      <c r="E1932" t="e">
        <f t="shared" si="235"/>
        <v>#N/A</v>
      </c>
      <c r="G1932">
        <v>1882</v>
      </c>
      <c r="H1932" s="13" t="e">
        <f t="shared" si="240"/>
        <v>#N/A</v>
      </c>
      <c r="I1932" t="e">
        <f t="shared" si="241"/>
        <v>#N/A</v>
      </c>
      <c r="J1932" t="e">
        <f t="shared" si="236"/>
        <v>#N/A</v>
      </c>
      <c r="K1932" s="27" t="e">
        <f t="shared" si="237"/>
        <v>#N/A</v>
      </c>
    </row>
    <row r="1933" spans="1:11">
      <c r="A1933" s="26">
        <v>1883</v>
      </c>
      <c r="B1933" s="82" t="e">
        <f t="shared" si="238"/>
        <v>#N/A</v>
      </c>
      <c r="C1933" s="58" t="e">
        <f t="shared" si="234"/>
        <v>#N/A</v>
      </c>
      <c r="D1933" s="83" t="e">
        <f t="shared" si="239"/>
        <v>#N/A</v>
      </c>
      <c r="E1933" t="e">
        <f t="shared" si="235"/>
        <v>#N/A</v>
      </c>
      <c r="G1933">
        <v>1883</v>
      </c>
      <c r="H1933" s="13" t="e">
        <f t="shared" si="240"/>
        <v>#N/A</v>
      </c>
      <c r="I1933" t="e">
        <f t="shared" si="241"/>
        <v>#N/A</v>
      </c>
      <c r="J1933" t="e">
        <f t="shared" si="236"/>
        <v>#N/A</v>
      </c>
      <c r="K1933" s="27" t="e">
        <f t="shared" si="237"/>
        <v>#N/A</v>
      </c>
    </row>
    <row r="1934" spans="1:11">
      <c r="A1934" s="26">
        <v>1884</v>
      </c>
      <c r="B1934" s="82" t="e">
        <f t="shared" si="238"/>
        <v>#N/A</v>
      </c>
      <c r="C1934" s="58" t="e">
        <f t="shared" si="234"/>
        <v>#N/A</v>
      </c>
      <c r="D1934" s="83" t="e">
        <f t="shared" si="239"/>
        <v>#N/A</v>
      </c>
      <c r="E1934" t="e">
        <f t="shared" si="235"/>
        <v>#N/A</v>
      </c>
      <c r="G1934">
        <v>1884</v>
      </c>
      <c r="H1934" s="13" t="e">
        <f t="shared" si="240"/>
        <v>#N/A</v>
      </c>
      <c r="I1934" t="e">
        <f t="shared" si="241"/>
        <v>#N/A</v>
      </c>
      <c r="J1934" t="e">
        <f t="shared" si="236"/>
        <v>#N/A</v>
      </c>
      <c r="K1934" s="27" t="e">
        <f t="shared" si="237"/>
        <v>#N/A</v>
      </c>
    </row>
    <row r="1935" spans="1:11">
      <c r="A1935" s="26">
        <v>1885</v>
      </c>
      <c r="B1935" s="82" t="e">
        <f t="shared" si="238"/>
        <v>#N/A</v>
      </c>
      <c r="C1935" s="58" t="e">
        <f t="shared" si="234"/>
        <v>#N/A</v>
      </c>
      <c r="D1935" s="83" t="e">
        <f t="shared" si="239"/>
        <v>#N/A</v>
      </c>
      <c r="E1935" t="e">
        <f t="shared" si="235"/>
        <v>#N/A</v>
      </c>
      <c r="G1935">
        <v>1885</v>
      </c>
      <c r="H1935" s="13" t="e">
        <f t="shared" si="240"/>
        <v>#N/A</v>
      </c>
      <c r="I1935" t="e">
        <f t="shared" si="241"/>
        <v>#N/A</v>
      </c>
      <c r="J1935" t="e">
        <f t="shared" si="236"/>
        <v>#N/A</v>
      </c>
      <c r="K1935" s="27" t="e">
        <f t="shared" si="237"/>
        <v>#N/A</v>
      </c>
    </row>
    <row r="1936" spans="1:11">
      <c r="A1936" s="26">
        <v>1886</v>
      </c>
      <c r="B1936" s="82" t="e">
        <f t="shared" si="238"/>
        <v>#N/A</v>
      </c>
      <c r="C1936" s="58" t="e">
        <f t="shared" ref="C1936:C1999" si="242">($C$37-$C$36)/2000+C1935</f>
        <v>#N/A</v>
      </c>
      <c r="D1936" s="83" t="e">
        <f t="shared" si="239"/>
        <v>#N/A</v>
      </c>
      <c r="E1936" t="e">
        <f t="shared" si="235"/>
        <v>#N/A</v>
      </c>
      <c r="G1936">
        <v>1886</v>
      </c>
      <c r="H1936" s="13" t="e">
        <f t="shared" si="240"/>
        <v>#N/A</v>
      </c>
      <c r="I1936" t="e">
        <f t="shared" si="241"/>
        <v>#N/A</v>
      </c>
      <c r="J1936" t="e">
        <f t="shared" si="236"/>
        <v>#N/A</v>
      </c>
      <c r="K1936" s="27" t="e">
        <f t="shared" si="237"/>
        <v>#N/A</v>
      </c>
    </row>
    <row r="1937" spans="1:11">
      <c r="A1937" s="26">
        <v>1887</v>
      </c>
      <c r="B1937" s="82" t="e">
        <f t="shared" si="238"/>
        <v>#N/A</v>
      </c>
      <c r="C1937" s="58" t="e">
        <f t="shared" si="242"/>
        <v>#N/A</v>
      </c>
      <c r="D1937" s="83" t="e">
        <f t="shared" si="239"/>
        <v>#N/A</v>
      </c>
      <c r="E1937" t="e">
        <f t="shared" si="235"/>
        <v>#N/A</v>
      </c>
      <c r="G1937">
        <v>1887</v>
      </c>
      <c r="H1937" s="13" t="e">
        <f t="shared" si="240"/>
        <v>#N/A</v>
      </c>
      <c r="I1937" t="e">
        <f t="shared" si="241"/>
        <v>#N/A</v>
      </c>
      <c r="J1937" t="e">
        <f t="shared" si="236"/>
        <v>#N/A</v>
      </c>
      <c r="K1937" s="27" t="e">
        <f t="shared" si="237"/>
        <v>#N/A</v>
      </c>
    </row>
    <row r="1938" spans="1:11">
      <c r="A1938" s="26">
        <v>1888</v>
      </c>
      <c r="B1938" s="82" t="e">
        <f t="shared" si="238"/>
        <v>#N/A</v>
      </c>
      <c r="C1938" s="58" t="e">
        <f t="shared" si="242"/>
        <v>#N/A</v>
      </c>
      <c r="D1938" s="83" t="e">
        <f t="shared" si="239"/>
        <v>#N/A</v>
      </c>
      <c r="E1938" t="e">
        <f t="shared" si="235"/>
        <v>#N/A</v>
      </c>
      <c r="G1938">
        <v>1888</v>
      </c>
      <c r="H1938" s="13" t="e">
        <f t="shared" si="240"/>
        <v>#N/A</v>
      </c>
      <c r="I1938" t="e">
        <f t="shared" si="241"/>
        <v>#N/A</v>
      </c>
      <c r="J1938" t="e">
        <f t="shared" si="236"/>
        <v>#N/A</v>
      </c>
      <c r="K1938" s="27" t="e">
        <f t="shared" si="237"/>
        <v>#N/A</v>
      </c>
    </row>
    <row r="1939" spans="1:11">
      <c r="A1939" s="26">
        <v>1889</v>
      </c>
      <c r="B1939" s="82" t="e">
        <f t="shared" si="238"/>
        <v>#N/A</v>
      </c>
      <c r="C1939" s="58" t="e">
        <f t="shared" si="242"/>
        <v>#N/A</v>
      </c>
      <c r="D1939" s="83" t="e">
        <f t="shared" si="239"/>
        <v>#N/A</v>
      </c>
      <c r="E1939" t="e">
        <f t="shared" si="235"/>
        <v>#N/A</v>
      </c>
      <c r="G1939">
        <v>1889</v>
      </c>
      <c r="H1939" s="13" t="e">
        <f t="shared" si="240"/>
        <v>#N/A</v>
      </c>
      <c r="I1939" t="e">
        <f t="shared" si="241"/>
        <v>#N/A</v>
      </c>
      <c r="J1939" t="e">
        <f t="shared" si="236"/>
        <v>#N/A</v>
      </c>
      <c r="K1939" s="27" t="e">
        <f t="shared" si="237"/>
        <v>#N/A</v>
      </c>
    </row>
    <row r="1940" spans="1:11">
      <c r="A1940" s="26">
        <v>1890</v>
      </c>
      <c r="B1940" s="82" t="e">
        <f t="shared" si="238"/>
        <v>#N/A</v>
      </c>
      <c r="C1940" s="58" t="e">
        <f t="shared" si="242"/>
        <v>#N/A</v>
      </c>
      <c r="D1940" s="83" t="e">
        <f t="shared" si="239"/>
        <v>#N/A</v>
      </c>
      <c r="E1940" t="e">
        <f t="shared" si="235"/>
        <v>#N/A</v>
      </c>
      <c r="G1940">
        <v>1890</v>
      </c>
      <c r="H1940" s="13" t="e">
        <f t="shared" si="240"/>
        <v>#N/A</v>
      </c>
      <c r="I1940" t="e">
        <f t="shared" si="241"/>
        <v>#N/A</v>
      </c>
      <c r="J1940" t="e">
        <f t="shared" si="236"/>
        <v>#N/A</v>
      </c>
      <c r="K1940" s="27" t="e">
        <f t="shared" si="237"/>
        <v>#N/A</v>
      </c>
    </row>
    <row r="1941" spans="1:11">
      <c r="A1941" s="26">
        <v>1891</v>
      </c>
      <c r="B1941" s="82" t="e">
        <f t="shared" si="238"/>
        <v>#N/A</v>
      </c>
      <c r="C1941" s="58" t="e">
        <f t="shared" si="242"/>
        <v>#N/A</v>
      </c>
      <c r="D1941" s="83" t="e">
        <f t="shared" si="239"/>
        <v>#N/A</v>
      </c>
      <c r="E1941" t="e">
        <f t="shared" si="235"/>
        <v>#N/A</v>
      </c>
      <c r="G1941">
        <v>1891</v>
      </c>
      <c r="H1941" s="13" t="e">
        <f t="shared" si="240"/>
        <v>#N/A</v>
      </c>
      <c r="I1941" t="e">
        <f t="shared" si="241"/>
        <v>#N/A</v>
      </c>
      <c r="J1941" t="e">
        <f t="shared" si="236"/>
        <v>#N/A</v>
      </c>
      <c r="K1941" s="27" t="e">
        <f t="shared" si="237"/>
        <v>#N/A</v>
      </c>
    </row>
    <row r="1942" spans="1:11">
      <c r="A1942" s="26">
        <v>1892</v>
      </c>
      <c r="B1942" s="82" t="e">
        <f t="shared" si="238"/>
        <v>#N/A</v>
      </c>
      <c r="C1942" s="58" t="e">
        <f t="shared" si="242"/>
        <v>#N/A</v>
      </c>
      <c r="D1942" s="83" t="e">
        <f t="shared" si="239"/>
        <v>#N/A</v>
      </c>
      <c r="E1942" t="e">
        <f t="shared" si="235"/>
        <v>#N/A</v>
      </c>
      <c r="G1942">
        <v>1892</v>
      </c>
      <c r="H1942" s="13" t="e">
        <f t="shared" si="240"/>
        <v>#N/A</v>
      </c>
      <c r="I1942" t="e">
        <f t="shared" si="241"/>
        <v>#N/A</v>
      </c>
      <c r="J1942" t="e">
        <f t="shared" si="236"/>
        <v>#N/A</v>
      </c>
      <c r="K1942" s="27" t="e">
        <f t="shared" si="237"/>
        <v>#N/A</v>
      </c>
    </row>
    <row r="1943" spans="1:11">
      <c r="A1943" s="26">
        <v>1893</v>
      </c>
      <c r="B1943" s="82" t="e">
        <f t="shared" si="238"/>
        <v>#N/A</v>
      </c>
      <c r="C1943" s="58" t="e">
        <f t="shared" si="242"/>
        <v>#N/A</v>
      </c>
      <c r="D1943" s="83" t="e">
        <f t="shared" si="239"/>
        <v>#N/A</v>
      </c>
      <c r="E1943" t="e">
        <f t="shared" si="235"/>
        <v>#N/A</v>
      </c>
      <c r="G1943">
        <v>1893</v>
      </c>
      <c r="H1943" s="13" t="e">
        <f t="shared" si="240"/>
        <v>#N/A</v>
      </c>
      <c r="I1943" t="e">
        <f t="shared" si="241"/>
        <v>#N/A</v>
      </c>
      <c r="J1943" t="e">
        <f t="shared" si="236"/>
        <v>#N/A</v>
      </c>
      <c r="K1943" s="27" t="e">
        <f t="shared" si="237"/>
        <v>#N/A</v>
      </c>
    </row>
    <row r="1944" spans="1:11">
      <c r="A1944" s="26">
        <v>1894</v>
      </c>
      <c r="B1944" s="82" t="e">
        <f t="shared" si="238"/>
        <v>#N/A</v>
      </c>
      <c r="C1944" s="58" t="e">
        <f t="shared" si="242"/>
        <v>#N/A</v>
      </c>
      <c r="D1944" s="83" t="e">
        <f t="shared" si="239"/>
        <v>#N/A</v>
      </c>
      <c r="E1944" t="e">
        <f t="shared" si="235"/>
        <v>#N/A</v>
      </c>
      <c r="G1944">
        <v>1894</v>
      </c>
      <c r="H1944" s="13" t="e">
        <f t="shared" si="240"/>
        <v>#N/A</v>
      </c>
      <c r="I1944" t="e">
        <f t="shared" si="241"/>
        <v>#N/A</v>
      </c>
      <c r="J1944" t="e">
        <f t="shared" si="236"/>
        <v>#N/A</v>
      </c>
      <c r="K1944" s="27" t="e">
        <f t="shared" si="237"/>
        <v>#N/A</v>
      </c>
    </row>
    <row r="1945" spans="1:11">
      <c r="A1945" s="26">
        <v>1895</v>
      </c>
      <c r="B1945" s="82" t="e">
        <f t="shared" si="238"/>
        <v>#N/A</v>
      </c>
      <c r="C1945" s="58" t="e">
        <f t="shared" si="242"/>
        <v>#N/A</v>
      </c>
      <c r="D1945" s="83" t="e">
        <f t="shared" si="239"/>
        <v>#N/A</v>
      </c>
      <c r="E1945" t="e">
        <f t="shared" si="235"/>
        <v>#N/A</v>
      </c>
      <c r="G1945">
        <v>1895</v>
      </c>
      <c r="H1945" s="13" t="e">
        <f t="shared" si="240"/>
        <v>#N/A</v>
      </c>
      <c r="I1945" t="e">
        <f t="shared" si="241"/>
        <v>#N/A</v>
      </c>
      <c r="J1945" t="e">
        <f t="shared" si="236"/>
        <v>#N/A</v>
      </c>
      <c r="K1945" s="27" t="e">
        <f t="shared" si="237"/>
        <v>#N/A</v>
      </c>
    </row>
    <row r="1946" spans="1:11">
      <c r="A1946" s="26">
        <v>1896</v>
      </c>
      <c r="B1946" s="82" t="e">
        <f t="shared" si="238"/>
        <v>#N/A</v>
      </c>
      <c r="C1946" s="58" t="e">
        <f t="shared" si="242"/>
        <v>#N/A</v>
      </c>
      <c r="D1946" s="83" t="e">
        <f t="shared" si="239"/>
        <v>#N/A</v>
      </c>
      <c r="E1946" t="e">
        <f t="shared" si="235"/>
        <v>#N/A</v>
      </c>
      <c r="G1946">
        <v>1896</v>
      </c>
      <c r="H1946" s="13" t="e">
        <f t="shared" si="240"/>
        <v>#N/A</v>
      </c>
      <c r="I1946" t="e">
        <f t="shared" si="241"/>
        <v>#N/A</v>
      </c>
      <c r="J1946" t="e">
        <f t="shared" si="236"/>
        <v>#N/A</v>
      </c>
      <c r="K1946" s="27" t="e">
        <f t="shared" si="237"/>
        <v>#N/A</v>
      </c>
    </row>
    <row r="1947" spans="1:11">
      <c r="A1947" s="26">
        <v>1897</v>
      </c>
      <c r="B1947" s="82" t="e">
        <f t="shared" si="238"/>
        <v>#N/A</v>
      </c>
      <c r="C1947" s="58" t="e">
        <f t="shared" si="242"/>
        <v>#N/A</v>
      </c>
      <c r="D1947" s="83" t="e">
        <f t="shared" si="239"/>
        <v>#N/A</v>
      </c>
      <c r="E1947" t="e">
        <f t="shared" si="235"/>
        <v>#N/A</v>
      </c>
      <c r="G1947">
        <v>1897</v>
      </c>
      <c r="H1947" s="13" t="e">
        <f t="shared" si="240"/>
        <v>#N/A</v>
      </c>
      <c r="I1947" t="e">
        <f t="shared" si="241"/>
        <v>#N/A</v>
      </c>
      <c r="J1947" t="e">
        <f t="shared" si="236"/>
        <v>#N/A</v>
      </c>
      <c r="K1947" s="27" t="e">
        <f t="shared" si="237"/>
        <v>#N/A</v>
      </c>
    </row>
    <row r="1948" spans="1:11">
      <c r="A1948" s="26">
        <v>1898</v>
      </c>
      <c r="B1948" s="82" t="e">
        <f t="shared" si="238"/>
        <v>#N/A</v>
      </c>
      <c r="C1948" s="58" t="e">
        <f t="shared" si="242"/>
        <v>#N/A</v>
      </c>
      <c r="D1948" s="83" t="e">
        <f t="shared" si="239"/>
        <v>#N/A</v>
      </c>
      <c r="E1948" t="e">
        <f t="shared" si="235"/>
        <v>#N/A</v>
      </c>
      <c r="G1948">
        <v>1898</v>
      </c>
      <c r="H1948" s="13" t="e">
        <f t="shared" si="240"/>
        <v>#N/A</v>
      </c>
      <c r="I1948" t="e">
        <f t="shared" si="241"/>
        <v>#N/A</v>
      </c>
      <c r="J1948" t="e">
        <f t="shared" si="236"/>
        <v>#N/A</v>
      </c>
      <c r="K1948" s="27" t="e">
        <f t="shared" si="237"/>
        <v>#N/A</v>
      </c>
    </row>
    <row r="1949" spans="1:11">
      <c r="A1949" s="26">
        <v>1899</v>
      </c>
      <c r="B1949" s="82" t="e">
        <f t="shared" si="238"/>
        <v>#N/A</v>
      </c>
      <c r="C1949" s="58" t="e">
        <f t="shared" si="242"/>
        <v>#N/A</v>
      </c>
      <c r="D1949" s="83" t="e">
        <f t="shared" si="239"/>
        <v>#N/A</v>
      </c>
      <c r="E1949" t="e">
        <f t="shared" si="235"/>
        <v>#N/A</v>
      </c>
      <c r="G1949">
        <v>1899</v>
      </c>
      <c r="H1949" s="13" t="e">
        <f t="shared" si="240"/>
        <v>#N/A</v>
      </c>
      <c r="I1949" t="e">
        <f t="shared" si="241"/>
        <v>#N/A</v>
      </c>
      <c r="J1949" t="e">
        <f t="shared" si="236"/>
        <v>#N/A</v>
      </c>
      <c r="K1949" s="27" t="e">
        <f t="shared" si="237"/>
        <v>#N/A</v>
      </c>
    </row>
    <row r="1950" spans="1:11">
      <c r="A1950" s="26">
        <v>1900</v>
      </c>
      <c r="B1950" s="82" t="e">
        <f t="shared" si="238"/>
        <v>#N/A</v>
      </c>
      <c r="C1950" s="58" t="e">
        <f t="shared" si="242"/>
        <v>#N/A</v>
      </c>
      <c r="D1950" s="83" t="e">
        <f t="shared" si="239"/>
        <v>#N/A</v>
      </c>
      <c r="E1950" t="e">
        <f t="shared" si="235"/>
        <v>#N/A</v>
      </c>
      <c r="G1950">
        <v>1900</v>
      </c>
      <c r="H1950" s="13" t="e">
        <f t="shared" si="240"/>
        <v>#N/A</v>
      </c>
      <c r="I1950" t="e">
        <f t="shared" si="241"/>
        <v>#N/A</v>
      </c>
      <c r="J1950" t="e">
        <f t="shared" si="236"/>
        <v>#N/A</v>
      </c>
      <c r="K1950" s="27" t="e">
        <f t="shared" si="237"/>
        <v>#N/A</v>
      </c>
    </row>
    <row r="1951" spans="1:11">
      <c r="A1951" s="26">
        <v>1901</v>
      </c>
      <c r="B1951" s="82" t="e">
        <f t="shared" si="238"/>
        <v>#N/A</v>
      </c>
      <c r="C1951" s="58" t="e">
        <f t="shared" si="242"/>
        <v>#N/A</v>
      </c>
      <c r="D1951" s="83" t="e">
        <f t="shared" si="239"/>
        <v>#N/A</v>
      </c>
      <c r="E1951" t="e">
        <f t="shared" si="235"/>
        <v>#N/A</v>
      </c>
      <c r="G1951">
        <v>1901</v>
      </c>
      <c r="H1951" s="13" t="e">
        <f t="shared" si="240"/>
        <v>#N/A</v>
      </c>
      <c r="I1951" t="e">
        <f t="shared" si="241"/>
        <v>#N/A</v>
      </c>
      <c r="J1951" t="e">
        <f t="shared" si="236"/>
        <v>#N/A</v>
      </c>
      <c r="K1951" s="27" t="e">
        <f t="shared" si="237"/>
        <v>#N/A</v>
      </c>
    </row>
    <row r="1952" spans="1:11">
      <c r="A1952" s="26">
        <v>1902</v>
      </c>
      <c r="B1952" s="82" t="e">
        <f t="shared" si="238"/>
        <v>#N/A</v>
      </c>
      <c r="C1952" s="58" t="e">
        <f t="shared" si="242"/>
        <v>#N/A</v>
      </c>
      <c r="D1952" s="83" t="e">
        <f t="shared" si="239"/>
        <v>#N/A</v>
      </c>
      <c r="E1952" t="e">
        <f t="shared" si="235"/>
        <v>#N/A</v>
      </c>
      <c r="G1952">
        <v>1902</v>
      </c>
      <c r="H1952" s="13" t="e">
        <f t="shared" si="240"/>
        <v>#N/A</v>
      </c>
      <c r="I1952" t="e">
        <f t="shared" si="241"/>
        <v>#N/A</v>
      </c>
      <c r="J1952" t="e">
        <f t="shared" si="236"/>
        <v>#N/A</v>
      </c>
      <c r="K1952" s="27" t="e">
        <f t="shared" si="237"/>
        <v>#N/A</v>
      </c>
    </row>
    <row r="1953" spans="1:11">
      <c r="A1953" s="26">
        <v>1903</v>
      </c>
      <c r="B1953" s="82" t="e">
        <f t="shared" si="238"/>
        <v>#N/A</v>
      </c>
      <c r="C1953" s="58" t="e">
        <f t="shared" si="242"/>
        <v>#N/A</v>
      </c>
      <c r="D1953" s="83" t="e">
        <f t="shared" si="239"/>
        <v>#N/A</v>
      </c>
      <c r="E1953" t="e">
        <f t="shared" si="235"/>
        <v>#N/A</v>
      </c>
      <c r="G1953">
        <v>1903</v>
      </c>
      <c r="H1953" s="13" t="e">
        <f t="shared" si="240"/>
        <v>#N/A</v>
      </c>
      <c r="I1953" t="e">
        <f t="shared" si="241"/>
        <v>#N/A</v>
      </c>
      <c r="J1953" t="e">
        <f t="shared" si="236"/>
        <v>#N/A</v>
      </c>
      <c r="K1953" s="27" t="e">
        <f t="shared" si="237"/>
        <v>#N/A</v>
      </c>
    </row>
    <row r="1954" spans="1:11">
      <c r="A1954" s="26">
        <v>1904</v>
      </c>
      <c r="B1954" s="82" t="e">
        <f t="shared" si="238"/>
        <v>#N/A</v>
      </c>
      <c r="C1954" s="58" t="e">
        <f t="shared" si="242"/>
        <v>#N/A</v>
      </c>
      <c r="D1954" s="83" t="e">
        <f t="shared" si="239"/>
        <v>#N/A</v>
      </c>
      <c r="E1954" t="e">
        <f t="shared" si="235"/>
        <v>#N/A</v>
      </c>
      <c r="G1954">
        <v>1904</v>
      </c>
      <c r="H1954" s="13" t="e">
        <f t="shared" si="240"/>
        <v>#N/A</v>
      </c>
      <c r="I1954" t="e">
        <f t="shared" si="241"/>
        <v>#N/A</v>
      </c>
      <c r="J1954" t="e">
        <f t="shared" si="236"/>
        <v>#N/A</v>
      </c>
      <c r="K1954" s="27" t="e">
        <f t="shared" si="237"/>
        <v>#N/A</v>
      </c>
    </row>
    <row r="1955" spans="1:11">
      <c r="A1955" s="26">
        <v>1905</v>
      </c>
      <c r="B1955" s="82" t="e">
        <f t="shared" si="238"/>
        <v>#N/A</v>
      </c>
      <c r="C1955" s="58" t="e">
        <f t="shared" si="242"/>
        <v>#N/A</v>
      </c>
      <c r="D1955" s="83" t="e">
        <f t="shared" si="239"/>
        <v>#N/A</v>
      </c>
      <c r="E1955" t="e">
        <f t="shared" si="235"/>
        <v>#N/A</v>
      </c>
      <c r="G1955">
        <v>1905</v>
      </c>
      <c r="H1955" s="13" t="e">
        <f t="shared" si="240"/>
        <v>#N/A</v>
      </c>
      <c r="I1955" t="e">
        <f t="shared" si="241"/>
        <v>#N/A</v>
      </c>
      <c r="J1955" t="e">
        <f t="shared" si="236"/>
        <v>#N/A</v>
      </c>
      <c r="K1955" s="27" t="e">
        <f t="shared" si="237"/>
        <v>#N/A</v>
      </c>
    </row>
    <row r="1956" spans="1:11">
      <c r="A1956" s="26">
        <v>1906</v>
      </c>
      <c r="B1956" s="82" t="e">
        <f t="shared" si="238"/>
        <v>#N/A</v>
      </c>
      <c r="C1956" s="58" t="e">
        <f t="shared" si="242"/>
        <v>#N/A</v>
      </c>
      <c r="D1956" s="83" t="e">
        <f t="shared" si="239"/>
        <v>#N/A</v>
      </c>
      <c r="E1956" t="e">
        <f t="shared" si="235"/>
        <v>#N/A</v>
      </c>
      <c r="G1956">
        <v>1906</v>
      </c>
      <c r="H1956" s="13" t="e">
        <f t="shared" si="240"/>
        <v>#N/A</v>
      </c>
      <c r="I1956" t="e">
        <f t="shared" si="241"/>
        <v>#N/A</v>
      </c>
      <c r="J1956" t="e">
        <f t="shared" si="236"/>
        <v>#N/A</v>
      </c>
      <c r="K1956" s="27" t="e">
        <f t="shared" si="237"/>
        <v>#N/A</v>
      </c>
    </row>
    <row r="1957" spans="1:11">
      <c r="A1957" s="26">
        <v>1907</v>
      </c>
      <c r="B1957" s="82" t="e">
        <f t="shared" si="238"/>
        <v>#N/A</v>
      </c>
      <c r="C1957" s="58" t="e">
        <f t="shared" si="242"/>
        <v>#N/A</v>
      </c>
      <c r="D1957" s="83" t="e">
        <f t="shared" si="239"/>
        <v>#N/A</v>
      </c>
      <c r="E1957" t="e">
        <f t="shared" si="235"/>
        <v>#N/A</v>
      </c>
      <c r="G1957">
        <v>1907</v>
      </c>
      <c r="H1957" s="13" t="e">
        <f t="shared" si="240"/>
        <v>#N/A</v>
      </c>
      <c r="I1957" t="e">
        <f t="shared" si="241"/>
        <v>#N/A</v>
      </c>
      <c r="J1957" t="e">
        <f t="shared" si="236"/>
        <v>#N/A</v>
      </c>
      <c r="K1957" s="27" t="e">
        <f t="shared" si="237"/>
        <v>#N/A</v>
      </c>
    </row>
    <row r="1958" spans="1:11">
      <c r="A1958" s="26">
        <v>1908</v>
      </c>
      <c r="B1958" s="82" t="e">
        <f t="shared" si="238"/>
        <v>#N/A</v>
      </c>
      <c r="C1958" s="58" t="e">
        <f t="shared" si="242"/>
        <v>#N/A</v>
      </c>
      <c r="D1958" s="83" t="e">
        <f t="shared" si="239"/>
        <v>#N/A</v>
      </c>
      <c r="E1958" t="e">
        <f t="shared" si="235"/>
        <v>#N/A</v>
      </c>
      <c r="G1958">
        <v>1908</v>
      </c>
      <c r="H1958" s="13" t="e">
        <f t="shared" si="240"/>
        <v>#N/A</v>
      </c>
      <c r="I1958" t="e">
        <f t="shared" si="241"/>
        <v>#N/A</v>
      </c>
      <c r="J1958" t="e">
        <f t="shared" si="236"/>
        <v>#N/A</v>
      </c>
      <c r="K1958" s="27" t="e">
        <f t="shared" si="237"/>
        <v>#N/A</v>
      </c>
    </row>
    <row r="1959" spans="1:11">
      <c r="A1959" s="26">
        <v>1909</v>
      </c>
      <c r="B1959" s="82" t="e">
        <f t="shared" si="238"/>
        <v>#N/A</v>
      </c>
      <c r="C1959" s="58" t="e">
        <f t="shared" si="242"/>
        <v>#N/A</v>
      </c>
      <c r="D1959" s="83" t="e">
        <f t="shared" si="239"/>
        <v>#N/A</v>
      </c>
      <c r="E1959" t="e">
        <f t="shared" si="235"/>
        <v>#N/A</v>
      </c>
      <c r="G1959">
        <v>1909</v>
      </c>
      <c r="H1959" s="13" t="e">
        <f t="shared" si="240"/>
        <v>#N/A</v>
      </c>
      <c r="I1959" t="e">
        <f t="shared" si="241"/>
        <v>#N/A</v>
      </c>
      <c r="J1959" t="e">
        <f t="shared" si="236"/>
        <v>#N/A</v>
      </c>
      <c r="K1959" s="27" t="e">
        <f t="shared" si="237"/>
        <v>#N/A</v>
      </c>
    </row>
    <row r="1960" spans="1:11">
      <c r="A1960" s="26">
        <v>1910</v>
      </c>
      <c r="B1960" s="82" t="e">
        <f t="shared" si="238"/>
        <v>#N/A</v>
      </c>
      <c r="C1960" s="58" t="e">
        <f t="shared" si="242"/>
        <v>#N/A</v>
      </c>
      <c r="D1960" s="83" t="e">
        <f t="shared" si="239"/>
        <v>#N/A</v>
      </c>
      <c r="E1960" t="e">
        <f t="shared" si="235"/>
        <v>#N/A</v>
      </c>
      <c r="G1960">
        <v>1910</v>
      </c>
      <c r="H1960" s="13" t="e">
        <f t="shared" si="240"/>
        <v>#N/A</v>
      </c>
      <c r="I1960" t="e">
        <f t="shared" si="241"/>
        <v>#N/A</v>
      </c>
      <c r="J1960" t="e">
        <f t="shared" si="236"/>
        <v>#N/A</v>
      </c>
      <c r="K1960" s="27" t="e">
        <f t="shared" si="237"/>
        <v>#N/A</v>
      </c>
    </row>
    <row r="1961" spans="1:11">
      <c r="A1961" s="26">
        <v>1911</v>
      </c>
      <c r="B1961" s="82" t="e">
        <f t="shared" si="238"/>
        <v>#N/A</v>
      </c>
      <c r="C1961" s="58" t="e">
        <f t="shared" si="242"/>
        <v>#N/A</v>
      </c>
      <c r="D1961" s="83" t="e">
        <f t="shared" si="239"/>
        <v>#N/A</v>
      </c>
      <c r="E1961" t="e">
        <f t="shared" si="235"/>
        <v>#N/A</v>
      </c>
      <c r="G1961">
        <v>1911</v>
      </c>
      <c r="H1961" s="13" t="e">
        <f t="shared" si="240"/>
        <v>#N/A</v>
      </c>
      <c r="I1961" t="e">
        <f t="shared" si="241"/>
        <v>#N/A</v>
      </c>
      <c r="J1961" t="e">
        <f t="shared" si="236"/>
        <v>#N/A</v>
      </c>
      <c r="K1961" s="27" t="e">
        <f t="shared" si="237"/>
        <v>#N/A</v>
      </c>
    </row>
    <row r="1962" spans="1:11">
      <c r="A1962" s="26">
        <v>1912</v>
      </c>
      <c r="B1962" s="82" t="e">
        <f t="shared" si="238"/>
        <v>#N/A</v>
      </c>
      <c r="C1962" s="58" t="e">
        <f t="shared" si="242"/>
        <v>#N/A</v>
      </c>
      <c r="D1962" s="83" t="e">
        <f t="shared" si="239"/>
        <v>#N/A</v>
      </c>
      <c r="E1962" t="e">
        <f t="shared" si="235"/>
        <v>#N/A</v>
      </c>
      <c r="G1962">
        <v>1912</v>
      </c>
      <c r="H1962" s="13" t="e">
        <f t="shared" si="240"/>
        <v>#N/A</v>
      </c>
      <c r="I1962" t="e">
        <f t="shared" si="241"/>
        <v>#N/A</v>
      </c>
      <c r="J1962" t="e">
        <f t="shared" si="236"/>
        <v>#N/A</v>
      </c>
      <c r="K1962" s="27" t="e">
        <f t="shared" si="237"/>
        <v>#N/A</v>
      </c>
    </row>
    <row r="1963" spans="1:11">
      <c r="A1963" s="26">
        <v>1913</v>
      </c>
      <c r="B1963" s="82" t="e">
        <f t="shared" si="238"/>
        <v>#N/A</v>
      </c>
      <c r="C1963" s="58" t="e">
        <f t="shared" si="242"/>
        <v>#N/A</v>
      </c>
      <c r="D1963" s="83" t="e">
        <f t="shared" si="239"/>
        <v>#N/A</v>
      </c>
      <c r="E1963" t="e">
        <f t="shared" si="235"/>
        <v>#N/A</v>
      </c>
      <c r="G1963">
        <v>1913</v>
      </c>
      <c r="H1963" s="13" t="e">
        <f t="shared" si="240"/>
        <v>#N/A</v>
      </c>
      <c r="I1963" t="e">
        <f t="shared" si="241"/>
        <v>#N/A</v>
      </c>
      <c r="J1963" t="e">
        <f t="shared" si="236"/>
        <v>#N/A</v>
      </c>
      <c r="K1963" s="27" t="e">
        <f t="shared" si="237"/>
        <v>#N/A</v>
      </c>
    </row>
    <row r="1964" spans="1:11">
      <c r="A1964" s="26">
        <v>1914</v>
      </c>
      <c r="B1964" s="82" t="e">
        <f t="shared" si="238"/>
        <v>#N/A</v>
      </c>
      <c r="C1964" s="58" t="e">
        <f t="shared" si="242"/>
        <v>#N/A</v>
      </c>
      <c r="D1964" s="83" t="e">
        <f t="shared" si="239"/>
        <v>#N/A</v>
      </c>
      <c r="E1964" t="e">
        <f t="shared" si="235"/>
        <v>#N/A</v>
      </c>
      <c r="G1964">
        <v>1914</v>
      </c>
      <c r="H1964" s="13" t="e">
        <f t="shared" si="240"/>
        <v>#N/A</v>
      </c>
      <c r="I1964" t="e">
        <f t="shared" si="241"/>
        <v>#N/A</v>
      </c>
      <c r="J1964" t="e">
        <f t="shared" si="236"/>
        <v>#N/A</v>
      </c>
      <c r="K1964" s="27" t="e">
        <f t="shared" si="237"/>
        <v>#N/A</v>
      </c>
    </row>
    <row r="1965" spans="1:11">
      <c r="A1965" s="26">
        <v>1915</v>
      </c>
      <c r="B1965" s="82" t="e">
        <f t="shared" si="238"/>
        <v>#N/A</v>
      </c>
      <c r="C1965" s="58" t="e">
        <f t="shared" si="242"/>
        <v>#N/A</v>
      </c>
      <c r="D1965" s="83" t="e">
        <f t="shared" si="239"/>
        <v>#N/A</v>
      </c>
      <c r="E1965" t="e">
        <f t="shared" si="235"/>
        <v>#N/A</v>
      </c>
      <c r="G1965">
        <v>1915</v>
      </c>
      <c r="H1965" s="13" t="e">
        <f t="shared" si="240"/>
        <v>#N/A</v>
      </c>
      <c r="I1965" t="e">
        <f t="shared" si="241"/>
        <v>#N/A</v>
      </c>
      <c r="J1965" t="e">
        <f t="shared" si="236"/>
        <v>#N/A</v>
      </c>
      <c r="K1965" s="27" t="e">
        <f t="shared" si="237"/>
        <v>#N/A</v>
      </c>
    </row>
    <row r="1966" spans="1:11">
      <c r="A1966" s="26">
        <v>1916</v>
      </c>
      <c r="B1966" s="82" t="e">
        <f t="shared" si="238"/>
        <v>#N/A</v>
      </c>
      <c r="C1966" s="58" t="e">
        <f t="shared" si="242"/>
        <v>#N/A</v>
      </c>
      <c r="D1966" s="83" t="e">
        <f t="shared" si="239"/>
        <v>#N/A</v>
      </c>
      <c r="E1966" t="e">
        <f t="shared" si="235"/>
        <v>#N/A</v>
      </c>
      <c r="G1966">
        <v>1916</v>
      </c>
      <c r="H1966" s="13" t="e">
        <f t="shared" si="240"/>
        <v>#N/A</v>
      </c>
      <c r="I1966" t="e">
        <f t="shared" si="241"/>
        <v>#N/A</v>
      </c>
      <c r="J1966" t="e">
        <f t="shared" si="236"/>
        <v>#N/A</v>
      </c>
      <c r="K1966" s="27" t="e">
        <f t="shared" si="237"/>
        <v>#N/A</v>
      </c>
    </row>
    <row r="1967" spans="1:11">
      <c r="A1967" s="26">
        <v>1917</v>
      </c>
      <c r="B1967" s="82" t="e">
        <f t="shared" si="238"/>
        <v>#N/A</v>
      </c>
      <c r="C1967" s="58" t="e">
        <f t="shared" si="242"/>
        <v>#N/A</v>
      </c>
      <c r="D1967" s="83" t="e">
        <f t="shared" si="239"/>
        <v>#N/A</v>
      </c>
      <c r="E1967" t="e">
        <f t="shared" si="235"/>
        <v>#N/A</v>
      </c>
      <c r="G1967">
        <v>1917</v>
      </c>
      <c r="H1967" s="13" t="e">
        <f t="shared" si="240"/>
        <v>#N/A</v>
      </c>
      <c r="I1967" t="e">
        <f t="shared" si="241"/>
        <v>#N/A</v>
      </c>
      <c r="J1967" t="e">
        <f t="shared" si="236"/>
        <v>#N/A</v>
      </c>
      <c r="K1967" s="27" t="e">
        <f t="shared" si="237"/>
        <v>#N/A</v>
      </c>
    </row>
    <row r="1968" spans="1:11">
      <c r="A1968" s="26">
        <v>1918</v>
      </c>
      <c r="B1968" s="82" t="e">
        <f t="shared" si="238"/>
        <v>#N/A</v>
      </c>
      <c r="C1968" s="58" t="e">
        <f t="shared" si="242"/>
        <v>#N/A</v>
      </c>
      <c r="D1968" s="83" t="e">
        <f t="shared" si="239"/>
        <v>#N/A</v>
      </c>
      <c r="E1968" t="e">
        <f t="shared" si="235"/>
        <v>#N/A</v>
      </c>
      <c r="G1968">
        <v>1918</v>
      </c>
      <c r="H1968" s="13" t="e">
        <f t="shared" si="240"/>
        <v>#N/A</v>
      </c>
      <c r="I1968" t="e">
        <f t="shared" si="241"/>
        <v>#N/A</v>
      </c>
      <c r="J1968" t="e">
        <f t="shared" si="236"/>
        <v>#N/A</v>
      </c>
      <c r="K1968" s="27" t="e">
        <f t="shared" si="237"/>
        <v>#N/A</v>
      </c>
    </row>
    <row r="1969" spans="1:11">
      <c r="A1969" s="26">
        <v>1919</v>
      </c>
      <c r="B1969" s="82" t="e">
        <f t="shared" si="238"/>
        <v>#N/A</v>
      </c>
      <c r="C1969" s="58" t="e">
        <f t="shared" si="242"/>
        <v>#N/A</v>
      </c>
      <c r="D1969" s="83" t="e">
        <f t="shared" si="239"/>
        <v>#N/A</v>
      </c>
      <c r="E1969" t="e">
        <f t="shared" si="235"/>
        <v>#N/A</v>
      </c>
      <c r="G1969">
        <v>1919</v>
      </c>
      <c r="H1969" s="13" t="e">
        <f t="shared" si="240"/>
        <v>#N/A</v>
      </c>
      <c r="I1969" t="e">
        <f t="shared" si="241"/>
        <v>#N/A</v>
      </c>
      <c r="J1969" t="e">
        <f t="shared" si="236"/>
        <v>#N/A</v>
      </c>
      <c r="K1969" s="27" t="e">
        <f t="shared" si="237"/>
        <v>#N/A</v>
      </c>
    </row>
    <row r="1970" spans="1:11">
      <c r="A1970" s="26">
        <v>1920</v>
      </c>
      <c r="B1970" s="82" t="e">
        <f t="shared" si="238"/>
        <v>#N/A</v>
      </c>
      <c r="C1970" s="58" t="e">
        <f t="shared" si="242"/>
        <v>#N/A</v>
      </c>
      <c r="D1970" s="83" t="e">
        <f t="shared" si="239"/>
        <v>#N/A</v>
      </c>
      <c r="E1970" t="e">
        <f t="shared" si="235"/>
        <v>#N/A</v>
      </c>
      <c r="G1970">
        <v>1920</v>
      </c>
      <c r="H1970" s="13" t="e">
        <f t="shared" si="240"/>
        <v>#N/A</v>
      </c>
      <c r="I1970" t="e">
        <f t="shared" si="241"/>
        <v>#N/A</v>
      </c>
      <c r="J1970" t="e">
        <f t="shared" si="236"/>
        <v>#N/A</v>
      </c>
      <c r="K1970" s="27" t="e">
        <f t="shared" si="237"/>
        <v>#N/A</v>
      </c>
    </row>
    <row r="1971" spans="1:11">
      <c r="A1971" s="26">
        <v>1921</v>
      </c>
      <c r="B1971" s="82" t="e">
        <f t="shared" si="238"/>
        <v>#N/A</v>
      </c>
      <c r="C1971" s="58" t="e">
        <f t="shared" si="242"/>
        <v>#N/A</v>
      </c>
      <c r="D1971" s="83" t="e">
        <f t="shared" si="239"/>
        <v>#N/A</v>
      </c>
      <c r="E1971" t="e">
        <f t="shared" ref="E1971:E2034" si="243">((D1971^2)+(D1971*D1972)+(D1972^2))*B1972/3</f>
        <v>#N/A</v>
      </c>
      <c r="G1971">
        <v>1921</v>
      </c>
      <c r="H1971" s="13" t="e">
        <f t="shared" si="240"/>
        <v>#N/A</v>
      </c>
      <c r="I1971" t="e">
        <f t="shared" si="241"/>
        <v>#N/A</v>
      </c>
      <c r="J1971" t="e">
        <f t="shared" ref="J1971:J2034" si="244">IF($G$28&lt;$C$14,0,((($C$11^2)-((I1971-$C$13)^2))^0.5)+$C$16)</f>
        <v>#N/A</v>
      </c>
      <c r="K1971" s="27" t="e">
        <f t="shared" ref="K1971:K2034" si="245">((J1971^2)+(J1971*J1972)+(J1972^2))*H1972/3</f>
        <v>#N/A</v>
      </c>
    </row>
    <row r="1972" spans="1:11">
      <c r="A1972" s="26">
        <v>1922</v>
      </c>
      <c r="B1972" s="82" t="e">
        <f t="shared" ref="B1972:B2035" si="246">C1972-C1971</f>
        <v>#N/A</v>
      </c>
      <c r="C1972" s="58" t="e">
        <f t="shared" si="242"/>
        <v>#N/A</v>
      </c>
      <c r="D1972" s="83" t="e">
        <f t="shared" ref="D1972:D2035" si="247">IF($G$28&lt;$C$14,0,((($C$11^2)-((C1972-$C$13)^2))^0.5)+$C$16)</f>
        <v>#N/A</v>
      </c>
      <c r="E1972" t="e">
        <f t="shared" si="243"/>
        <v>#N/A</v>
      </c>
      <c r="G1972">
        <v>1922</v>
      </c>
      <c r="H1972" s="13" t="e">
        <f t="shared" ref="H1972:H2035" si="248">I1972-I1971</f>
        <v>#N/A</v>
      </c>
      <c r="I1972" t="e">
        <f t="shared" ref="I1972:I2035" si="249">($G$27-$C$14)/2000+I1971</f>
        <v>#N/A</v>
      </c>
      <c r="J1972" t="e">
        <f t="shared" si="244"/>
        <v>#N/A</v>
      </c>
      <c r="K1972" s="27" t="e">
        <f t="shared" si="245"/>
        <v>#N/A</v>
      </c>
    </row>
    <row r="1973" spans="1:11">
      <c r="A1973" s="26">
        <v>1923</v>
      </c>
      <c r="B1973" s="82" t="e">
        <f t="shared" si="246"/>
        <v>#N/A</v>
      </c>
      <c r="C1973" s="58" t="e">
        <f t="shared" si="242"/>
        <v>#N/A</v>
      </c>
      <c r="D1973" s="83" t="e">
        <f t="shared" si="247"/>
        <v>#N/A</v>
      </c>
      <c r="E1973" t="e">
        <f t="shared" si="243"/>
        <v>#N/A</v>
      </c>
      <c r="G1973">
        <v>1923</v>
      </c>
      <c r="H1973" s="13" t="e">
        <f t="shared" si="248"/>
        <v>#N/A</v>
      </c>
      <c r="I1973" t="e">
        <f t="shared" si="249"/>
        <v>#N/A</v>
      </c>
      <c r="J1973" t="e">
        <f t="shared" si="244"/>
        <v>#N/A</v>
      </c>
      <c r="K1973" s="27" t="e">
        <f t="shared" si="245"/>
        <v>#N/A</v>
      </c>
    </row>
    <row r="1974" spans="1:11">
      <c r="A1974" s="26">
        <v>1924</v>
      </c>
      <c r="B1974" s="82" t="e">
        <f t="shared" si="246"/>
        <v>#N/A</v>
      </c>
      <c r="C1974" s="58" t="e">
        <f t="shared" si="242"/>
        <v>#N/A</v>
      </c>
      <c r="D1974" s="83" t="e">
        <f t="shared" si="247"/>
        <v>#N/A</v>
      </c>
      <c r="E1974" t="e">
        <f t="shared" si="243"/>
        <v>#N/A</v>
      </c>
      <c r="G1974">
        <v>1924</v>
      </c>
      <c r="H1974" s="13" t="e">
        <f t="shared" si="248"/>
        <v>#N/A</v>
      </c>
      <c r="I1974" t="e">
        <f t="shared" si="249"/>
        <v>#N/A</v>
      </c>
      <c r="J1974" t="e">
        <f t="shared" si="244"/>
        <v>#N/A</v>
      </c>
      <c r="K1974" s="27" t="e">
        <f t="shared" si="245"/>
        <v>#N/A</v>
      </c>
    </row>
    <row r="1975" spans="1:11">
      <c r="A1975" s="26">
        <v>1925</v>
      </c>
      <c r="B1975" s="82" t="e">
        <f t="shared" si="246"/>
        <v>#N/A</v>
      </c>
      <c r="C1975" s="58" t="e">
        <f t="shared" si="242"/>
        <v>#N/A</v>
      </c>
      <c r="D1975" s="83" t="e">
        <f t="shared" si="247"/>
        <v>#N/A</v>
      </c>
      <c r="E1975" t="e">
        <f t="shared" si="243"/>
        <v>#N/A</v>
      </c>
      <c r="G1975">
        <v>1925</v>
      </c>
      <c r="H1975" s="13" t="e">
        <f t="shared" si="248"/>
        <v>#N/A</v>
      </c>
      <c r="I1975" t="e">
        <f t="shared" si="249"/>
        <v>#N/A</v>
      </c>
      <c r="J1975" t="e">
        <f t="shared" si="244"/>
        <v>#N/A</v>
      </c>
      <c r="K1975" s="27" t="e">
        <f t="shared" si="245"/>
        <v>#N/A</v>
      </c>
    </row>
    <row r="1976" spans="1:11">
      <c r="A1976" s="26">
        <v>1926</v>
      </c>
      <c r="B1976" s="82" t="e">
        <f t="shared" si="246"/>
        <v>#N/A</v>
      </c>
      <c r="C1976" s="58" t="e">
        <f t="shared" si="242"/>
        <v>#N/A</v>
      </c>
      <c r="D1976" s="83" t="e">
        <f t="shared" si="247"/>
        <v>#N/A</v>
      </c>
      <c r="E1976" t="e">
        <f t="shared" si="243"/>
        <v>#N/A</v>
      </c>
      <c r="G1976">
        <v>1926</v>
      </c>
      <c r="H1976" s="13" t="e">
        <f t="shared" si="248"/>
        <v>#N/A</v>
      </c>
      <c r="I1976" t="e">
        <f t="shared" si="249"/>
        <v>#N/A</v>
      </c>
      <c r="J1976" t="e">
        <f t="shared" si="244"/>
        <v>#N/A</v>
      </c>
      <c r="K1976" s="27" t="e">
        <f t="shared" si="245"/>
        <v>#N/A</v>
      </c>
    </row>
    <row r="1977" spans="1:11">
      <c r="A1977" s="26">
        <v>1927</v>
      </c>
      <c r="B1977" s="82" t="e">
        <f t="shared" si="246"/>
        <v>#N/A</v>
      </c>
      <c r="C1977" s="58" t="e">
        <f t="shared" si="242"/>
        <v>#N/A</v>
      </c>
      <c r="D1977" s="83" t="e">
        <f t="shared" si="247"/>
        <v>#N/A</v>
      </c>
      <c r="E1977" t="e">
        <f t="shared" si="243"/>
        <v>#N/A</v>
      </c>
      <c r="G1977">
        <v>1927</v>
      </c>
      <c r="H1977" s="13" t="e">
        <f t="shared" si="248"/>
        <v>#N/A</v>
      </c>
      <c r="I1977" t="e">
        <f t="shared" si="249"/>
        <v>#N/A</v>
      </c>
      <c r="J1977" t="e">
        <f t="shared" si="244"/>
        <v>#N/A</v>
      </c>
      <c r="K1977" s="27" t="e">
        <f t="shared" si="245"/>
        <v>#N/A</v>
      </c>
    </row>
    <row r="1978" spans="1:11">
      <c r="A1978" s="26">
        <v>1928</v>
      </c>
      <c r="B1978" s="82" t="e">
        <f t="shared" si="246"/>
        <v>#N/A</v>
      </c>
      <c r="C1978" s="58" t="e">
        <f t="shared" si="242"/>
        <v>#N/A</v>
      </c>
      <c r="D1978" s="83" t="e">
        <f t="shared" si="247"/>
        <v>#N/A</v>
      </c>
      <c r="E1978" t="e">
        <f t="shared" si="243"/>
        <v>#N/A</v>
      </c>
      <c r="G1978">
        <v>1928</v>
      </c>
      <c r="H1978" s="13" t="e">
        <f t="shared" si="248"/>
        <v>#N/A</v>
      </c>
      <c r="I1978" t="e">
        <f t="shared" si="249"/>
        <v>#N/A</v>
      </c>
      <c r="J1978" t="e">
        <f t="shared" si="244"/>
        <v>#N/A</v>
      </c>
      <c r="K1978" s="27" t="e">
        <f t="shared" si="245"/>
        <v>#N/A</v>
      </c>
    </row>
    <row r="1979" spans="1:11">
      <c r="A1979" s="26">
        <v>1929</v>
      </c>
      <c r="B1979" s="82" t="e">
        <f t="shared" si="246"/>
        <v>#N/A</v>
      </c>
      <c r="C1979" s="58" t="e">
        <f t="shared" si="242"/>
        <v>#N/A</v>
      </c>
      <c r="D1979" s="83" t="e">
        <f t="shared" si="247"/>
        <v>#N/A</v>
      </c>
      <c r="E1979" t="e">
        <f t="shared" si="243"/>
        <v>#N/A</v>
      </c>
      <c r="G1979">
        <v>1929</v>
      </c>
      <c r="H1979" s="13" t="e">
        <f t="shared" si="248"/>
        <v>#N/A</v>
      </c>
      <c r="I1979" t="e">
        <f t="shared" si="249"/>
        <v>#N/A</v>
      </c>
      <c r="J1979" t="e">
        <f t="shared" si="244"/>
        <v>#N/A</v>
      </c>
      <c r="K1979" s="27" t="e">
        <f t="shared" si="245"/>
        <v>#N/A</v>
      </c>
    </row>
    <row r="1980" spans="1:11">
      <c r="A1980" s="26">
        <v>1930</v>
      </c>
      <c r="B1980" s="82" t="e">
        <f t="shared" si="246"/>
        <v>#N/A</v>
      </c>
      <c r="C1980" s="58" t="e">
        <f t="shared" si="242"/>
        <v>#N/A</v>
      </c>
      <c r="D1980" s="83" t="e">
        <f t="shared" si="247"/>
        <v>#N/A</v>
      </c>
      <c r="E1980" t="e">
        <f t="shared" si="243"/>
        <v>#N/A</v>
      </c>
      <c r="G1980">
        <v>1930</v>
      </c>
      <c r="H1980" s="13" t="e">
        <f t="shared" si="248"/>
        <v>#N/A</v>
      </c>
      <c r="I1980" t="e">
        <f t="shared" si="249"/>
        <v>#N/A</v>
      </c>
      <c r="J1980" t="e">
        <f t="shared" si="244"/>
        <v>#N/A</v>
      </c>
      <c r="K1980" s="27" t="e">
        <f t="shared" si="245"/>
        <v>#N/A</v>
      </c>
    </row>
    <row r="1981" spans="1:11">
      <c r="A1981" s="26">
        <v>1931</v>
      </c>
      <c r="B1981" s="82" t="e">
        <f t="shared" si="246"/>
        <v>#N/A</v>
      </c>
      <c r="C1981" s="58" t="e">
        <f t="shared" si="242"/>
        <v>#N/A</v>
      </c>
      <c r="D1981" s="83" t="e">
        <f t="shared" si="247"/>
        <v>#N/A</v>
      </c>
      <c r="E1981" t="e">
        <f t="shared" si="243"/>
        <v>#N/A</v>
      </c>
      <c r="G1981">
        <v>1931</v>
      </c>
      <c r="H1981" s="13" t="e">
        <f t="shared" si="248"/>
        <v>#N/A</v>
      </c>
      <c r="I1981" t="e">
        <f t="shared" si="249"/>
        <v>#N/A</v>
      </c>
      <c r="J1981" t="e">
        <f t="shared" si="244"/>
        <v>#N/A</v>
      </c>
      <c r="K1981" s="27" t="e">
        <f t="shared" si="245"/>
        <v>#N/A</v>
      </c>
    </row>
    <row r="1982" spans="1:11">
      <c r="A1982" s="26">
        <v>1932</v>
      </c>
      <c r="B1982" s="82" t="e">
        <f t="shared" si="246"/>
        <v>#N/A</v>
      </c>
      <c r="C1982" s="58" t="e">
        <f t="shared" si="242"/>
        <v>#N/A</v>
      </c>
      <c r="D1982" s="83" t="e">
        <f t="shared" si="247"/>
        <v>#N/A</v>
      </c>
      <c r="E1982" t="e">
        <f t="shared" si="243"/>
        <v>#N/A</v>
      </c>
      <c r="G1982">
        <v>1932</v>
      </c>
      <c r="H1982" s="13" t="e">
        <f t="shared" si="248"/>
        <v>#N/A</v>
      </c>
      <c r="I1982" t="e">
        <f t="shared" si="249"/>
        <v>#N/A</v>
      </c>
      <c r="J1982" t="e">
        <f t="shared" si="244"/>
        <v>#N/A</v>
      </c>
      <c r="K1982" s="27" t="e">
        <f t="shared" si="245"/>
        <v>#N/A</v>
      </c>
    </row>
    <row r="1983" spans="1:11">
      <c r="A1983" s="26">
        <v>1933</v>
      </c>
      <c r="B1983" s="82" t="e">
        <f t="shared" si="246"/>
        <v>#N/A</v>
      </c>
      <c r="C1983" s="58" t="e">
        <f t="shared" si="242"/>
        <v>#N/A</v>
      </c>
      <c r="D1983" s="83" t="e">
        <f t="shared" si="247"/>
        <v>#N/A</v>
      </c>
      <c r="E1983" t="e">
        <f t="shared" si="243"/>
        <v>#N/A</v>
      </c>
      <c r="G1983">
        <v>1933</v>
      </c>
      <c r="H1983" s="13" t="e">
        <f t="shared" si="248"/>
        <v>#N/A</v>
      </c>
      <c r="I1983" t="e">
        <f t="shared" si="249"/>
        <v>#N/A</v>
      </c>
      <c r="J1983" t="e">
        <f t="shared" si="244"/>
        <v>#N/A</v>
      </c>
      <c r="K1983" s="27" t="e">
        <f t="shared" si="245"/>
        <v>#N/A</v>
      </c>
    </row>
    <row r="1984" spans="1:11">
      <c r="A1984" s="26">
        <v>1934</v>
      </c>
      <c r="B1984" s="82" t="e">
        <f t="shared" si="246"/>
        <v>#N/A</v>
      </c>
      <c r="C1984" s="58" t="e">
        <f t="shared" si="242"/>
        <v>#N/A</v>
      </c>
      <c r="D1984" s="83" t="e">
        <f t="shared" si="247"/>
        <v>#N/A</v>
      </c>
      <c r="E1984" t="e">
        <f t="shared" si="243"/>
        <v>#N/A</v>
      </c>
      <c r="G1984">
        <v>1934</v>
      </c>
      <c r="H1984" s="13" t="e">
        <f t="shared" si="248"/>
        <v>#N/A</v>
      </c>
      <c r="I1984" t="e">
        <f t="shared" si="249"/>
        <v>#N/A</v>
      </c>
      <c r="J1984" t="e">
        <f t="shared" si="244"/>
        <v>#N/A</v>
      </c>
      <c r="K1984" s="27" t="e">
        <f t="shared" si="245"/>
        <v>#N/A</v>
      </c>
    </row>
    <row r="1985" spans="1:11">
      <c r="A1985" s="26">
        <v>1935</v>
      </c>
      <c r="B1985" s="82" t="e">
        <f t="shared" si="246"/>
        <v>#N/A</v>
      </c>
      <c r="C1985" s="58" t="e">
        <f t="shared" si="242"/>
        <v>#N/A</v>
      </c>
      <c r="D1985" s="83" t="e">
        <f t="shared" si="247"/>
        <v>#N/A</v>
      </c>
      <c r="E1985" t="e">
        <f t="shared" si="243"/>
        <v>#N/A</v>
      </c>
      <c r="G1985">
        <v>1935</v>
      </c>
      <c r="H1985" s="13" t="e">
        <f t="shared" si="248"/>
        <v>#N/A</v>
      </c>
      <c r="I1985" t="e">
        <f t="shared" si="249"/>
        <v>#N/A</v>
      </c>
      <c r="J1985" t="e">
        <f t="shared" si="244"/>
        <v>#N/A</v>
      </c>
      <c r="K1985" s="27" t="e">
        <f t="shared" si="245"/>
        <v>#N/A</v>
      </c>
    </row>
    <row r="1986" spans="1:11">
      <c r="A1986" s="26">
        <v>1936</v>
      </c>
      <c r="B1986" s="82" t="e">
        <f t="shared" si="246"/>
        <v>#N/A</v>
      </c>
      <c r="C1986" s="58" t="e">
        <f t="shared" si="242"/>
        <v>#N/A</v>
      </c>
      <c r="D1986" s="83" t="e">
        <f t="shared" si="247"/>
        <v>#N/A</v>
      </c>
      <c r="E1986" t="e">
        <f t="shared" si="243"/>
        <v>#N/A</v>
      </c>
      <c r="G1986">
        <v>1936</v>
      </c>
      <c r="H1986" s="13" t="e">
        <f t="shared" si="248"/>
        <v>#N/A</v>
      </c>
      <c r="I1986" t="e">
        <f t="shared" si="249"/>
        <v>#N/A</v>
      </c>
      <c r="J1986" t="e">
        <f t="shared" si="244"/>
        <v>#N/A</v>
      </c>
      <c r="K1986" s="27" t="e">
        <f t="shared" si="245"/>
        <v>#N/A</v>
      </c>
    </row>
    <row r="1987" spans="1:11">
      <c r="A1987" s="26">
        <v>1937</v>
      </c>
      <c r="B1987" s="82" t="e">
        <f t="shared" si="246"/>
        <v>#N/A</v>
      </c>
      <c r="C1987" s="58" t="e">
        <f t="shared" si="242"/>
        <v>#N/A</v>
      </c>
      <c r="D1987" s="83" t="e">
        <f t="shared" si="247"/>
        <v>#N/A</v>
      </c>
      <c r="E1987" t="e">
        <f t="shared" si="243"/>
        <v>#N/A</v>
      </c>
      <c r="G1987">
        <v>1937</v>
      </c>
      <c r="H1987" s="13" t="e">
        <f t="shared" si="248"/>
        <v>#N/A</v>
      </c>
      <c r="I1987" t="e">
        <f t="shared" si="249"/>
        <v>#N/A</v>
      </c>
      <c r="J1987" t="e">
        <f t="shared" si="244"/>
        <v>#N/A</v>
      </c>
      <c r="K1987" s="27" t="e">
        <f t="shared" si="245"/>
        <v>#N/A</v>
      </c>
    </row>
    <row r="1988" spans="1:11">
      <c r="A1988" s="26">
        <v>1938</v>
      </c>
      <c r="B1988" s="82" t="e">
        <f t="shared" si="246"/>
        <v>#N/A</v>
      </c>
      <c r="C1988" s="58" t="e">
        <f t="shared" si="242"/>
        <v>#N/A</v>
      </c>
      <c r="D1988" s="83" t="e">
        <f t="shared" si="247"/>
        <v>#N/A</v>
      </c>
      <c r="E1988" t="e">
        <f t="shared" si="243"/>
        <v>#N/A</v>
      </c>
      <c r="G1988">
        <v>1938</v>
      </c>
      <c r="H1988" s="13" t="e">
        <f t="shared" si="248"/>
        <v>#N/A</v>
      </c>
      <c r="I1988" t="e">
        <f t="shared" si="249"/>
        <v>#N/A</v>
      </c>
      <c r="J1988" t="e">
        <f t="shared" si="244"/>
        <v>#N/A</v>
      </c>
      <c r="K1988" s="27" t="e">
        <f t="shared" si="245"/>
        <v>#N/A</v>
      </c>
    </row>
    <row r="1989" spans="1:11">
      <c r="A1989" s="26">
        <v>1939</v>
      </c>
      <c r="B1989" s="82" t="e">
        <f t="shared" si="246"/>
        <v>#N/A</v>
      </c>
      <c r="C1989" s="58" t="e">
        <f t="shared" si="242"/>
        <v>#N/A</v>
      </c>
      <c r="D1989" s="83" t="e">
        <f t="shared" si="247"/>
        <v>#N/A</v>
      </c>
      <c r="E1989" t="e">
        <f t="shared" si="243"/>
        <v>#N/A</v>
      </c>
      <c r="G1989">
        <v>1939</v>
      </c>
      <c r="H1989" s="13" t="e">
        <f t="shared" si="248"/>
        <v>#N/A</v>
      </c>
      <c r="I1989" t="e">
        <f t="shared" si="249"/>
        <v>#N/A</v>
      </c>
      <c r="J1989" t="e">
        <f t="shared" si="244"/>
        <v>#N/A</v>
      </c>
      <c r="K1989" s="27" t="e">
        <f t="shared" si="245"/>
        <v>#N/A</v>
      </c>
    </row>
    <row r="1990" spans="1:11">
      <c r="A1990" s="26">
        <v>1940</v>
      </c>
      <c r="B1990" s="82" t="e">
        <f t="shared" si="246"/>
        <v>#N/A</v>
      </c>
      <c r="C1990" s="58" t="e">
        <f t="shared" si="242"/>
        <v>#N/A</v>
      </c>
      <c r="D1990" s="83" t="e">
        <f t="shared" si="247"/>
        <v>#N/A</v>
      </c>
      <c r="E1990" t="e">
        <f t="shared" si="243"/>
        <v>#N/A</v>
      </c>
      <c r="G1990">
        <v>1940</v>
      </c>
      <c r="H1990" s="13" t="e">
        <f t="shared" si="248"/>
        <v>#N/A</v>
      </c>
      <c r="I1990" t="e">
        <f t="shared" si="249"/>
        <v>#N/A</v>
      </c>
      <c r="J1990" t="e">
        <f t="shared" si="244"/>
        <v>#N/A</v>
      </c>
      <c r="K1990" s="27" t="e">
        <f t="shared" si="245"/>
        <v>#N/A</v>
      </c>
    </row>
    <row r="1991" spans="1:11">
      <c r="A1991" s="26">
        <v>1941</v>
      </c>
      <c r="B1991" s="82" t="e">
        <f t="shared" si="246"/>
        <v>#N/A</v>
      </c>
      <c r="C1991" s="58" t="e">
        <f t="shared" si="242"/>
        <v>#N/A</v>
      </c>
      <c r="D1991" s="83" t="e">
        <f t="shared" si="247"/>
        <v>#N/A</v>
      </c>
      <c r="E1991" t="e">
        <f t="shared" si="243"/>
        <v>#N/A</v>
      </c>
      <c r="G1991">
        <v>1941</v>
      </c>
      <c r="H1991" s="13" t="e">
        <f t="shared" si="248"/>
        <v>#N/A</v>
      </c>
      <c r="I1991" t="e">
        <f t="shared" si="249"/>
        <v>#N/A</v>
      </c>
      <c r="J1991" t="e">
        <f t="shared" si="244"/>
        <v>#N/A</v>
      </c>
      <c r="K1991" s="27" t="e">
        <f t="shared" si="245"/>
        <v>#N/A</v>
      </c>
    </row>
    <row r="1992" spans="1:11">
      <c r="A1992" s="26">
        <v>1942</v>
      </c>
      <c r="B1992" s="82" t="e">
        <f t="shared" si="246"/>
        <v>#N/A</v>
      </c>
      <c r="C1992" s="58" t="e">
        <f t="shared" si="242"/>
        <v>#N/A</v>
      </c>
      <c r="D1992" s="83" t="e">
        <f t="shared" si="247"/>
        <v>#N/A</v>
      </c>
      <c r="E1992" t="e">
        <f t="shared" si="243"/>
        <v>#N/A</v>
      </c>
      <c r="G1992">
        <v>1942</v>
      </c>
      <c r="H1992" s="13" t="e">
        <f t="shared" si="248"/>
        <v>#N/A</v>
      </c>
      <c r="I1992" t="e">
        <f t="shared" si="249"/>
        <v>#N/A</v>
      </c>
      <c r="J1992" t="e">
        <f t="shared" si="244"/>
        <v>#N/A</v>
      </c>
      <c r="K1992" s="27" t="e">
        <f t="shared" si="245"/>
        <v>#N/A</v>
      </c>
    </row>
    <row r="1993" spans="1:11">
      <c r="A1993" s="26">
        <v>1943</v>
      </c>
      <c r="B1993" s="82" t="e">
        <f t="shared" si="246"/>
        <v>#N/A</v>
      </c>
      <c r="C1993" s="58" t="e">
        <f t="shared" si="242"/>
        <v>#N/A</v>
      </c>
      <c r="D1993" s="83" t="e">
        <f t="shared" si="247"/>
        <v>#N/A</v>
      </c>
      <c r="E1993" t="e">
        <f t="shared" si="243"/>
        <v>#N/A</v>
      </c>
      <c r="G1993">
        <v>1943</v>
      </c>
      <c r="H1993" s="13" t="e">
        <f t="shared" si="248"/>
        <v>#N/A</v>
      </c>
      <c r="I1993" t="e">
        <f t="shared" si="249"/>
        <v>#N/A</v>
      </c>
      <c r="J1993" t="e">
        <f t="shared" si="244"/>
        <v>#N/A</v>
      </c>
      <c r="K1993" s="27" t="e">
        <f t="shared" si="245"/>
        <v>#N/A</v>
      </c>
    </row>
    <row r="1994" spans="1:11">
      <c r="A1994" s="26">
        <v>1944</v>
      </c>
      <c r="B1994" s="82" t="e">
        <f t="shared" si="246"/>
        <v>#N/A</v>
      </c>
      <c r="C1994" s="58" t="e">
        <f t="shared" si="242"/>
        <v>#N/A</v>
      </c>
      <c r="D1994" s="83" t="e">
        <f t="shared" si="247"/>
        <v>#N/A</v>
      </c>
      <c r="E1994" t="e">
        <f t="shared" si="243"/>
        <v>#N/A</v>
      </c>
      <c r="G1994">
        <v>1944</v>
      </c>
      <c r="H1994" s="13" t="e">
        <f t="shared" si="248"/>
        <v>#N/A</v>
      </c>
      <c r="I1994" t="e">
        <f t="shared" si="249"/>
        <v>#N/A</v>
      </c>
      <c r="J1994" t="e">
        <f t="shared" si="244"/>
        <v>#N/A</v>
      </c>
      <c r="K1994" s="27" t="e">
        <f t="shared" si="245"/>
        <v>#N/A</v>
      </c>
    </row>
    <row r="1995" spans="1:11">
      <c r="A1995" s="26">
        <v>1945</v>
      </c>
      <c r="B1995" s="82" t="e">
        <f t="shared" si="246"/>
        <v>#N/A</v>
      </c>
      <c r="C1995" s="58" t="e">
        <f t="shared" si="242"/>
        <v>#N/A</v>
      </c>
      <c r="D1995" s="83" t="e">
        <f t="shared" si="247"/>
        <v>#N/A</v>
      </c>
      <c r="E1995" t="e">
        <f t="shared" si="243"/>
        <v>#N/A</v>
      </c>
      <c r="G1995">
        <v>1945</v>
      </c>
      <c r="H1995" s="13" t="e">
        <f t="shared" si="248"/>
        <v>#N/A</v>
      </c>
      <c r="I1995" t="e">
        <f t="shared" si="249"/>
        <v>#N/A</v>
      </c>
      <c r="J1995" t="e">
        <f t="shared" si="244"/>
        <v>#N/A</v>
      </c>
      <c r="K1995" s="27" t="e">
        <f t="shared" si="245"/>
        <v>#N/A</v>
      </c>
    </row>
    <row r="1996" spans="1:11">
      <c r="A1996" s="26">
        <v>1946</v>
      </c>
      <c r="B1996" s="82" t="e">
        <f t="shared" si="246"/>
        <v>#N/A</v>
      </c>
      <c r="C1996" s="58" t="e">
        <f t="shared" si="242"/>
        <v>#N/A</v>
      </c>
      <c r="D1996" s="83" t="e">
        <f t="shared" si="247"/>
        <v>#N/A</v>
      </c>
      <c r="E1996" t="e">
        <f t="shared" si="243"/>
        <v>#N/A</v>
      </c>
      <c r="G1996">
        <v>1946</v>
      </c>
      <c r="H1996" s="13" t="e">
        <f t="shared" si="248"/>
        <v>#N/A</v>
      </c>
      <c r="I1996" t="e">
        <f t="shared" si="249"/>
        <v>#N/A</v>
      </c>
      <c r="J1996" t="e">
        <f t="shared" si="244"/>
        <v>#N/A</v>
      </c>
      <c r="K1996" s="27" t="e">
        <f t="shared" si="245"/>
        <v>#N/A</v>
      </c>
    </row>
    <row r="1997" spans="1:11">
      <c r="A1997" s="26">
        <v>1947</v>
      </c>
      <c r="B1997" s="82" t="e">
        <f t="shared" si="246"/>
        <v>#N/A</v>
      </c>
      <c r="C1997" s="58" t="e">
        <f t="shared" si="242"/>
        <v>#N/A</v>
      </c>
      <c r="D1997" s="83" t="e">
        <f t="shared" si="247"/>
        <v>#N/A</v>
      </c>
      <c r="E1997" t="e">
        <f t="shared" si="243"/>
        <v>#N/A</v>
      </c>
      <c r="G1997">
        <v>1947</v>
      </c>
      <c r="H1997" s="13" t="e">
        <f t="shared" si="248"/>
        <v>#N/A</v>
      </c>
      <c r="I1997" t="e">
        <f t="shared" si="249"/>
        <v>#N/A</v>
      </c>
      <c r="J1997" t="e">
        <f t="shared" si="244"/>
        <v>#N/A</v>
      </c>
      <c r="K1997" s="27" t="e">
        <f t="shared" si="245"/>
        <v>#N/A</v>
      </c>
    </row>
    <row r="1998" spans="1:11">
      <c r="A1998" s="26">
        <v>1948</v>
      </c>
      <c r="B1998" s="82" t="e">
        <f t="shared" si="246"/>
        <v>#N/A</v>
      </c>
      <c r="C1998" s="58" t="e">
        <f t="shared" si="242"/>
        <v>#N/A</v>
      </c>
      <c r="D1998" s="83" t="e">
        <f t="shared" si="247"/>
        <v>#N/A</v>
      </c>
      <c r="E1998" t="e">
        <f t="shared" si="243"/>
        <v>#N/A</v>
      </c>
      <c r="G1998">
        <v>1948</v>
      </c>
      <c r="H1998" s="13" t="e">
        <f t="shared" si="248"/>
        <v>#N/A</v>
      </c>
      <c r="I1998" t="e">
        <f t="shared" si="249"/>
        <v>#N/A</v>
      </c>
      <c r="J1998" t="e">
        <f t="shared" si="244"/>
        <v>#N/A</v>
      </c>
      <c r="K1998" s="27" t="e">
        <f t="shared" si="245"/>
        <v>#N/A</v>
      </c>
    </row>
    <row r="1999" spans="1:11">
      <c r="A1999" s="26">
        <v>1949</v>
      </c>
      <c r="B1999" s="82" t="e">
        <f t="shared" si="246"/>
        <v>#N/A</v>
      </c>
      <c r="C1999" s="58" t="e">
        <f t="shared" si="242"/>
        <v>#N/A</v>
      </c>
      <c r="D1999" s="83" t="e">
        <f t="shared" si="247"/>
        <v>#N/A</v>
      </c>
      <c r="E1999" t="e">
        <f t="shared" si="243"/>
        <v>#N/A</v>
      </c>
      <c r="G1999">
        <v>1949</v>
      </c>
      <c r="H1999" s="13" t="e">
        <f t="shared" si="248"/>
        <v>#N/A</v>
      </c>
      <c r="I1999" t="e">
        <f t="shared" si="249"/>
        <v>#N/A</v>
      </c>
      <c r="J1999" t="e">
        <f t="shared" si="244"/>
        <v>#N/A</v>
      </c>
      <c r="K1999" s="27" t="e">
        <f t="shared" si="245"/>
        <v>#N/A</v>
      </c>
    </row>
    <row r="2000" spans="1:11">
      <c r="A2000" s="26">
        <v>1950</v>
      </c>
      <c r="B2000" s="82" t="e">
        <f t="shared" si="246"/>
        <v>#N/A</v>
      </c>
      <c r="C2000" s="58" t="e">
        <f t="shared" ref="C2000:C2049" si="250">($C$37-$C$36)/2000+C1999</f>
        <v>#N/A</v>
      </c>
      <c r="D2000" s="83" t="e">
        <f t="shared" si="247"/>
        <v>#N/A</v>
      </c>
      <c r="E2000" t="e">
        <f t="shared" si="243"/>
        <v>#N/A</v>
      </c>
      <c r="G2000">
        <v>1950</v>
      </c>
      <c r="H2000" s="13" t="e">
        <f t="shared" si="248"/>
        <v>#N/A</v>
      </c>
      <c r="I2000" t="e">
        <f t="shared" si="249"/>
        <v>#N/A</v>
      </c>
      <c r="J2000" t="e">
        <f t="shared" si="244"/>
        <v>#N/A</v>
      </c>
      <c r="K2000" s="27" t="e">
        <f t="shared" si="245"/>
        <v>#N/A</v>
      </c>
    </row>
    <row r="2001" spans="1:11">
      <c r="A2001" s="26">
        <v>1951</v>
      </c>
      <c r="B2001" s="82" t="e">
        <f t="shared" si="246"/>
        <v>#N/A</v>
      </c>
      <c r="C2001" s="58" t="e">
        <f t="shared" si="250"/>
        <v>#N/A</v>
      </c>
      <c r="D2001" s="83" t="e">
        <f t="shared" si="247"/>
        <v>#N/A</v>
      </c>
      <c r="E2001" t="e">
        <f t="shared" si="243"/>
        <v>#N/A</v>
      </c>
      <c r="G2001">
        <v>1951</v>
      </c>
      <c r="H2001" s="13" t="e">
        <f t="shared" si="248"/>
        <v>#N/A</v>
      </c>
      <c r="I2001" t="e">
        <f t="shared" si="249"/>
        <v>#N/A</v>
      </c>
      <c r="J2001" t="e">
        <f t="shared" si="244"/>
        <v>#N/A</v>
      </c>
      <c r="K2001" s="27" t="e">
        <f t="shared" si="245"/>
        <v>#N/A</v>
      </c>
    </row>
    <row r="2002" spans="1:11">
      <c r="A2002" s="26">
        <v>1952</v>
      </c>
      <c r="B2002" s="82" t="e">
        <f t="shared" si="246"/>
        <v>#N/A</v>
      </c>
      <c r="C2002" s="58" t="e">
        <f t="shared" si="250"/>
        <v>#N/A</v>
      </c>
      <c r="D2002" s="83" t="e">
        <f t="shared" si="247"/>
        <v>#N/A</v>
      </c>
      <c r="E2002" t="e">
        <f t="shared" si="243"/>
        <v>#N/A</v>
      </c>
      <c r="G2002">
        <v>1952</v>
      </c>
      <c r="H2002" s="13" t="e">
        <f t="shared" si="248"/>
        <v>#N/A</v>
      </c>
      <c r="I2002" t="e">
        <f t="shared" si="249"/>
        <v>#N/A</v>
      </c>
      <c r="J2002" t="e">
        <f t="shared" si="244"/>
        <v>#N/A</v>
      </c>
      <c r="K2002" s="27" t="e">
        <f t="shared" si="245"/>
        <v>#N/A</v>
      </c>
    </row>
    <row r="2003" spans="1:11">
      <c r="A2003" s="26">
        <v>1953</v>
      </c>
      <c r="B2003" s="82" t="e">
        <f t="shared" si="246"/>
        <v>#N/A</v>
      </c>
      <c r="C2003" s="58" t="e">
        <f t="shared" si="250"/>
        <v>#N/A</v>
      </c>
      <c r="D2003" s="83" t="e">
        <f t="shared" si="247"/>
        <v>#N/A</v>
      </c>
      <c r="E2003" t="e">
        <f t="shared" si="243"/>
        <v>#N/A</v>
      </c>
      <c r="G2003">
        <v>1953</v>
      </c>
      <c r="H2003" s="13" t="e">
        <f t="shared" si="248"/>
        <v>#N/A</v>
      </c>
      <c r="I2003" t="e">
        <f t="shared" si="249"/>
        <v>#N/A</v>
      </c>
      <c r="J2003" t="e">
        <f t="shared" si="244"/>
        <v>#N/A</v>
      </c>
      <c r="K2003" s="27" t="e">
        <f t="shared" si="245"/>
        <v>#N/A</v>
      </c>
    </row>
    <row r="2004" spans="1:11">
      <c r="A2004" s="26">
        <v>1954</v>
      </c>
      <c r="B2004" s="82" t="e">
        <f t="shared" si="246"/>
        <v>#N/A</v>
      </c>
      <c r="C2004" s="58" t="e">
        <f t="shared" si="250"/>
        <v>#N/A</v>
      </c>
      <c r="D2004" s="83" t="e">
        <f t="shared" si="247"/>
        <v>#N/A</v>
      </c>
      <c r="E2004" t="e">
        <f t="shared" si="243"/>
        <v>#N/A</v>
      </c>
      <c r="G2004">
        <v>1954</v>
      </c>
      <c r="H2004" s="13" t="e">
        <f t="shared" si="248"/>
        <v>#N/A</v>
      </c>
      <c r="I2004" t="e">
        <f t="shared" si="249"/>
        <v>#N/A</v>
      </c>
      <c r="J2004" t="e">
        <f t="shared" si="244"/>
        <v>#N/A</v>
      </c>
      <c r="K2004" s="27" t="e">
        <f t="shared" si="245"/>
        <v>#N/A</v>
      </c>
    </row>
    <row r="2005" spans="1:11">
      <c r="A2005" s="26">
        <v>1955</v>
      </c>
      <c r="B2005" s="82" t="e">
        <f t="shared" si="246"/>
        <v>#N/A</v>
      </c>
      <c r="C2005" s="58" t="e">
        <f t="shared" si="250"/>
        <v>#N/A</v>
      </c>
      <c r="D2005" s="83" t="e">
        <f t="shared" si="247"/>
        <v>#N/A</v>
      </c>
      <c r="E2005" t="e">
        <f t="shared" si="243"/>
        <v>#N/A</v>
      </c>
      <c r="G2005">
        <v>1955</v>
      </c>
      <c r="H2005" s="13" t="e">
        <f t="shared" si="248"/>
        <v>#N/A</v>
      </c>
      <c r="I2005" t="e">
        <f t="shared" si="249"/>
        <v>#N/A</v>
      </c>
      <c r="J2005" t="e">
        <f t="shared" si="244"/>
        <v>#N/A</v>
      </c>
      <c r="K2005" s="27" t="e">
        <f t="shared" si="245"/>
        <v>#N/A</v>
      </c>
    </row>
    <row r="2006" spans="1:11">
      <c r="A2006" s="26">
        <v>1956</v>
      </c>
      <c r="B2006" s="82" t="e">
        <f t="shared" si="246"/>
        <v>#N/A</v>
      </c>
      <c r="C2006" s="58" t="e">
        <f t="shared" si="250"/>
        <v>#N/A</v>
      </c>
      <c r="D2006" s="83" t="e">
        <f t="shared" si="247"/>
        <v>#N/A</v>
      </c>
      <c r="E2006" t="e">
        <f t="shared" si="243"/>
        <v>#N/A</v>
      </c>
      <c r="G2006">
        <v>1956</v>
      </c>
      <c r="H2006" s="13" t="e">
        <f t="shared" si="248"/>
        <v>#N/A</v>
      </c>
      <c r="I2006" t="e">
        <f t="shared" si="249"/>
        <v>#N/A</v>
      </c>
      <c r="J2006" t="e">
        <f t="shared" si="244"/>
        <v>#N/A</v>
      </c>
      <c r="K2006" s="27" t="e">
        <f t="shared" si="245"/>
        <v>#N/A</v>
      </c>
    </row>
    <row r="2007" spans="1:11">
      <c r="A2007" s="26">
        <v>1957</v>
      </c>
      <c r="B2007" s="82" t="e">
        <f t="shared" si="246"/>
        <v>#N/A</v>
      </c>
      <c r="C2007" s="58" t="e">
        <f t="shared" si="250"/>
        <v>#N/A</v>
      </c>
      <c r="D2007" s="83" t="e">
        <f t="shared" si="247"/>
        <v>#N/A</v>
      </c>
      <c r="E2007" t="e">
        <f t="shared" si="243"/>
        <v>#N/A</v>
      </c>
      <c r="G2007">
        <v>1957</v>
      </c>
      <c r="H2007" s="13" t="e">
        <f t="shared" si="248"/>
        <v>#N/A</v>
      </c>
      <c r="I2007" t="e">
        <f t="shared" si="249"/>
        <v>#N/A</v>
      </c>
      <c r="J2007" t="e">
        <f t="shared" si="244"/>
        <v>#N/A</v>
      </c>
      <c r="K2007" s="27" t="e">
        <f t="shared" si="245"/>
        <v>#N/A</v>
      </c>
    </row>
    <row r="2008" spans="1:11">
      <c r="A2008" s="26">
        <v>1958</v>
      </c>
      <c r="B2008" s="82" t="e">
        <f t="shared" si="246"/>
        <v>#N/A</v>
      </c>
      <c r="C2008" s="58" t="e">
        <f t="shared" si="250"/>
        <v>#N/A</v>
      </c>
      <c r="D2008" s="83" t="e">
        <f t="shared" si="247"/>
        <v>#N/A</v>
      </c>
      <c r="E2008" t="e">
        <f t="shared" si="243"/>
        <v>#N/A</v>
      </c>
      <c r="G2008">
        <v>1958</v>
      </c>
      <c r="H2008" s="13" t="e">
        <f t="shared" si="248"/>
        <v>#N/A</v>
      </c>
      <c r="I2008" t="e">
        <f t="shared" si="249"/>
        <v>#N/A</v>
      </c>
      <c r="J2008" t="e">
        <f t="shared" si="244"/>
        <v>#N/A</v>
      </c>
      <c r="K2008" s="27" t="e">
        <f t="shared" si="245"/>
        <v>#N/A</v>
      </c>
    </row>
    <row r="2009" spans="1:11">
      <c r="A2009" s="26">
        <v>1959</v>
      </c>
      <c r="B2009" s="82" t="e">
        <f t="shared" si="246"/>
        <v>#N/A</v>
      </c>
      <c r="C2009" s="58" t="e">
        <f t="shared" si="250"/>
        <v>#N/A</v>
      </c>
      <c r="D2009" s="83" t="e">
        <f t="shared" si="247"/>
        <v>#N/A</v>
      </c>
      <c r="E2009" t="e">
        <f t="shared" si="243"/>
        <v>#N/A</v>
      </c>
      <c r="G2009">
        <v>1959</v>
      </c>
      <c r="H2009" s="13" t="e">
        <f t="shared" si="248"/>
        <v>#N/A</v>
      </c>
      <c r="I2009" t="e">
        <f t="shared" si="249"/>
        <v>#N/A</v>
      </c>
      <c r="J2009" t="e">
        <f t="shared" si="244"/>
        <v>#N/A</v>
      </c>
      <c r="K2009" s="27" t="e">
        <f t="shared" si="245"/>
        <v>#N/A</v>
      </c>
    </row>
    <row r="2010" spans="1:11">
      <c r="A2010" s="26">
        <v>1960</v>
      </c>
      <c r="B2010" s="82" t="e">
        <f t="shared" si="246"/>
        <v>#N/A</v>
      </c>
      <c r="C2010" s="58" t="e">
        <f t="shared" si="250"/>
        <v>#N/A</v>
      </c>
      <c r="D2010" s="83" t="e">
        <f t="shared" si="247"/>
        <v>#N/A</v>
      </c>
      <c r="E2010" t="e">
        <f t="shared" si="243"/>
        <v>#N/A</v>
      </c>
      <c r="G2010">
        <v>1960</v>
      </c>
      <c r="H2010" s="13" t="e">
        <f t="shared" si="248"/>
        <v>#N/A</v>
      </c>
      <c r="I2010" t="e">
        <f t="shared" si="249"/>
        <v>#N/A</v>
      </c>
      <c r="J2010" t="e">
        <f t="shared" si="244"/>
        <v>#N/A</v>
      </c>
      <c r="K2010" s="27" t="e">
        <f t="shared" si="245"/>
        <v>#N/A</v>
      </c>
    </row>
    <row r="2011" spans="1:11">
      <c r="A2011" s="26">
        <v>1961</v>
      </c>
      <c r="B2011" s="82" t="e">
        <f t="shared" si="246"/>
        <v>#N/A</v>
      </c>
      <c r="C2011" s="58" t="e">
        <f t="shared" si="250"/>
        <v>#N/A</v>
      </c>
      <c r="D2011" s="83" t="e">
        <f t="shared" si="247"/>
        <v>#N/A</v>
      </c>
      <c r="E2011" t="e">
        <f t="shared" si="243"/>
        <v>#N/A</v>
      </c>
      <c r="G2011">
        <v>1961</v>
      </c>
      <c r="H2011" s="13" t="e">
        <f t="shared" si="248"/>
        <v>#N/A</v>
      </c>
      <c r="I2011" t="e">
        <f t="shared" si="249"/>
        <v>#N/A</v>
      </c>
      <c r="J2011" t="e">
        <f t="shared" si="244"/>
        <v>#N/A</v>
      </c>
      <c r="K2011" s="27" t="e">
        <f t="shared" si="245"/>
        <v>#N/A</v>
      </c>
    </row>
    <row r="2012" spans="1:11">
      <c r="A2012" s="26">
        <v>1962</v>
      </c>
      <c r="B2012" s="82" t="e">
        <f t="shared" si="246"/>
        <v>#N/A</v>
      </c>
      <c r="C2012" s="58" t="e">
        <f t="shared" si="250"/>
        <v>#N/A</v>
      </c>
      <c r="D2012" s="83" t="e">
        <f t="shared" si="247"/>
        <v>#N/A</v>
      </c>
      <c r="E2012" t="e">
        <f t="shared" si="243"/>
        <v>#N/A</v>
      </c>
      <c r="G2012">
        <v>1962</v>
      </c>
      <c r="H2012" s="13" t="e">
        <f t="shared" si="248"/>
        <v>#N/A</v>
      </c>
      <c r="I2012" t="e">
        <f t="shared" si="249"/>
        <v>#N/A</v>
      </c>
      <c r="J2012" t="e">
        <f t="shared" si="244"/>
        <v>#N/A</v>
      </c>
      <c r="K2012" s="27" t="e">
        <f t="shared" si="245"/>
        <v>#N/A</v>
      </c>
    </row>
    <row r="2013" spans="1:11">
      <c r="A2013" s="26">
        <v>1963</v>
      </c>
      <c r="B2013" s="82" t="e">
        <f t="shared" si="246"/>
        <v>#N/A</v>
      </c>
      <c r="C2013" s="58" t="e">
        <f t="shared" si="250"/>
        <v>#N/A</v>
      </c>
      <c r="D2013" s="83" t="e">
        <f t="shared" si="247"/>
        <v>#N/A</v>
      </c>
      <c r="E2013" t="e">
        <f t="shared" si="243"/>
        <v>#N/A</v>
      </c>
      <c r="G2013">
        <v>1963</v>
      </c>
      <c r="H2013" s="13" t="e">
        <f t="shared" si="248"/>
        <v>#N/A</v>
      </c>
      <c r="I2013" t="e">
        <f t="shared" si="249"/>
        <v>#N/A</v>
      </c>
      <c r="J2013" t="e">
        <f t="shared" si="244"/>
        <v>#N/A</v>
      </c>
      <c r="K2013" s="27" t="e">
        <f t="shared" si="245"/>
        <v>#N/A</v>
      </c>
    </row>
    <row r="2014" spans="1:11">
      <c r="A2014" s="26">
        <v>1964</v>
      </c>
      <c r="B2014" s="82" t="e">
        <f t="shared" si="246"/>
        <v>#N/A</v>
      </c>
      <c r="C2014" s="58" t="e">
        <f t="shared" si="250"/>
        <v>#N/A</v>
      </c>
      <c r="D2014" s="83" t="e">
        <f t="shared" si="247"/>
        <v>#N/A</v>
      </c>
      <c r="E2014" t="e">
        <f t="shared" si="243"/>
        <v>#N/A</v>
      </c>
      <c r="G2014">
        <v>1964</v>
      </c>
      <c r="H2014" s="13" t="e">
        <f t="shared" si="248"/>
        <v>#N/A</v>
      </c>
      <c r="I2014" t="e">
        <f t="shared" si="249"/>
        <v>#N/A</v>
      </c>
      <c r="J2014" t="e">
        <f t="shared" si="244"/>
        <v>#N/A</v>
      </c>
      <c r="K2014" s="27" t="e">
        <f t="shared" si="245"/>
        <v>#N/A</v>
      </c>
    </row>
    <row r="2015" spans="1:11">
      <c r="A2015" s="26">
        <v>1965</v>
      </c>
      <c r="B2015" s="82" t="e">
        <f t="shared" si="246"/>
        <v>#N/A</v>
      </c>
      <c r="C2015" s="58" t="e">
        <f t="shared" si="250"/>
        <v>#N/A</v>
      </c>
      <c r="D2015" s="83" t="e">
        <f t="shared" si="247"/>
        <v>#N/A</v>
      </c>
      <c r="E2015" t="e">
        <f t="shared" si="243"/>
        <v>#N/A</v>
      </c>
      <c r="G2015">
        <v>1965</v>
      </c>
      <c r="H2015" s="13" t="e">
        <f t="shared" si="248"/>
        <v>#N/A</v>
      </c>
      <c r="I2015" t="e">
        <f t="shared" si="249"/>
        <v>#N/A</v>
      </c>
      <c r="J2015" t="e">
        <f t="shared" si="244"/>
        <v>#N/A</v>
      </c>
      <c r="K2015" s="27" t="e">
        <f t="shared" si="245"/>
        <v>#N/A</v>
      </c>
    </row>
    <row r="2016" spans="1:11">
      <c r="A2016" s="26">
        <v>1966</v>
      </c>
      <c r="B2016" s="82" t="e">
        <f t="shared" si="246"/>
        <v>#N/A</v>
      </c>
      <c r="C2016" s="58" t="e">
        <f t="shared" si="250"/>
        <v>#N/A</v>
      </c>
      <c r="D2016" s="83" t="e">
        <f t="shared" si="247"/>
        <v>#N/A</v>
      </c>
      <c r="E2016" t="e">
        <f t="shared" si="243"/>
        <v>#N/A</v>
      </c>
      <c r="G2016">
        <v>1966</v>
      </c>
      <c r="H2016" s="13" t="e">
        <f t="shared" si="248"/>
        <v>#N/A</v>
      </c>
      <c r="I2016" t="e">
        <f t="shared" si="249"/>
        <v>#N/A</v>
      </c>
      <c r="J2016" t="e">
        <f t="shared" si="244"/>
        <v>#N/A</v>
      </c>
      <c r="K2016" s="27" t="e">
        <f t="shared" si="245"/>
        <v>#N/A</v>
      </c>
    </row>
    <row r="2017" spans="1:11">
      <c r="A2017" s="26">
        <v>1967</v>
      </c>
      <c r="B2017" s="82" t="e">
        <f t="shared" si="246"/>
        <v>#N/A</v>
      </c>
      <c r="C2017" s="58" t="e">
        <f t="shared" si="250"/>
        <v>#N/A</v>
      </c>
      <c r="D2017" s="83" t="e">
        <f t="shared" si="247"/>
        <v>#N/A</v>
      </c>
      <c r="E2017" t="e">
        <f t="shared" si="243"/>
        <v>#N/A</v>
      </c>
      <c r="G2017">
        <v>1967</v>
      </c>
      <c r="H2017" s="13" t="e">
        <f t="shared" si="248"/>
        <v>#N/A</v>
      </c>
      <c r="I2017" t="e">
        <f t="shared" si="249"/>
        <v>#N/A</v>
      </c>
      <c r="J2017" t="e">
        <f t="shared" si="244"/>
        <v>#N/A</v>
      </c>
      <c r="K2017" s="27" t="e">
        <f t="shared" si="245"/>
        <v>#N/A</v>
      </c>
    </row>
    <row r="2018" spans="1:11">
      <c r="A2018" s="26">
        <v>1968</v>
      </c>
      <c r="B2018" s="82" t="e">
        <f t="shared" si="246"/>
        <v>#N/A</v>
      </c>
      <c r="C2018" s="58" t="e">
        <f t="shared" si="250"/>
        <v>#N/A</v>
      </c>
      <c r="D2018" s="83" t="e">
        <f t="shared" si="247"/>
        <v>#N/A</v>
      </c>
      <c r="E2018" t="e">
        <f t="shared" si="243"/>
        <v>#N/A</v>
      </c>
      <c r="G2018">
        <v>1968</v>
      </c>
      <c r="H2018" s="13" t="e">
        <f t="shared" si="248"/>
        <v>#N/A</v>
      </c>
      <c r="I2018" t="e">
        <f t="shared" si="249"/>
        <v>#N/A</v>
      </c>
      <c r="J2018" t="e">
        <f t="shared" si="244"/>
        <v>#N/A</v>
      </c>
      <c r="K2018" s="27" t="e">
        <f t="shared" si="245"/>
        <v>#N/A</v>
      </c>
    </row>
    <row r="2019" spans="1:11">
      <c r="A2019" s="26">
        <v>1969</v>
      </c>
      <c r="B2019" s="82" t="e">
        <f t="shared" si="246"/>
        <v>#N/A</v>
      </c>
      <c r="C2019" s="58" t="e">
        <f t="shared" si="250"/>
        <v>#N/A</v>
      </c>
      <c r="D2019" s="83" t="e">
        <f t="shared" si="247"/>
        <v>#N/A</v>
      </c>
      <c r="E2019" t="e">
        <f t="shared" si="243"/>
        <v>#N/A</v>
      </c>
      <c r="G2019">
        <v>1969</v>
      </c>
      <c r="H2019" s="13" t="e">
        <f t="shared" si="248"/>
        <v>#N/A</v>
      </c>
      <c r="I2019" t="e">
        <f t="shared" si="249"/>
        <v>#N/A</v>
      </c>
      <c r="J2019" t="e">
        <f t="shared" si="244"/>
        <v>#N/A</v>
      </c>
      <c r="K2019" s="27" t="e">
        <f t="shared" si="245"/>
        <v>#N/A</v>
      </c>
    </row>
    <row r="2020" spans="1:11">
      <c r="A2020" s="26">
        <v>1970</v>
      </c>
      <c r="B2020" s="82" t="e">
        <f t="shared" si="246"/>
        <v>#N/A</v>
      </c>
      <c r="C2020" s="58" t="e">
        <f t="shared" si="250"/>
        <v>#N/A</v>
      </c>
      <c r="D2020" s="83" t="e">
        <f t="shared" si="247"/>
        <v>#N/A</v>
      </c>
      <c r="E2020" t="e">
        <f t="shared" si="243"/>
        <v>#N/A</v>
      </c>
      <c r="G2020">
        <v>1970</v>
      </c>
      <c r="H2020" s="13" t="e">
        <f t="shared" si="248"/>
        <v>#N/A</v>
      </c>
      <c r="I2020" t="e">
        <f t="shared" si="249"/>
        <v>#N/A</v>
      </c>
      <c r="J2020" t="e">
        <f t="shared" si="244"/>
        <v>#N/A</v>
      </c>
      <c r="K2020" s="27" t="e">
        <f t="shared" si="245"/>
        <v>#N/A</v>
      </c>
    </row>
    <row r="2021" spans="1:11">
      <c r="A2021" s="26">
        <v>1971</v>
      </c>
      <c r="B2021" s="82" t="e">
        <f t="shared" si="246"/>
        <v>#N/A</v>
      </c>
      <c r="C2021" s="58" t="e">
        <f t="shared" si="250"/>
        <v>#N/A</v>
      </c>
      <c r="D2021" s="83" t="e">
        <f t="shared" si="247"/>
        <v>#N/A</v>
      </c>
      <c r="E2021" t="e">
        <f t="shared" si="243"/>
        <v>#N/A</v>
      </c>
      <c r="G2021">
        <v>1971</v>
      </c>
      <c r="H2021" s="13" t="e">
        <f t="shared" si="248"/>
        <v>#N/A</v>
      </c>
      <c r="I2021" t="e">
        <f t="shared" si="249"/>
        <v>#N/A</v>
      </c>
      <c r="J2021" t="e">
        <f t="shared" si="244"/>
        <v>#N/A</v>
      </c>
      <c r="K2021" s="27" t="e">
        <f t="shared" si="245"/>
        <v>#N/A</v>
      </c>
    </row>
    <row r="2022" spans="1:11">
      <c r="A2022" s="26">
        <v>1972</v>
      </c>
      <c r="B2022" s="82" t="e">
        <f t="shared" si="246"/>
        <v>#N/A</v>
      </c>
      <c r="C2022" s="58" t="e">
        <f t="shared" si="250"/>
        <v>#N/A</v>
      </c>
      <c r="D2022" s="83" t="e">
        <f t="shared" si="247"/>
        <v>#N/A</v>
      </c>
      <c r="E2022" t="e">
        <f t="shared" si="243"/>
        <v>#N/A</v>
      </c>
      <c r="G2022">
        <v>1972</v>
      </c>
      <c r="H2022" s="13" t="e">
        <f t="shared" si="248"/>
        <v>#N/A</v>
      </c>
      <c r="I2022" t="e">
        <f t="shared" si="249"/>
        <v>#N/A</v>
      </c>
      <c r="J2022" t="e">
        <f t="shared" si="244"/>
        <v>#N/A</v>
      </c>
      <c r="K2022" s="27" t="e">
        <f t="shared" si="245"/>
        <v>#N/A</v>
      </c>
    </row>
    <row r="2023" spans="1:11">
      <c r="A2023" s="26">
        <v>1973</v>
      </c>
      <c r="B2023" s="82" t="e">
        <f t="shared" si="246"/>
        <v>#N/A</v>
      </c>
      <c r="C2023" s="58" t="e">
        <f t="shared" si="250"/>
        <v>#N/A</v>
      </c>
      <c r="D2023" s="83" t="e">
        <f t="shared" si="247"/>
        <v>#N/A</v>
      </c>
      <c r="E2023" t="e">
        <f t="shared" si="243"/>
        <v>#N/A</v>
      </c>
      <c r="G2023">
        <v>1973</v>
      </c>
      <c r="H2023" s="13" t="e">
        <f t="shared" si="248"/>
        <v>#N/A</v>
      </c>
      <c r="I2023" t="e">
        <f t="shared" si="249"/>
        <v>#N/A</v>
      </c>
      <c r="J2023" t="e">
        <f t="shared" si="244"/>
        <v>#N/A</v>
      </c>
      <c r="K2023" s="27" t="e">
        <f t="shared" si="245"/>
        <v>#N/A</v>
      </c>
    </row>
    <row r="2024" spans="1:11">
      <c r="A2024" s="26">
        <v>1974</v>
      </c>
      <c r="B2024" s="82" t="e">
        <f t="shared" si="246"/>
        <v>#N/A</v>
      </c>
      <c r="C2024" s="58" t="e">
        <f t="shared" si="250"/>
        <v>#N/A</v>
      </c>
      <c r="D2024" s="83" t="e">
        <f t="shared" si="247"/>
        <v>#N/A</v>
      </c>
      <c r="E2024" t="e">
        <f t="shared" si="243"/>
        <v>#N/A</v>
      </c>
      <c r="G2024">
        <v>1974</v>
      </c>
      <c r="H2024" s="13" t="e">
        <f t="shared" si="248"/>
        <v>#N/A</v>
      </c>
      <c r="I2024" t="e">
        <f t="shared" si="249"/>
        <v>#N/A</v>
      </c>
      <c r="J2024" t="e">
        <f t="shared" si="244"/>
        <v>#N/A</v>
      </c>
      <c r="K2024" s="27" t="e">
        <f t="shared" si="245"/>
        <v>#N/A</v>
      </c>
    </row>
    <row r="2025" spans="1:11">
      <c r="A2025" s="26">
        <v>1975</v>
      </c>
      <c r="B2025" s="82" t="e">
        <f t="shared" si="246"/>
        <v>#N/A</v>
      </c>
      <c r="C2025" s="58" t="e">
        <f t="shared" si="250"/>
        <v>#N/A</v>
      </c>
      <c r="D2025" s="83" t="e">
        <f t="shared" si="247"/>
        <v>#N/A</v>
      </c>
      <c r="E2025" t="e">
        <f t="shared" si="243"/>
        <v>#N/A</v>
      </c>
      <c r="G2025">
        <v>1975</v>
      </c>
      <c r="H2025" s="13" t="e">
        <f t="shared" si="248"/>
        <v>#N/A</v>
      </c>
      <c r="I2025" t="e">
        <f t="shared" si="249"/>
        <v>#N/A</v>
      </c>
      <c r="J2025" t="e">
        <f t="shared" si="244"/>
        <v>#N/A</v>
      </c>
      <c r="K2025" s="27" t="e">
        <f t="shared" si="245"/>
        <v>#N/A</v>
      </c>
    </row>
    <row r="2026" spans="1:11">
      <c r="A2026" s="26">
        <v>1976</v>
      </c>
      <c r="B2026" s="82" t="e">
        <f t="shared" si="246"/>
        <v>#N/A</v>
      </c>
      <c r="C2026" s="58" t="e">
        <f t="shared" si="250"/>
        <v>#N/A</v>
      </c>
      <c r="D2026" s="83" t="e">
        <f t="shared" si="247"/>
        <v>#N/A</v>
      </c>
      <c r="E2026" t="e">
        <f t="shared" si="243"/>
        <v>#N/A</v>
      </c>
      <c r="G2026">
        <v>1976</v>
      </c>
      <c r="H2026" s="13" t="e">
        <f t="shared" si="248"/>
        <v>#N/A</v>
      </c>
      <c r="I2026" t="e">
        <f t="shared" si="249"/>
        <v>#N/A</v>
      </c>
      <c r="J2026" t="e">
        <f t="shared" si="244"/>
        <v>#N/A</v>
      </c>
      <c r="K2026" s="27" t="e">
        <f t="shared" si="245"/>
        <v>#N/A</v>
      </c>
    </row>
    <row r="2027" spans="1:11">
      <c r="A2027" s="26">
        <v>1977</v>
      </c>
      <c r="B2027" s="82" t="e">
        <f t="shared" si="246"/>
        <v>#N/A</v>
      </c>
      <c r="C2027" s="58" t="e">
        <f t="shared" si="250"/>
        <v>#N/A</v>
      </c>
      <c r="D2027" s="83" t="e">
        <f t="shared" si="247"/>
        <v>#N/A</v>
      </c>
      <c r="E2027" t="e">
        <f t="shared" si="243"/>
        <v>#N/A</v>
      </c>
      <c r="G2027">
        <v>1977</v>
      </c>
      <c r="H2027" s="13" t="e">
        <f t="shared" si="248"/>
        <v>#N/A</v>
      </c>
      <c r="I2027" t="e">
        <f t="shared" si="249"/>
        <v>#N/A</v>
      </c>
      <c r="J2027" t="e">
        <f t="shared" si="244"/>
        <v>#N/A</v>
      </c>
      <c r="K2027" s="27" t="e">
        <f t="shared" si="245"/>
        <v>#N/A</v>
      </c>
    </row>
    <row r="2028" spans="1:11">
      <c r="A2028" s="26">
        <v>1978</v>
      </c>
      <c r="B2028" s="82" t="e">
        <f t="shared" si="246"/>
        <v>#N/A</v>
      </c>
      <c r="C2028" s="58" t="e">
        <f t="shared" si="250"/>
        <v>#N/A</v>
      </c>
      <c r="D2028" s="83" t="e">
        <f t="shared" si="247"/>
        <v>#N/A</v>
      </c>
      <c r="E2028" t="e">
        <f t="shared" si="243"/>
        <v>#N/A</v>
      </c>
      <c r="G2028">
        <v>1978</v>
      </c>
      <c r="H2028" s="13" t="e">
        <f t="shared" si="248"/>
        <v>#N/A</v>
      </c>
      <c r="I2028" t="e">
        <f t="shared" si="249"/>
        <v>#N/A</v>
      </c>
      <c r="J2028" t="e">
        <f t="shared" si="244"/>
        <v>#N/A</v>
      </c>
      <c r="K2028" s="27" t="e">
        <f t="shared" si="245"/>
        <v>#N/A</v>
      </c>
    </row>
    <row r="2029" spans="1:11">
      <c r="A2029" s="26">
        <v>1979</v>
      </c>
      <c r="B2029" s="82" t="e">
        <f t="shared" si="246"/>
        <v>#N/A</v>
      </c>
      <c r="C2029" s="58" t="e">
        <f t="shared" si="250"/>
        <v>#N/A</v>
      </c>
      <c r="D2029" s="83" t="e">
        <f t="shared" si="247"/>
        <v>#N/A</v>
      </c>
      <c r="E2029" t="e">
        <f t="shared" si="243"/>
        <v>#N/A</v>
      </c>
      <c r="G2029">
        <v>1979</v>
      </c>
      <c r="H2029" s="13" t="e">
        <f t="shared" si="248"/>
        <v>#N/A</v>
      </c>
      <c r="I2029" t="e">
        <f t="shared" si="249"/>
        <v>#N/A</v>
      </c>
      <c r="J2029" t="e">
        <f t="shared" si="244"/>
        <v>#N/A</v>
      </c>
      <c r="K2029" s="27" t="e">
        <f t="shared" si="245"/>
        <v>#N/A</v>
      </c>
    </row>
    <row r="2030" spans="1:11">
      <c r="A2030" s="26">
        <v>1980</v>
      </c>
      <c r="B2030" s="82" t="e">
        <f t="shared" si="246"/>
        <v>#N/A</v>
      </c>
      <c r="C2030" s="58" t="e">
        <f t="shared" si="250"/>
        <v>#N/A</v>
      </c>
      <c r="D2030" s="83" t="e">
        <f t="shared" si="247"/>
        <v>#N/A</v>
      </c>
      <c r="E2030" t="e">
        <f t="shared" si="243"/>
        <v>#N/A</v>
      </c>
      <c r="G2030">
        <v>1980</v>
      </c>
      <c r="H2030" s="13" t="e">
        <f t="shared" si="248"/>
        <v>#N/A</v>
      </c>
      <c r="I2030" t="e">
        <f t="shared" si="249"/>
        <v>#N/A</v>
      </c>
      <c r="J2030" t="e">
        <f t="shared" si="244"/>
        <v>#N/A</v>
      </c>
      <c r="K2030" s="27" t="e">
        <f t="shared" si="245"/>
        <v>#N/A</v>
      </c>
    </row>
    <row r="2031" spans="1:11">
      <c r="A2031" s="26">
        <v>1981</v>
      </c>
      <c r="B2031" s="82" t="e">
        <f t="shared" si="246"/>
        <v>#N/A</v>
      </c>
      <c r="C2031" s="58" t="e">
        <f t="shared" si="250"/>
        <v>#N/A</v>
      </c>
      <c r="D2031" s="83" t="e">
        <f t="shared" si="247"/>
        <v>#N/A</v>
      </c>
      <c r="E2031" t="e">
        <f t="shared" si="243"/>
        <v>#N/A</v>
      </c>
      <c r="G2031">
        <v>1981</v>
      </c>
      <c r="H2031" s="13" t="e">
        <f t="shared" si="248"/>
        <v>#N/A</v>
      </c>
      <c r="I2031" t="e">
        <f t="shared" si="249"/>
        <v>#N/A</v>
      </c>
      <c r="J2031" t="e">
        <f t="shared" si="244"/>
        <v>#N/A</v>
      </c>
      <c r="K2031" s="27" t="e">
        <f t="shared" si="245"/>
        <v>#N/A</v>
      </c>
    </row>
    <row r="2032" spans="1:11">
      <c r="A2032" s="26">
        <v>1982</v>
      </c>
      <c r="B2032" s="82" t="e">
        <f t="shared" si="246"/>
        <v>#N/A</v>
      </c>
      <c r="C2032" s="58" t="e">
        <f t="shared" si="250"/>
        <v>#N/A</v>
      </c>
      <c r="D2032" s="83" t="e">
        <f t="shared" si="247"/>
        <v>#N/A</v>
      </c>
      <c r="E2032" t="e">
        <f t="shared" si="243"/>
        <v>#N/A</v>
      </c>
      <c r="G2032">
        <v>1982</v>
      </c>
      <c r="H2032" s="13" t="e">
        <f t="shared" si="248"/>
        <v>#N/A</v>
      </c>
      <c r="I2032" t="e">
        <f t="shared" si="249"/>
        <v>#N/A</v>
      </c>
      <c r="J2032" t="e">
        <f t="shared" si="244"/>
        <v>#N/A</v>
      </c>
      <c r="K2032" s="27" t="e">
        <f t="shared" si="245"/>
        <v>#N/A</v>
      </c>
    </row>
    <row r="2033" spans="1:11">
      <c r="A2033" s="26">
        <v>1983</v>
      </c>
      <c r="B2033" s="82" t="e">
        <f t="shared" si="246"/>
        <v>#N/A</v>
      </c>
      <c r="C2033" s="58" t="e">
        <f t="shared" si="250"/>
        <v>#N/A</v>
      </c>
      <c r="D2033" s="83" t="e">
        <f t="shared" si="247"/>
        <v>#N/A</v>
      </c>
      <c r="E2033" t="e">
        <f t="shared" si="243"/>
        <v>#N/A</v>
      </c>
      <c r="G2033">
        <v>1983</v>
      </c>
      <c r="H2033" s="13" t="e">
        <f t="shared" si="248"/>
        <v>#N/A</v>
      </c>
      <c r="I2033" t="e">
        <f t="shared" si="249"/>
        <v>#N/A</v>
      </c>
      <c r="J2033" t="e">
        <f t="shared" si="244"/>
        <v>#N/A</v>
      </c>
      <c r="K2033" s="27" t="e">
        <f t="shared" si="245"/>
        <v>#N/A</v>
      </c>
    </row>
    <row r="2034" spans="1:11">
      <c r="A2034" s="26">
        <v>1984</v>
      </c>
      <c r="B2034" s="82" t="e">
        <f t="shared" si="246"/>
        <v>#N/A</v>
      </c>
      <c r="C2034" s="58" t="e">
        <f t="shared" si="250"/>
        <v>#N/A</v>
      </c>
      <c r="D2034" s="83" t="e">
        <f t="shared" si="247"/>
        <v>#N/A</v>
      </c>
      <c r="E2034" t="e">
        <f t="shared" si="243"/>
        <v>#N/A</v>
      </c>
      <c r="G2034">
        <v>1984</v>
      </c>
      <c r="H2034" s="13" t="e">
        <f t="shared" si="248"/>
        <v>#N/A</v>
      </c>
      <c r="I2034" t="e">
        <f t="shared" si="249"/>
        <v>#N/A</v>
      </c>
      <c r="J2034" t="e">
        <f t="shared" si="244"/>
        <v>#N/A</v>
      </c>
      <c r="K2034" s="27" t="e">
        <f t="shared" si="245"/>
        <v>#N/A</v>
      </c>
    </row>
    <row r="2035" spans="1:11">
      <c r="A2035" s="26">
        <v>1985</v>
      </c>
      <c r="B2035" s="82" t="e">
        <f t="shared" si="246"/>
        <v>#N/A</v>
      </c>
      <c r="C2035" s="58" t="e">
        <f t="shared" si="250"/>
        <v>#N/A</v>
      </c>
      <c r="D2035" s="83" t="e">
        <f t="shared" si="247"/>
        <v>#N/A</v>
      </c>
      <c r="E2035" t="e">
        <f t="shared" ref="E2035:E2049" si="251">((D2035^2)+(D2035*D2036)+(D2036^2))*B2036/3</f>
        <v>#N/A</v>
      </c>
      <c r="G2035">
        <v>1985</v>
      </c>
      <c r="H2035" s="13" t="e">
        <f t="shared" si="248"/>
        <v>#N/A</v>
      </c>
      <c r="I2035" t="e">
        <f t="shared" si="249"/>
        <v>#N/A</v>
      </c>
      <c r="J2035" t="e">
        <f t="shared" ref="J2035:J2049" si="252">IF($G$28&lt;$C$14,0,((($C$11^2)-((I2035-$C$13)^2))^0.5)+$C$16)</f>
        <v>#N/A</v>
      </c>
      <c r="K2035" s="27" t="e">
        <f t="shared" ref="K2035:K2048" si="253">((J2035^2)+(J2035*J2036)+(J2036^2))*H2036/3</f>
        <v>#N/A</v>
      </c>
    </row>
    <row r="2036" spans="1:11">
      <c r="A2036" s="26">
        <v>1986</v>
      </c>
      <c r="B2036" s="82" t="e">
        <f t="shared" ref="B2036:B2049" si="254">C2036-C2035</f>
        <v>#N/A</v>
      </c>
      <c r="C2036" s="58" t="e">
        <f t="shared" si="250"/>
        <v>#N/A</v>
      </c>
      <c r="D2036" s="83" t="e">
        <f t="shared" ref="D2036:D2049" si="255">IF($G$28&lt;$C$14,0,((($C$11^2)-((C2036-$C$13)^2))^0.5)+$C$16)</f>
        <v>#N/A</v>
      </c>
      <c r="E2036" t="e">
        <f t="shared" si="251"/>
        <v>#N/A</v>
      </c>
      <c r="G2036">
        <v>1986</v>
      </c>
      <c r="H2036" s="13" t="e">
        <f t="shared" ref="H2036:H2049" si="256">I2036-I2035</f>
        <v>#N/A</v>
      </c>
      <c r="I2036" t="e">
        <f t="shared" ref="I2036:I2049" si="257">($G$27-$C$14)/2000+I2035</f>
        <v>#N/A</v>
      </c>
      <c r="J2036" t="e">
        <f t="shared" si="252"/>
        <v>#N/A</v>
      </c>
      <c r="K2036" s="27" t="e">
        <f t="shared" si="253"/>
        <v>#N/A</v>
      </c>
    </row>
    <row r="2037" spans="1:11">
      <c r="A2037" s="26">
        <v>1987</v>
      </c>
      <c r="B2037" s="82" t="e">
        <f t="shared" si="254"/>
        <v>#N/A</v>
      </c>
      <c r="C2037" s="58" t="e">
        <f t="shared" si="250"/>
        <v>#N/A</v>
      </c>
      <c r="D2037" s="83" t="e">
        <f t="shared" si="255"/>
        <v>#N/A</v>
      </c>
      <c r="E2037" t="e">
        <f t="shared" si="251"/>
        <v>#N/A</v>
      </c>
      <c r="G2037">
        <v>1987</v>
      </c>
      <c r="H2037" s="13" t="e">
        <f t="shared" si="256"/>
        <v>#N/A</v>
      </c>
      <c r="I2037" t="e">
        <f t="shared" si="257"/>
        <v>#N/A</v>
      </c>
      <c r="J2037" t="e">
        <f t="shared" si="252"/>
        <v>#N/A</v>
      </c>
      <c r="K2037" s="27" t="e">
        <f t="shared" si="253"/>
        <v>#N/A</v>
      </c>
    </row>
    <row r="2038" spans="1:11">
      <c r="A2038" s="26">
        <v>1988</v>
      </c>
      <c r="B2038" s="82" t="e">
        <f t="shared" si="254"/>
        <v>#N/A</v>
      </c>
      <c r="C2038" s="58" t="e">
        <f t="shared" si="250"/>
        <v>#N/A</v>
      </c>
      <c r="D2038" s="83" t="e">
        <f t="shared" si="255"/>
        <v>#N/A</v>
      </c>
      <c r="E2038" t="e">
        <f t="shared" si="251"/>
        <v>#N/A</v>
      </c>
      <c r="G2038">
        <v>1988</v>
      </c>
      <c r="H2038" s="13" t="e">
        <f t="shared" si="256"/>
        <v>#N/A</v>
      </c>
      <c r="I2038" t="e">
        <f t="shared" si="257"/>
        <v>#N/A</v>
      </c>
      <c r="J2038" t="e">
        <f t="shared" si="252"/>
        <v>#N/A</v>
      </c>
      <c r="K2038" s="27" t="e">
        <f t="shared" si="253"/>
        <v>#N/A</v>
      </c>
    </row>
    <row r="2039" spans="1:11">
      <c r="A2039" s="26">
        <v>1989</v>
      </c>
      <c r="B2039" s="82" t="e">
        <f t="shared" si="254"/>
        <v>#N/A</v>
      </c>
      <c r="C2039" s="58" t="e">
        <f t="shared" si="250"/>
        <v>#N/A</v>
      </c>
      <c r="D2039" s="83" t="e">
        <f t="shared" si="255"/>
        <v>#N/A</v>
      </c>
      <c r="E2039" t="e">
        <f t="shared" si="251"/>
        <v>#N/A</v>
      </c>
      <c r="G2039">
        <v>1989</v>
      </c>
      <c r="H2039" s="13" t="e">
        <f t="shared" si="256"/>
        <v>#N/A</v>
      </c>
      <c r="I2039" t="e">
        <f t="shared" si="257"/>
        <v>#N/A</v>
      </c>
      <c r="J2039" t="e">
        <f t="shared" si="252"/>
        <v>#N/A</v>
      </c>
      <c r="K2039" s="27" t="e">
        <f t="shared" si="253"/>
        <v>#N/A</v>
      </c>
    </row>
    <row r="2040" spans="1:11">
      <c r="A2040" s="26">
        <v>1990</v>
      </c>
      <c r="B2040" s="82" t="e">
        <f t="shared" si="254"/>
        <v>#N/A</v>
      </c>
      <c r="C2040" s="58" t="e">
        <f t="shared" si="250"/>
        <v>#N/A</v>
      </c>
      <c r="D2040" s="83" t="e">
        <f t="shared" si="255"/>
        <v>#N/A</v>
      </c>
      <c r="E2040" t="e">
        <f t="shared" si="251"/>
        <v>#N/A</v>
      </c>
      <c r="G2040">
        <v>1990</v>
      </c>
      <c r="H2040" s="13" t="e">
        <f t="shared" si="256"/>
        <v>#N/A</v>
      </c>
      <c r="I2040" t="e">
        <f t="shared" si="257"/>
        <v>#N/A</v>
      </c>
      <c r="J2040" t="e">
        <f t="shared" si="252"/>
        <v>#N/A</v>
      </c>
      <c r="K2040" s="27" t="e">
        <f t="shared" si="253"/>
        <v>#N/A</v>
      </c>
    </row>
    <row r="2041" spans="1:11">
      <c r="A2041" s="26">
        <v>1991</v>
      </c>
      <c r="B2041" s="82" t="e">
        <f t="shared" si="254"/>
        <v>#N/A</v>
      </c>
      <c r="C2041" s="58" t="e">
        <f t="shared" si="250"/>
        <v>#N/A</v>
      </c>
      <c r="D2041" s="83" t="e">
        <f t="shared" si="255"/>
        <v>#N/A</v>
      </c>
      <c r="E2041" t="e">
        <f t="shared" si="251"/>
        <v>#N/A</v>
      </c>
      <c r="G2041">
        <v>1991</v>
      </c>
      <c r="H2041" s="13" t="e">
        <f t="shared" si="256"/>
        <v>#N/A</v>
      </c>
      <c r="I2041" t="e">
        <f t="shared" si="257"/>
        <v>#N/A</v>
      </c>
      <c r="J2041" t="e">
        <f t="shared" si="252"/>
        <v>#N/A</v>
      </c>
      <c r="K2041" s="27" t="e">
        <f t="shared" si="253"/>
        <v>#N/A</v>
      </c>
    </row>
    <row r="2042" spans="1:11">
      <c r="A2042" s="26">
        <v>1992</v>
      </c>
      <c r="B2042" s="82" t="e">
        <f t="shared" si="254"/>
        <v>#N/A</v>
      </c>
      <c r="C2042" s="58" t="e">
        <f t="shared" si="250"/>
        <v>#N/A</v>
      </c>
      <c r="D2042" s="83" t="e">
        <f t="shared" si="255"/>
        <v>#N/A</v>
      </c>
      <c r="E2042" t="e">
        <f t="shared" si="251"/>
        <v>#N/A</v>
      </c>
      <c r="G2042">
        <v>1992</v>
      </c>
      <c r="H2042" s="13" t="e">
        <f t="shared" si="256"/>
        <v>#N/A</v>
      </c>
      <c r="I2042" t="e">
        <f t="shared" si="257"/>
        <v>#N/A</v>
      </c>
      <c r="J2042" t="e">
        <f t="shared" si="252"/>
        <v>#N/A</v>
      </c>
      <c r="K2042" s="27" t="e">
        <f t="shared" si="253"/>
        <v>#N/A</v>
      </c>
    </row>
    <row r="2043" spans="1:11">
      <c r="A2043" s="26">
        <v>1993</v>
      </c>
      <c r="B2043" s="82" t="e">
        <f t="shared" si="254"/>
        <v>#N/A</v>
      </c>
      <c r="C2043" s="58" t="e">
        <f t="shared" si="250"/>
        <v>#N/A</v>
      </c>
      <c r="D2043" s="83" t="e">
        <f t="shared" si="255"/>
        <v>#N/A</v>
      </c>
      <c r="E2043" t="e">
        <f t="shared" si="251"/>
        <v>#N/A</v>
      </c>
      <c r="G2043">
        <v>1993</v>
      </c>
      <c r="H2043" s="13" t="e">
        <f t="shared" si="256"/>
        <v>#N/A</v>
      </c>
      <c r="I2043" t="e">
        <f t="shared" si="257"/>
        <v>#N/A</v>
      </c>
      <c r="J2043" t="e">
        <f t="shared" si="252"/>
        <v>#N/A</v>
      </c>
      <c r="K2043" s="27" t="e">
        <f t="shared" si="253"/>
        <v>#N/A</v>
      </c>
    </row>
    <row r="2044" spans="1:11">
      <c r="A2044" s="26">
        <v>1994</v>
      </c>
      <c r="B2044" s="82" t="e">
        <f t="shared" si="254"/>
        <v>#N/A</v>
      </c>
      <c r="C2044" s="58" t="e">
        <f t="shared" si="250"/>
        <v>#N/A</v>
      </c>
      <c r="D2044" s="83" t="e">
        <f t="shared" si="255"/>
        <v>#N/A</v>
      </c>
      <c r="E2044" t="e">
        <f t="shared" si="251"/>
        <v>#N/A</v>
      </c>
      <c r="G2044">
        <v>1994</v>
      </c>
      <c r="H2044" s="13" t="e">
        <f t="shared" si="256"/>
        <v>#N/A</v>
      </c>
      <c r="I2044" t="e">
        <f t="shared" si="257"/>
        <v>#N/A</v>
      </c>
      <c r="J2044" t="e">
        <f t="shared" si="252"/>
        <v>#N/A</v>
      </c>
      <c r="K2044" s="27" t="e">
        <f t="shared" si="253"/>
        <v>#N/A</v>
      </c>
    </row>
    <row r="2045" spans="1:11">
      <c r="A2045" s="26">
        <v>1995</v>
      </c>
      <c r="B2045" s="82" t="e">
        <f t="shared" si="254"/>
        <v>#N/A</v>
      </c>
      <c r="C2045" s="58" t="e">
        <f t="shared" si="250"/>
        <v>#N/A</v>
      </c>
      <c r="D2045" s="83" t="e">
        <f t="shared" si="255"/>
        <v>#N/A</v>
      </c>
      <c r="E2045" t="e">
        <f t="shared" si="251"/>
        <v>#N/A</v>
      </c>
      <c r="G2045">
        <v>1995</v>
      </c>
      <c r="H2045" s="13" t="e">
        <f t="shared" si="256"/>
        <v>#N/A</v>
      </c>
      <c r="I2045" t="e">
        <f t="shared" si="257"/>
        <v>#N/A</v>
      </c>
      <c r="J2045" t="e">
        <f t="shared" si="252"/>
        <v>#N/A</v>
      </c>
      <c r="K2045" s="27" t="e">
        <f t="shared" si="253"/>
        <v>#N/A</v>
      </c>
    </row>
    <row r="2046" spans="1:11">
      <c r="A2046" s="26">
        <v>1996</v>
      </c>
      <c r="B2046" s="82" t="e">
        <f t="shared" si="254"/>
        <v>#N/A</v>
      </c>
      <c r="C2046" s="58" t="e">
        <f t="shared" si="250"/>
        <v>#N/A</v>
      </c>
      <c r="D2046" s="83" t="e">
        <f t="shared" si="255"/>
        <v>#N/A</v>
      </c>
      <c r="E2046" t="e">
        <f t="shared" si="251"/>
        <v>#N/A</v>
      </c>
      <c r="G2046">
        <v>1996</v>
      </c>
      <c r="H2046" s="13" t="e">
        <f t="shared" si="256"/>
        <v>#N/A</v>
      </c>
      <c r="I2046" t="e">
        <f t="shared" si="257"/>
        <v>#N/A</v>
      </c>
      <c r="J2046" t="e">
        <f t="shared" si="252"/>
        <v>#N/A</v>
      </c>
      <c r="K2046" s="27" t="e">
        <f t="shared" si="253"/>
        <v>#N/A</v>
      </c>
    </row>
    <row r="2047" spans="1:11">
      <c r="A2047" s="26">
        <v>1997</v>
      </c>
      <c r="B2047" s="82" t="e">
        <f t="shared" si="254"/>
        <v>#N/A</v>
      </c>
      <c r="C2047" s="58" t="e">
        <f t="shared" si="250"/>
        <v>#N/A</v>
      </c>
      <c r="D2047" s="83" t="e">
        <f t="shared" si="255"/>
        <v>#N/A</v>
      </c>
      <c r="E2047" t="e">
        <f t="shared" si="251"/>
        <v>#N/A</v>
      </c>
      <c r="G2047">
        <v>1997</v>
      </c>
      <c r="H2047" s="13" t="e">
        <f t="shared" si="256"/>
        <v>#N/A</v>
      </c>
      <c r="I2047" t="e">
        <f t="shared" si="257"/>
        <v>#N/A</v>
      </c>
      <c r="J2047" t="e">
        <f t="shared" si="252"/>
        <v>#N/A</v>
      </c>
      <c r="K2047" s="27" t="e">
        <f t="shared" si="253"/>
        <v>#N/A</v>
      </c>
    </row>
    <row r="2048" spans="1:11">
      <c r="A2048" s="26">
        <v>1998</v>
      </c>
      <c r="B2048" s="82" t="e">
        <f t="shared" si="254"/>
        <v>#N/A</v>
      </c>
      <c r="C2048" s="58" t="e">
        <f t="shared" si="250"/>
        <v>#N/A</v>
      </c>
      <c r="D2048" s="83" t="e">
        <f t="shared" si="255"/>
        <v>#N/A</v>
      </c>
      <c r="E2048" t="e">
        <f t="shared" si="251"/>
        <v>#N/A</v>
      </c>
      <c r="G2048">
        <v>1998</v>
      </c>
      <c r="H2048" s="13" t="e">
        <f t="shared" si="256"/>
        <v>#N/A</v>
      </c>
      <c r="I2048" t="e">
        <f t="shared" si="257"/>
        <v>#N/A</v>
      </c>
      <c r="J2048" t="e">
        <f t="shared" si="252"/>
        <v>#N/A</v>
      </c>
      <c r="K2048" s="27" t="e">
        <f t="shared" si="253"/>
        <v>#N/A</v>
      </c>
    </row>
    <row r="2049" spans="1:11" ht="16" thickBot="1">
      <c r="A2049" s="28">
        <v>1999</v>
      </c>
      <c r="B2049" s="80" t="e">
        <f t="shared" si="254"/>
        <v>#N/A</v>
      </c>
      <c r="C2049" s="60" t="e">
        <f t="shared" si="250"/>
        <v>#N/A</v>
      </c>
      <c r="D2049" s="81" t="e">
        <f t="shared" si="255"/>
        <v>#N/A</v>
      </c>
      <c r="E2049" s="59" t="e">
        <f t="shared" si="251"/>
        <v>#N/A</v>
      </c>
      <c r="F2049" s="59"/>
      <c r="G2049" s="59">
        <v>1999</v>
      </c>
      <c r="H2049" s="13" t="e">
        <f t="shared" si="256"/>
        <v>#N/A</v>
      </c>
      <c r="I2049" s="59" t="e">
        <f t="shared" si="257"/>
        <v>#N/A</v>
      </c>
      <c r="J2049" s="59" t="e">
        <f t="shared" si="252"/>
        <v>#N/A</v>
      </c>
      <c r="K2049" s="29"/>
    </row>
  </sheetData>
  <mergeCells count="11">
    <mergeCell ref="B29:C29"/>
    <mergeCell ref="F29:G29"/>
    <mergeCell ref="A48:E48"/>
    <mergeCell ref="G48:K48"/>
    <mergeCell ref="A47:K47"/>
    <mergeCell ref="M2:R2"/>
    <mergeCell ref="A3:F3"/>
    <mergeCell ref="A7:F7"/>
    <mergeCell ref="A18:F18"/>
    <mergeCell ref="A24:C24"/>
    <mergeCell ref="E24:G2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H6" sqref="H6"/>
    </sheetView>
  </sheetViews>
  <sheetFormatPr baseColWidth="10" defaultColWidth="8.83203125" defaultRowHeight="15"/>
  <cols>
    <col min="2" max="2" width="29" customWidth="1"/>
    <col min="3" max="4" width="19.5" customWidth="1"/>
    <col min="5" max="5" width="19.33203125" customWidth="1"/>
    <col min="6" max="6" width="19.6640625" customWidth="1"/>
    <col min="7" max="7" width="17.5" customWidth="1"/>
    <col min="8" max="8" width="15" customWidth="1"/>
    <col min="10" max="10" width="16.6640625" customWidth="1"/>
  </cols>
  <sheetData>
    <row r="1" spans="1:8">
      <c r="A1" t="s">
        <v>282</v>
      </c>
      <c r="B1" t="s">
        <v>278</v>
      </c>
      <c r="C1" t="s">
        <v>68</v>
      </c>
      <c r="D1" t="s">
        <v>1</v>
      </c>
      <c r="E1" t="s">
        <v>279</v>
      </c>
      <c r="F1" t="s">
        <v>280</v>
      </c>
      <c r="G1" t="s">
        <v>281</v>
      </c>
      <c r="H1" t="s">
        <v>351</v>
      </c>
    </row>
    <row r="2" spans="1:8" ht="32">
      <c r="A2" t="s">
        <v>206</v>
      </c>
      <c r="B2" s="53" t="s">
        <v>283</v>
      </c>
      <c r="C2">
        <f>$D$2+2*(Input!$D$10)</f>
        <v>1460</v>
      </c>
      <c r="D2">
        <f>Input!$D$9</f>
        <v>1450</v>
      </c>
      <c r="E2">
        <f>$C$2</f>
        <v>1460</v>
      </c>
      <c r="F2">
        <f>0.1*$C$2</f>
        <v>146</v>
      </c>
      <c r="G2" s="82">
        <f>0.1935*$C$2-0.455*Input!$D$10</f>
        <v>280.23500000000001</v>
      </c>
      <c r="H2" s="82">
        <f>(0.098983*Tabell2[[#This Row],[Inner diameter]]^3)/1000000</f>
        <v>301.76204837500001</v>
      </c>
    </row>
    <row r="3" spans="1:8" ht="32">
      <c r="A3" t="s">
        <v>207</v>
      </c>
      <c r="B3" s="53" t="s">
        <v>284</v>
      </c>
      <c r="C3">
        <f>$D$2+2*(Input!$D$10)</f>
        <v>1460</v>
      </c>
      <c r="D3">
        <f>Input!$D$9</f>
        <v>1450</v>
      </c>
      <c r="E3" s="82">
        <f>0.8*$C$3</f>
        <v>1168</v>
      </c>
      <c r="F3" s="82">
        <f>0.154*$C$3</f>
        <v>224.84</v>
      </c>
      <c r="G3" s="82">
        <f>0.255*$C$3-0.635*Input!$D$10</f>
        <v>369.125</v>
      </c>
      <c r="H3" s="82">
        <f>(0.1298*Tabell2[[#This Row],[Inner diameter]]^3)/1000000</f>
        <v>395.71152499999999</v>
      </c>
    </row>
    <row r="4" spans="1:8">
      <c r="A4" t="s">
        <v>208</v>
      </c>
      <c r="B4" t="s">
        <v>285</v>
      </c>
      <c r="C4">
        <f>$D$2+2*(Input!$D$10)</f>
        <v>1460</v>
      </c>
      <c r="D4">
        <f>Input!$D$9</f>
        <v>1450</v>
      </c>
      <c r="E4" s="82">
        <f>$C$4</f>
        <v>1460</v>
      </c>
      <c r="F4" s="82">
        <f>0.05*$C$4</f>
        <v>73</v>
      </c>
      <c r="G4" s="82">
        <f>0.1675*$C$4-Input!$D$10</f>
        <v>239.55</v>
      </c>
      <c r="H4" s="82">
        <f>(0.076435*Tabell2[[#This Row],[Inner diameter]]^3)/1000000</f>
        <v>233.021651875</v>
      </c>
    </row>
    <row r="5" spans="1:8">
      <c r="A5" t="s">
        <v>209</v>
      </c>
      <c r="B5" t="s">
        <v>286</v>
      </c>
      <c r="C5">
        <f>$D$2+2*(Input!$D$10)</f>
        <v>1460</v>
      </c>
      <c r="D5">
        <f>Input!$D$9</f>
        <v>1450</v>
      </c>
      <c r="E5" s="82">
        <f>0.875*$C$5</f>
        <v>1277.5</v>
      </c>
      <c r="F5" s="82">
        <f>0.08*$C$5</f>
        <v>116.8</v>
      </c>
      <c r="G5" s="82">
        <f>0.205*$C$5-Input!$D$10</f>
        <v>294.29999999999995</v>
      </c>
      <c r="H5" s="82">
        <f>(0.09653*Tabell2[[#This Row],[Inner diameter]]^3)/1000000</f>
        <v>294.28377124999997</v>
      </c>
    </row>
    <row r="6" spans="1:8">
      <c r="A6" t="s">
        <v>210</v>
      </c>
      <c r="B6" t="s">
        <v>287</v>
      </c>
      <c r="C6">
        <f>$D$2+2*(Input!$D$10)</f>
        <v>1460</v>
      </c>
      <c r="D6">
        <f>Input!$D$9</f>
        <v>1450</v>
      </c>
      <c r="E6" s="82">
        <f>0.9*$D$6</f>
        <v>1305</v>
      </c>
      <c r="F6" s="82">
        <f>0.17*$D$6</f>
        <v>246.50000000000003</v>
      </c>
      <c r="G6" s="82">
        <f>0.25*$D$6</f>
        <v>362.5</v>
      </c>
      <c r="H6" s="82">
        <f>(0.132842*Tabell2[[#This Row],[Inner diameter]]^3)/1000000</f>
        <v>404.98544224999995</v>
      </c>
    </row>
    <row r="7" spans="1:8">
      <c r="A7" t="s">
        <v>211</v>
      </c>
      <c r="B7" t="s">
        <v>288</v>
      </c>
      <c r="C7">
        <f>$D$2+2*(Input!$D$10)</f>
        <v>1460</v>
      </c>
      <c r="D7">
        <f>Input!$D$9</f>
        <v>1450</v>
      </c>
      <c r="E7" s="82">
        <f>$D$7/1.16</f>
        <v>1250</v>
      </c>
      <c r="F7" s="82">
        <f>$D$7/5.39</f>
        <v>269.01669758812619</v>
      </c>
      <c r="G7" s="82">
        <f>$D$7/3.8</f>
        <v>381.5789473684211</v>
      </c>
      <c r="H7" s="82">
        <f>(0.1405496*Tabell2[[#This Row],[Inner diameter]]^3)/1000000</f>
        <v>428.48302430000001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dimension ref="A1:U43"/>
  <sheetViews>
    <sheetView topLeftCell="A6" workbookViewId="0">
      <selection activeCell="H6" sqref="H6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9.5" customWidth="1"/>
    <col min="5" max="5" width="107.1640625" customWidth="1"/>
    <col min="6" max="6" width="13.33203125" customWidth="1"/>
    <col min="7" max="7" width="19.1640625" customWidth="1"/>
    <col min="9" max="9" width="9.6640625" customWidth="1"/>
  </cols>
  <sheetData>
    <row r="1" spans="1:21" ht="19">
      <c r="A1" s="109" t="s">
        <v>165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2">
      <c r="A3" t="s">
        <v>352</v>
      </c>
      <c r="B3" s="53" t="s">
        <v>283</v>
      </c>
      <c r="D3" s="7"/>
      <c r="E3" s="7"/>
      <c r="F3" s="281" t="s">
        <v>295</v>
      </c>
      <c r="G3" s="281"/>
      <c r="H3" s="7"/>
      <c r="J3" t="s">
        <v>354</v>
      </c>
      <c r="K3" t="s">
        <v>300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33">
      <c r="A4" s="4" t="s">
        <v>13</v>
      </c>
      <c r="B4" s="5">
        <f>Input!$D$12</f>
        <v>2990</v>
      </c>
      <c r="C4" s="6" t="s">
        <v>12</v>
      </c>
      <c r="D4" s="7"/>
      <c r="E4" s="7"/>
      <c r="F4" s="201" t="s">
        <v>289</v>
      </c>
      <c r="G4" s="141">
        <f>IF(Input!$D$10=0,5,Input!$D$10)</f>
        <v>5</v>
      </c>
      <c r="H4" s="7"/>
      <c r="I4" s="3" t="s">
        <v>350</v>
      </c>
      <c r="J4" s="93">
        <f>Tabell2[[#This Row],[Vol dish]]</f>
        <v>233.021651875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33">
      <c r="A5" s="8" t="s">
        <v>1</v>
      </c>
      <c r="B5" s="9">
        <f>Input!$D$9</f>
        <v>1450</v>
      </c>
      <c r="C5" s="10" t="s">
        <v>7</v>
      </c>
      <c r="D5" s="11"/>
      <c r="E5" s="11"/>
      <c r="F5" s="201" t="s">
        <v>292</v>
      </c>
      <c r="G5" s="141">
        <f>'Vessel Dish Type List (IGNORE!)'!$D$2</f>
        <v>1450</v>
      </c>
      <c r="H5" s="11"/>
      <c r="I5" s="3" t="s">
        <v>305</v>
      </c>
      <c r="J5" s="93" t="e">
        <f>$B$7-SQRT(($B$7)^2-($B$11)^2)</f>
        <v>#VALUE!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9">
      <c r="A6" s="8" t="s">
        <v>356</v>
      </c>
      <c r="B6" s="9">
        <f>$B$5/2</f>
        <v>725</v>
      </c>
      <c r="C6" s="10" t="s">
        <v>7</v>
      </c>
      <c r="D6" s="11"/>
      <c r="E6" s="11"/>
      <c r="F6" s="201"/>
      <c r="G6" s="141"/>
      <c r="H6" s="11"/>
      <c r="I6" s="3"/>
      <c r="J6" s="93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9">
      <c r="A7" s="8" t="s">
        <v>15</v>
      </c>
      <c r="B7" s="9">
        <f>IF(Input!$D$10=0,5,Input!$D$10)</f>
        <v>5</v>
      </c>
      <c r="C7" s="1" t="s">
        <v>7</v>
      </c>
      <c r="F7" s="201" t="s">
        <v>304</v>
      </c>
      <c r="G7" s="141" t="e">
        <f>$B$3/2</f>
        <v>#VALUE!</v>
      </c>
      <c r="I7" s="3" t="s">
        <v>313</v>
      </c>
      <c r="J7" s="37" t="e">
        <f>ASIN(($B$11/2)/$B$7)*(180/PI())</f>
        <v>#VALUE!</v>
      </c>
      <c r="N7" s="82"/>
      <c r="O7" s="83"/>
      <c r="Q7" s="12"/>
      <c r="R7" s="13"/>
      <c r="S7" s="111"/>
      <c r="U7" s="12"/>
    </row>
    <row r="8" spans="1:21" ht="19">
      <c r="A8" s="8" t="s">
        <v>357</v>
      </c>
      <c r="B8" s="9">
        <f>VLOOKUP($B$3,Tabell2[[Dish Head Type]:[Vol dish]],2,FALSE)</f>
        <v>1460</v>
      </c>
      <c r="C8" s="1" t="s">
        <v>7</v>
      </c>
      <c r="F8" s="201"/>
      <c r="G8" s="141"/>
      <c r="I8" s="3"/>
      <c r="J8" s="37"/>
      <c r="N8" s="82"/>
      <c r="O8" s="83"/>
      <c r="Q8" s="12"/>
      <c r="R8" s="13"/>
      <c r="S8" s="111"/>
      <c r="U8" s="12"/>
    </row>
    <row r="9" spans="1:21" ht="33">
      <c r="A9" s="8"/>
      <c r="B9" s="14"/>
      <c r="C9" s="1"/>
      <c r="F9" s="201" t="s">
        <v>291</v>
      </c>
      <c r="G9" s="141">
        <f>'Vessel Dish Type List (IGNORE!)'!$C$2</f>
        <v>1460</v>
      </c>
      <c r="I9" s="3" t="s">
        <v>317</v>
      </c>
      <c r="J9" s="37">
        <f>ASIN($B$16/$B$7)*(180/PI())</f>
        <v>15.244544349450061</v>
      </c>
      <c r="N9" s="12"/>
      <c r="O9" s="12"/>
      <c r="Q9" s="12"/>
      <c r="R9" s="13"/>
      <c r="S9" s="12"/>
      <c r="U9" s="12"/>
    </row>
    <row r="10" spans="1:21" ht="33">
      <c r="A10" s="96" t="s">
        <v>121</v>
      </c>
      <c r="B10" s="14" t="str">
        <f>IF($B$5&lt;1000,
CONCATENATE(ROUNDUP(0.22167*$B$5,0),"mm"),
CONCATENATE(ROUNDUP(0.133002*$B$5,0), "mm - ",ROUNDUP(0.22167*$B$5,0),"mm"))</f>
        <v>193mm - 322mm</v>
      </c>
      <c r="C10" s="1"/>
      <c r="D10" s="14"/>
      <c r="F10" s="193" t="s">
        <v>279</v>
      </c>
      <c r="G10" s="3">
        <f>'Vessel Dish Type List (IGNORE!)'!$E$2</f>
        <v>1460</v>
      </c>
      <c r="I10" s="3" t="s">
        <v>314</v>
      </c>
      <c r="J10" s="37">
        <f>$B$7*(1-COS($E$5*PI()/180))</f>
        <v>0</v>
      </c>
      <c r="N10" s="12"/>
      <c r="O10" s="12"/>
      <c r="Q10" s="12"/>
      <c r="R10" s="13"/>
      <c r="S10" s="12"/>
      <c r="U10" s="12"/>
    </row>
    <row r="11" spans="1:21" ht="49">
      <c r="A11" s="96" t="s">
        <v>265</v>
      </c>
      <c r="B11" s="14" t="str">
        <f>IF($B$5&lt;1000,
CONCATENATE(ROUNDUP(0.22167*$B$5/25.4,1)," in"),
CONCATENATE(SUBSTITUTE(ROUNDUP(0.133002*$B$5/25.4,1),",",".",1), " in - ",SUBSTITUTE(ROUNDUP(0.22167*$B$5/25.4,1),",",".",1)," in"))</f>
        <v>7.6 in - 12.7 in</v>
      </c>
      <c r="C11" s="1"/>
      <c r="F11" s="193" t="s">
        <v>293</v>
      </c>
      <c r="G11" s="3">
        <f>'Vessel Dish Type List (IGNORE!)'!$F$2</f>
        <v>146</v>
      </c>
      <c r="I11" s="3" t="s">
        <v>306</v>
      </c>
      <c r="J11" s="3">
        <f>ATAN($B$17/($B$7-$E$7-$B$18))*(180/PI())</f>
        <v>0</v>
      </c>
      <c r="K11" s="3">
        <f>ATAN($B$21/($B$7-$E$7-$B$20))*(180/PI())</f>
        <v>30.163540620626726</v>
      </c>
      <c r="N11" s="12"/>
      <c r="O11" s="12"/>
      <c r="Q11" s="12"/>
      <c r="R11" s="13"/>
      <c r="S11" s="12"/>
      <c r="U11" s="12"/>
    </row>
    <row r="12" spans="1:21" ht="33">
      <c r="A12" s="96" t="s">
        <v>158</v>
      </c>
      <c r="B12" s="108">
        <f>VLOOKUP($B$3,Tabell2[[Dish Head Type]:[Vol dish]],7,FALSE)</f>
        <v>301.76204837500001</v>
      </c>
      <c r="C12" s="1" t="s">
        <v>12</v>
      </c>
      <c r="F12" s="193" t="s">
        <v>294</v>
      </c>
      <c r="G12" s="93">
        <f>'Vessel Dish Type List (IGNORE!)'!$G$2</f>
        <v>280.23500000000001</v>
      </c>
      <c r="I12" s="3" t="s">
        <v>307</v>
      </c>
      <c r="J12" s="3">
        <f>SQRT(($B$7-$E$7-$B$18)^2+($B$17)^2)</f>
        <v>5</v>
      </c>
      <c r="K12" s="3">
        <f>SQRT(($B$7-$E$7-$B$20)^2+($B$21)^2)</f>
        <v>2885.7451377417237</v>
      </c>
      <c r="N12" s="12"/>
      <c r="O12" s="12"/>
      <c r="Q12" s="12"/>
      <c r="R12" s="13"/>
      <c r="S12" s="12"/>
      <c r="U12" s="12"/>
    </row>
    <row r="13" spans="1:21" ht="19">
      <c r="A13" s="96" t="s">
        <v>6</v>
      </c>
      <c r="B13" s="97">
        <f>VLOOKUP($B$3,Tabell2[[Dish Head Type]:[Vol dish]],6,FALSE)</f>
        <v>280.23500000000001</v>
      </c>
      <c r="C13" s="1" t="s">
        <v>7</v>
      </c>
      <c r="F13" s="193" t="s">
        <v>303</v>
      </c>
      <c r="G13" s="93">
        <f>($B$4-$B$9)*$B$7/($B$7-$B$9)</f>
        <v>2990</v>
      </c>
      <c r="I13" s="3" t="s">
        <v>308</v>
      </c>
      <c r="J13" s="3">
        <f>$E$10*SIN(($E$4+$E$9)*(PI()/180))</f>
        <v>0</v>
      </c>
      <c r="K13" s="3" t="e">
        <f>$F$10*SIN(($E$4+$F$9)*(PI()/180))</f>
        <v>#VALUE!</v>
      </c>
      <c r="N13" s="12"/>
      <c r="O13" s="12"/>
      <c r="Q13" s="12"/>
      <c r="R13" s="13"/>
      <c r="S13" s="12"/>
      <c r="U13" s="12"/>
    </row>
    <row r="14" spans="1:21" ht="19">
      <c r="A14" s="96" t="s">
        <v>159</v>
      </c>
      <c r="B14" s="97">
        <f>$B$4-$B$12</f>
        <v>2688.2379516249998</v>
      </c>
      <c r="C14" s="1" t="s">
        <v>12</v>
      </c>
      <c r="F14" s="53"/>
      <c r="I14" s="3" t="s">
        <v>309</v>
      </c>
      <c r="J14" s="3">
        <f>$B$7-SQRT($E$10^2-$E$11^2)</f>
        <v>5</v>
      </c>
      <c r="K14" s="3" t="e">
        <f>$B$7-SQRT($F$10^2-$F$11^2)</f>
        <v>#VALUE!</v>
      </c>
      <c r="N14" s="12"/>
      <c r="O14" s="12"/>
      <c r="Q14" s="12"/>
      <c r="R14" s="13"/>
      <c r="S14" s="12"/>
      <c r="U14" s="12"/>
    </row>
    <row r="15" spans="1:21" ht="20" thickBot="1">
      <c r="A15" s="96" t="s">
        <v>163</v>
      </c>
      <c r="B15" s="97">
        <f>($B$4-(0.1*($B$5/100)^3))/(PI()*(($B$5)/200)^2)*100</f>
        <v>1626.0752666118017</v>
      </c>
      <c r="C15" s="1" t="s">
        <v>7</v>
      </c>
      <c r="F15" s="53"/>
      <c r="N15" s="12"/>
      <c r="O15" s="12"/>
      <c r="Q15" s="12"/>
      <c r="R15" s="13"/>
      <c r="S15" s="12"/>
      <c r="U15" s="12"/>
    </row>
    <row r="16" spans="1:21" ht="33">
      <c r="A16" s="15" t="s">
        <v>14</v>
      </c>
      <c r="B16" s="95">
        <f>($B$13+$B$15)/$B$5</f>
        <v>1.314696735594346</v>
      </c>
      <c r="C16" s="2"/>
      <c r="F16" s="193" t="s">
        <v>296</v>
      </c>
      <c r="G16" s="3"/>
      <c r="I16" s="199" t="s">
        <v>319</v>
      </c>
      <c r="J16" s="199" t="s">
        <v>353</v>
      </c>
    </row>
    <row r="17" spans="1:21" ht="17" thickBot="1">
      <c r="F17" s="193" t="s">
        <v>179</v>
      </c>
      <c r="G17" s="3">
        <f>Input!$C$33</f>
        <v>0</v>
      </c>
      <c r="I17" s="200" t="e">
        <f>IF($E$12&lt;$E$3,(1/3*PI()*$E$12^2*(3*$B$7-$E$12)/1000000),IF($E$12&lt;$B$10,(1/3*PI()*$E$3^2*(3*$B$7-$E$3)/1000000)+(((PI()*(SQRT($B$9^2-($E$12-$B$10)^2)+$B$4-$B$9)^2*($E$12-$E$3)-$B$11^2*PI()*($E$12-$E$3))/1.4+$B$11^2*PI()*($E$12-$E$3))/1000000),$E$2+(($E$12-$B$10)*PI()*$B$4^2/1000000)))</f>
        <v>#VALUE!</v>
      </c>
      <c r="J17" s="200" t="e">
        <f>IF($F$12&lt;$E$3,(1/3*PI()*$F$12^2*(3*$B$7-$F$12)/1000000),IF($F$12&lt;$B$10,(1/3*PI()*$E$3^2*(3*$B$7-$E$3)/1000000)+(((PI()*(SQRT($B$9^2-($F$12-$B$10)^2)+$B$4-$B$9)^2*($F$12-$E$3)-$B$11^2*PI()*($F$12-$E$3))/1.4+$B$11^2*PI()*($F$12-$E$3))/1000000),$E$2+(($F$12-$B$10)*PI()*$B$4^2/1000000)))</f>
        <v>#VALUE!</v>
      </c>
    </row>
    <row r="18" spans="1:21" ht="16">
      <c r="F18" s="193" t="s">
        <v>311</v>
      </c>
      <c r="G18" s="3" t="e">
        <f>VLOOKUP($B$15,Tabell3[],3,FALSE)</f>
        <v>#N/A</v>
      </c>
    </row>
    <row r="19" spans="1:21" ht="32">
      <c r="A19" s="110" t="s">
        <v>164</v>
      </c>
      <c r="B19" s="110"/>
      <c r="C19" s="110"/>
      <c r="D19" s="110"/>
      <c r="E19" s="110"/>
      <c r="F19" s="193" t="s">
        <v>315</v>
      </c>
      <c r="G19" s="3" t="e">
        <f>VLOOKUP($B$15,Tabell3[],4,FALSE)</f>
        <v>#N/A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</row>
    <row r="20" spans="1:21" ht="33">
      <c r="A20" s="4" t="s">
        <v>156</v>
      </c>
      <c r="B20" s="5">
        <f>Input!$D$11-$B$4</f>
        <v>-2490</v>
      </c>
      <c r="C20" s="6" t="s">
        <v>12</v>
      </c>
      <c r="D20" s="7"/>
      <c r="E20" s="7"/>
      <c r="F20" s="193" t="s">
        <v>316</v>
      </c>
      <c r="G20" s="3" t="e">
        <f>VLOOKUP($B$15,Tabell3[],5,FALSE)</f>
        <v>#N/A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9">
      <c r="A21" s="8" t="s">
        <v>1</v>
      </c>
      <c r="B21" s="9">
        <f>$B$5</f>
        <v>1450</v>
      </c>
      <c r="C21" s="10" t="s">
        <v>7</v>
      </c>
      <c r="D21" s="11"/>
      <c r="E21" s="11"/>
      <c r="F21" s="193" t="s">
        <v>299</v>
      </c>
      <c r="G21" s="3" t="e">
        <f>VLOOKUP($B$15,Tabell3[],6,FALSE)</f>
        <v>#N/A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9">
      <c r="A22" s="8" t="s">
        <v>15</v>
      </c>
      <c r="B22" s="9">
        <f>$B$7</f>
        <v>5</v>
      </c>
      <c r="C22" s="1" t="s">
        <v>7</v>
      </c>
      <c r="F22" s="193" t="s">
        <v>302</v>
      </c>
      <c r="G22" s="3" t="e">
        <f>VLOOKUP($B$15,Tabell3[],7,FALSE)</f>
        <v>#N/A</v>
      </c>
      <c r="N22" s="12"/>
      <c r="O22" s="58"/>
      <c r="Q22" s="12"/>
      <c r="R22" s="13"/>
      <c r="S22" s="111"/>
      <c r="U22" s="12"/>
    </row>
    <row r="23" spans="1:21" ht="19">
      <c r="A23" s="8"/>
      <c r="B23" s="14"/>
      <c r="C23" s="1"/>
      <c r="F23" s="53" t="s">
        <v>355</v>
      </c>
      <c r="G23" s="3" t="e">
        <f>VLOOKUP($B$15,Tabell3[],2,FALSE)</f>
        <v>#N/A</v>
      </c>
      <c r="N23" s="12"/>
      <c r="O23" s="12"/>
      <c r="Q23" s="12"/>
      <c r="R23" s="13"/>
      <c r="S23" s="12"/>
      <c r="U23" s="12"/>
    </row>
    <row r="24" spans="1:21" ht="19">
      <c r="A24" s="96" t="s">
        <v>122</v>
      </c>
      <c r="B24" s="97">
        <f>$B$13</f>
        <v>280.23500000000001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33">
      <c r="A25" s="96" t="s">
        <v>153</v>
      </c>
      <c r="B25" s="97">
        <f>(Input!$D$11-$B$4)/(PI()*($B$5/200)^2)*100</f>
        <v>-1507.9031944782664</v>
      </c>
      <c r="C25" s="1" t="s">
        <v>7</v>
      </c>
      <c r="G25" s="12"/>
      <c r="N25" s="12"/>
      <c r="O25" s="12"/>
      <c r="Q25" s="12"/>
      <c r="R25" s="13"/>
      <c r="S25" s="12"/>
      <c r="U25" s="12"/>
    </row>
    <row r="26" spans="1:21" ht="33">
      <c r="A26" s="96" t="s">
        <v>123</v>
      </c>
      <c r="B26" s="97">
        <f>SUM($B$13,$B$15,$B$24,$B$25)</f>
        <v>678.64207213353529</v>
      </c>
      <c r="C26" s="1" t="s">
        <v>7</v>
      </c>
      <c r="G26" s="12"/>
      <c r="N26" s="12"/>
      <c r="O26" s="12"/>
      <c r="Q26" s="12"/>
      <c r="R26" s="13"/>
      <c r="S26" s="12"/>
      <c r="U26" s="12"/>
    </row>
    <row r="27" spans="1:21" ht="19">
      <c r="A27" s="15"/>
      <c r="B27" s="16"/>
      <c r="C27" s="2"/>
      <c r="E27" s="12"/>
    </row>
    <row r="29" spans="1:21" ht="16">
      <c r="A29" s="110" t="s">
        <v>162</v>
      </c>
      <c r="B29" s="110"/>
      <c r="C29" s="110"/>
      <c r="K29" s="12"/>
    </row>
    <row r="30" spans="1:21" ht="32">
      <c r="A30" s="33" t="s">
        <v>157</v>
      </c>
      <c r="B30" s="42">
        <f>($B$4+$B$20+$B$12)*8</f>
        <v>6414.0963869999996</v>
      </c>
      <c r="C30" s="33" t="s">
        <v>161</v>
      </c>
      <c r="F30" s="53"/>
    </row>
    <row r="31" spans="1:21" ht="16">
      <c r="A31" s="33" t="s">
        <v>155</v>
      </c>
      <c r="B31" s="42">
        <f>(PI()*(($B$5+2*$B$7)/200)^2*((($B$26+2*$B$7)-2*(0.1935*($B$5+4*$B$7)-0.455*$B$7))/100)+2*(0.1*(($B$5+2*$B$7)/100)^3))*8</f>
        <v>6644.2248112146453</v>
      </c>
      <c r="C31" s="32" t="s">
        <v>161</v>
      </c>
      <c r="F31" s="53"/>
    </row>
    <row r="32" spans="1:21" ht="32">
      <c r="A32" s="33" t="s">
        <v>160</v>
      </c>
      <c r="B32" s="42">
        <f>ROUNDUP($B$31-$B$30,-1)</f>
        <v>240</v>
      </c>
      <c r="C32" s="3" t="s">
        <v>161</v>
      </c>
      <c r="F32" s="53"/>
    </row>
    <row r="33" spans="1:13">
      <c r="F33" s="53"/>
    </row>
    <row r="34" spans="1:13">
      <c r="A34" s="7"/>
      <c r="F34" s="53"/>
      <c r="G34" s="44"/>
      <c r="J34" s="12"/>
      <c r="M34" s="12"/>
    </row>
    <row r="35" spans="1:13">
      <c r="A35" s="7"/>
      <c r="B35" s="12"/>
      <c r="F35" s="53"/>
      <c r="M35" s="83"/>
    </row>
    <row r="37" spans="1:13">
      <c r="F37" s="53"/>
      <c r="G37" s="44"/>
    </row>
    <row r="38" spans="1:13">
      <c r="F38" s="53"/>
    </row>
    <row r="39" spans="1:13">
      <c r="F39" s="53"/>
      <c r="G39" s="44"/>
    </row>
    <row r="43" spans="1:13">
      <c r="B43" s="12"/>
    </row>
  </sheetData>
  <mergeCells count="1">
    <mergeCell ref="F3:G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653665-11B3-451E-A590-5BBADAB11857}">
          <x14:formula1>
            <xm:f>'Vessel Dish Type List (IGNORE!)'!$B$2:$B$7</xm:f>
          </x14:formula1>
          <xm:sqref>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Props1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16</vt:i4>
      </vt:variant>
    </vt:vector>
  </HeadingPairs>
  <TitlesOfParts>
    <vt:vector size="16" baseType="lpstr">
      <vt:lpstr>Input</vt:lpstr>
      <vt:lpstr>Main Mixing Purpose List</vt:lpstr>
      <vt:lpstr>SS Material List</vt:lpstr>
      <vt:lpstr>O-rings List</vt:lpstr>
      <vt:lpstr>IP-Class List</vt:lpstr>
      <vt:lpstr>Vessel dimensions - DIN 28011</vt:lpstr>
      <vt:lpstr>Output</vt:lpstr>
      <vt:lpstr>ZG</vt:lpstr>
      <vt:lpstr>ZGP</vt:lpstr>
      <vt:lpstr>HP</vt:lpstr>
      <vt:lpstr>HS</vt:lpstr>
      <vt:lpstr>ZF</vt:lpstr>
      <vt:lpstr>Min Vol (IGNORE!)</vt:lpstr>
      <vt:lpstr>Min Vol ZG (IGNORE!)</vt:lpstr>
      <vt:lpstr>Vessel Dish Type List (IGNORE!)</vt:lpstr>
      <vt:lpstr>Vessel dimension - (IGNORE)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Yeu-Kang Hua</cp:lastModifiedBy>
  <dcterms:created xsi:type="dcterms:W3CDTF">2015-06-05T18:19:34Z</dcterms:created>
  <dcterms:modified xsi:type="dcterms:W3CDTF">2024-01-12T15:09:04Z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