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yeuhua/Sites/localhost/zooma-metenova-mixer-selector-api-types/excel/"/>
    </mc:Choice>
  </mc:AlternateContent>
  <xr:revisionPtr revIDLastSave="0" documentId="13_ncr:1_{DCA69B3C-A943-9E4E-AE79-F885CB1193E0}" xr6:coauthVersionLast="47" xr6:coauthVersionMax="47" xr10:uidLastSave="{00000000-0000-0000-0000-000000000000}"/>
  <bookViews>
    <workbookView xWindow="0" yWindow="760" windowWidth="34560" windowHeight="20580" tabRatio="866" activeTab="6" xr2:uid="{00000000-000D-0000-FFFF-FFFF00000000}"/>
  </bookViews>
  <sheets>
    <sheet name="Input" sheetId="1" r:id="rId1"/>
    <sheet name="Main Mixing Purpose List" sheetId="14" r:id="rId2"/>
    <sheet name="SS Material List" sheetId="15" r:id="rId3"/>
    <sheet name="O-rings List" sheetId="16" r:id="rId4"/>
    <sheet name="IP-Class List" sheetId="17" r:id="rId5"/>
    <sheet name="Vessel Dish Type List" sheetId="18" r:id="rId6"/>
    <sheet name="Min Vol" sheetId="19" r:id="rId7"/>
    <sheet name="Output" sheetId="13" r:id="rId8"/>
    <sheet name="ZG" sheetId="3" r:id="rId9"/>
    <sheet name="ZGP" sheetId="4" r:id="rId10"/>
    <sheet name="HP" sheetId="5" r:id="rId11"/>
    <sheet name="HS" sheetId="6" r:id="rId12"/>
    <sheet name="ZF" sheetId="7" r:id="rId13"/>
    <sheet name="Vessel dimension - DIN 28011" sheetId="11" r:id="rId14"/>
    <sheet name="Min Vol ZG" sheetId="8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9" i="7" l="1" a="1"/>
  <c r="X49" i="7" s="1"/>
  <c r="X49" i="6" a="1"/>
  <c r="X49" i="6" s="1"/>
  <c r="X49" i="5" a="1"/>
  <c r="X49" i="5" s="1"/>
  <c r="F52" i="6"/>
  <c r="F50" i="6"/>
  <c r="B13" i="11" l="1"/>
  <c r="B12" i="11"/>
  <c r="G5" i="18"/>
  <c r="K13" i="11"/>
  <c r="J13" i="11"/>
  <c r="G17" i="11"/>
  <c r="G4" i="11"/>
  <c r="B19" i="19"/>
  <c r="B3" i="11"/>
  <c r="G7" i="11" s="1"/>
  <c r="C15" i="13"/>
  <c r="Q19" i="19" l="1"/>
  <c r="Q18" i="19"/>
  <c r="Q17" i="19"/>
  <c r="P17" i="19"/>
  <c r="Q16" i="19"/>
  <c r="Q15" i="19"/>
  <c r="Q14" i="19"/>
  <c r="Q9" i="19"/>
  <c r="B13" i="19" l="1"/>
  <c r="B2" i="19"/>
  <c r="D6" i="18"/>
  <c r="D7" i="18"/>
  <c r="H7" i="18" s="1"/>
  <c r="D5" i="18"/>
  <c r="H5" i="18" s="1"/>
  <c r="D4" i="18"/>
  <c r="D3" i="18"/>
  <c r="H3" i="18" s="1"/>
  <c r="D2" i="18"/>
  <c r="H2" i="18" s="1"/>
  <c r="H4" i="18" l="1"/>
  <c r="J4" i="11" s="1"/>
  <c r="H6" i="18"/>
  <c r="G6" i="18"/>
  <c r="C4" i="18"/>
  <c r="G4" i="18" s="1"/>
  <c r="E2" i="19"/>
  <c r="B8" i="11"/>
  <c r="G5" i="11"/>
  <c r="F7" i="18"/>
  <c r="G7" i="18"/>
  <c r="C6" i="18"/>
  <c r="B3" i="19"/>
  <c r="B4" i="19" s="1"/>
  <c r="E6" i="18"/>
  <c r="E4" i="18"/>
  <c r="F6" i="18"/>
  <c r="C5" i="18"/>
  <c r="E7" i="18"/>
  <c r="C7" i="18"/>
  <c r="B17" i="19"/>
  <c r="B16" i="19"/>
  <c r="B18" i="19"/>
  <c r="B15" i="19"/>
  <c r="B14" i="19"/>
  <c r="C2" i="18"/>
  <c r="G9" i="11" s="1"/>
  <c r="C3" i="18"/>
  <c r="F4" i="18" l="1"/>
  <c r="F3" i="18"/>
  <c r="G3" i="18"/>
  <c r="E3" i="18"/>
  <c r="F2" i="18"/>
  <c r="G2" i="18"/>
  <c r="B5" i="19"/>
  <c r="F5" i="18"/>
  <c r="E5" i="18"/>
  <c r="E2" i="18"/>
  <c r="B8" i="19" l="1"/>
  <c r="G12" i="11"/>
  <c r="B7" i="19"/>
  <c r="G11" i="11"/>
  <c r="B6" i="19"/>
  <c r="G10" i="11"/>
  <c r="B9" i="19" l="1"/>
  <c r="E3" i="19" s="1"/>
  <c r="G34" i="19" s="1"/>
  <c r="E5" i="19"/>
  <c r="E6" i="19" s="1"/>
  <c r="E7" i="19" s="1"/>
  <c r="I35" i="19" l="1"/>
  <c r="I33" i="19"/>
  <c r="I34" i="19"/>
  <c r="I36" i="19"/>
  <c r="G36" i="19"/>
  <c r="G33" i="19"/>
  <c r="E4" i="19"/>
  <c r="E16" i="19"/>
  <c r="G35" i="19"/>
  <c r="F8" i="19"/>
  <c r="E8" i="19"/>
  <c r="F7" i="19"/>
  <c r="I37" i="19" l="1"/>
  <c r="E9" i="19"/>
  <c r="E10" i="19" s="1"/>
  <c r="G14" i="19" s="1"/>
  <c r="G16" i="13" s="1"/>
  <c r="F9" i="19"/>
  <c r="F10" i="19" s="1"/>
  <c r="H14" i="19" s="1"/>
  <c r="G17" i="13" s="1"/>
  <c r="E17" i="13"/>
  <c r="C17" i="13"/>
  <c r="C16" i="13"/>
  <c r="K16" i="13"/>
  <c r="E16" i="13"/>
  <c r="E21" i="19"/>
  <c r="D36" i="19"/>
  <c r="D33" i="19"/>
  <c r="D35" i="19"/>
  <c r="B33" i="19"/>
  <c r="B34" i="19"/>
  <c r="E29" i="19"/>
  <c r="B36" i="19"/>
  <c r="B35" i="19"/>
  <c r="E19" i="19"/>
  <c r="I16" i="13" l="1"/>
  <c r="E30" i="19"/>
  <c r="E13" i="19"/>
  <c r="I17" i="13"/>
  <c r="E18" i="19"/>
  <c r="D34" i="19"/>
  <c r="K17" i="13"/>
  <c r="D37" i="19"/>
  <c r="C4" i="13"/>
  <c r="K5" i="13"/>
  <c r="I5" i="13"/>
  <c r="G5" i="13"/>
  <c r="E5" i="13"/>
  <c r="C5" i="13"/>
  <c r="K6" i="13"/>
  <c r="I6" i="13"/>
  <c r="G6" i="13"/>
  <c r="E6" i="13"/>
  <c r="C6" i="13"/>
  <c r="K3" i="13"/>
  <c r="I3" i="13"/>
  <c r="G3" i="13"/>
  <c r="E3" i="13"/>
  <c r="C3" i="13"/>
  <c r="K20" i="13"/>
  <c r="I20" i="13"/>
  <c r="G20" i="13"/>
  <c r="E20" i="13"/>
  <c r="C20" i="13"/>
  <c r="D13" i="1"/>
  <c r="E33" i="13"/>
  <c r="C34" i="13"/>
  <c r="W5" i="3"/>
  <c r="V5" i="3"/>
  <c r="U5" i="3"/>
  <c r="T5" i="3"/>
  <c r="E21" i="13"/>
  <c r="G21" i="13"/>
  <c r="I21" i="13"/>
  <c r="K21" i="13"/>
  <c r="C21" i="13"/>
  <c r="E15" i="13"/>
  <c r="G15" i="13"/>
  <c r="I15" i="13"/>
  <c r="K15" i="13"/>
  <c r="E14" i="13"/>
  <c r="G14" i="13"/>
  <c r="I14" i="13"/>
  <c r="K14" i="13"/>
  <c r="C14" i="13"/>
  <c r="K12" i="13"/>
  <c r="I12" i="13"/>
  <c r="G12" i="13"/>
  <c r="E12" i="13"/>
  <c r="C12" i="13"/>
  <c r="K10" i="13"/>
  <c r="I10" i="13"/>
  <c r="G10" i="13"/>
  <c r="E10" i="13"/>
  <c r="C10" i="13"/>
  <c r="B7" i="11"/>
  <c r="J11" i="11" l="1"/>
  <c r="K14" i="11"/>
  <c r="J10" i="11"/>
  <c r="J14" i="11"/>
  <c r="J12" i="11"/>
  <c r="E39" i="19"/>
  <c r="G29" i="19"/>
  <c r="W62" i="7"/>
  <c r="W62" i="6"/>
  <c r="W62" i="5"/>
  <c r="E36" i="13"/>
  <c r="K36" i="13"/>
  <c r="I36" i="13"/>
  <c r="G36" i="13"/>
  <c r="C36" i="13"/>
  <c r="K37" i="13"/>
  <c r="I37" i="13"/>
  <c r="G37" i="13"/>
  <c r="C37" i="13"/>
  <c r="W62" i="4"/>
  <c r="W62" i="3" l="1"/>
  <c r="I45" i="13" l="1"/>
  <c r="G45" i="13"/>
  <c r="E45" i="13"/>
  <c r="C45" i="13"/>
  <c r="I43" i="13"/>
  <c r="G43" i="13"/>
  <c r="E43" i="13"/>
  <c r="C43" i="13"/>
  <c r="I40" i="13"/>
  <c r="G40" i="13"/>
  <c r="E40" i="13"/>
  <c r="C40" i="13"/>
  <c r="K22" i="13" l="1"/>
  <c r="I22" i="13"/>
  <c r="G22" i="13"/>
  <c r="E22" i="13"/>
  <c r="C22" i="13"/>
  <c r="K34" i="13"/>
  <c r="I34" i="13"/>
  <c r="G34" i="13"/>
  <c r="C33" i="13"/>
  <c r="K33" i="13"/>
  <c r="I33" i="13"/>
  <c r="G33" i="13"/>
  <c r="B45" i="7"/>
  <c r="B45" i="6"/>
  <c r="B45" i="4"/>
  <c r="B45" i="5"/>
  <c r="AE82" i="3" l="1"/>
  <c r="AE86" i="3"/>
  <c r="I44" i="13" l="1"/>
  <c r="G44" i="13"/>
  <c r="E44" i="13"/>
  <c r="C44" i="13"/>
  <c r="I42" i="13"/>
  <c r="G42" i="13"/>
  <c r="E42" i="13"/>
  <c r="C42" i="13"/>
  <c r="B2" i="7"/>
  <c r="F2" i="4" l="1"/>
  <c r="R2" i="3"/>
  <c r="T2" i="3"/>
  <c r="D2" i="6"/>
  <c r="L2" i="3"/>
  <c r="D2" i="7"/>
  <c r="N2" i="3"/>
  <c r="B2" i="5"/>
  <c r="D2" i="3"/>
  <c r="B2" i="6"/>
  <c r="V2" i="3"/>
  <c r="H2" i="3"/>
  <c r="B2" i="4"/>
  <c r="F2" i="6"/>
  <c r="P2" i="3"/>
  <c r="D2" i="5"/>
  <c r="B2" i="3"/>
  <c r="F2" i="5"/>
  <c r="F2" i="3"/>
  <c r="J2" i="3"/>
  <c r="D2" i="4"/>
  <c r="K9" i="13"/>
  <c r="K8" i="13"/>
  <c r="I9" i="13"/>
  <c r="I8" i="13"/>
  <c r="G9" i="13"/>
  <c r="G8" i="13"/>
  <c r="E9" i="13"/>
  <c r="E8" i="13"/>
  <c r="K4" i="13"/>
  <c r="I4" i="13"/>
  <c r="G4" i="13"/>
  <c r="E4" i="13"/>
  <c r="C9" i="13"/>
  <c r="C8" i="13"/>
  <c r="B22" i="11"/>
  <c r="B5" i="11"/>
  <c r="B4" i="11"/>
  <c r="L66" i="3"/>
  <c r="L67" i="3"/>
  <c r="L68" i="3"/>
  <c r="L69" i="3"/>
  <c r="J65" i="3"/>
  <c r="H67" i="3"/>
  <c r="J67" i="3" s="1"/>
  <c r="H69" i="3"/>
  <c r="J69" i="3" s="1"/>
  <c r="H65" i="3"/>
  <c r="G13" i="11" l="1"/>
  <c r="B14" i="11"/>
  <c r="B6" i="11"/>
  <c r="B10" i="11"/>
  <c r="B11" i="11"/>
  <c r="B15" i="11"/>
  <c r="B25" i="11"/>
  <c r="B21" i="11"/>
  <c r="B20" i="11"/>
  <c r="K12" i="11" l="1"/>
  <c r="K11" i="11"/>
  <c r="G22" i="11"/>
  <c r="G21" i="11"/>
  <c r="G20" i="11"/>
  <c r="G19" i="11"/>
  <c r="G18" i="11"/>
  <c r="G23" i="11"/>
  <c r="J7" i="11"/>
  <c r="J5" i="11"/>
  <c r="J17" i="11"/>
  <c r="I17" i="11"/>
  <c r="B30" i="11"/>
  <c r="C11" i="13"/>
  <c r="I11" i="13"/>
  <c r="E11" i="13"/>
  <c r="G11" i="13"/>
  <c r="K11" i="13"/>
  <c r="B24" i="11"/>
  <c r="B26" i="11" s="1"/>
  <c r="B31" i="11" s="1"/>
  <c r="B16" i="11"/>
  <c r="J9" i="11" s="1"/>
  <c r="B32" i="11" l="1"/>
  <c r="C13" i="13" s="1"/>
  <c r="E18" i="13"/>
  <c r="G18" i="13"/>
  <c r="I18" i="13"/>
  <c r="K18" i="13"/>
  <c r="C18" i="13"/>
  <c r="V41" i="3" a="1"/>
  <c r="V41" i="3" s="1"/>
  <c r="T41" i="3" a="1"/>
  <c r="T41" i="3" s="1"/>
  <c r="H51" i="3"/>
  <c r="H57" i="3"/>
  <c r="H59" i="3"/>
  <c r="H49" i="3"/>
  <c r="H53" i="3"/>
  <c r="H55" i="3"/>
  <c r="H61" i="3"/>
  <c r="H63" i="3"/>
  <c r="K13" i="13" l="1"/>
  <c r="I13" i="13"/>
  <c r="G13" i="13"/>
  <c r="E13" i="13"/>
  <c r="B45" i="3"/>
  <c r="L49" i="4"/>
  <c r="L50" i="4"/>
  <c r="L51" i="4"/>
  <c r="L52" i="4"/>
  <c r="L53" i="4"/>
  <c r="L54" i="4"/>
  <c r="L55" i="4"/>
  <c r="L48" i="4"/>
  <c r="L49" i="5"/>
  <c r="L50" i="5"/>
  <c r="L51" i="5"/>
  <c r="L52" i="5"/>
  <c r="L53" i="5"/>
  <c r="L49" i="6"/>
  <c r="L50" i="6"/>
  <c r="L51" i="6"/>
  <c r="L52" i="6"/>
  <c r="L53" i="6"/>
  <c r="L48" i="6"/>
  <c r="L48" i="5"/>
  <c r="L49" i="7"/>
  <c r="L50" i="7"/>
  <c r="L51" i="7"/>
  <c r="L48" i="7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F51" i="7"/>
  <c r="H51" i="7" s="1"/>
  <c r="F49" i="7"/>
  <c r="H49" i="7" s="1"/>
  <c r="J49" i="7" l="1"/>
  <c r="K51" i="7"/>
  <c r="J51" i="7"/>
  <c r="K49" i="7" l="1"/>
  <c r="F53" i="6" l="1"/>
  <c r="H53" i="6" s="1"/>
  <c r="F51" i="6"/>
  <c r="H51" i="6" s="1"/>
  <c r="F49" i="6"/>
  <c r="H49" i="6" s="1"/>
  <c r="J49" i="6" l="1"/>
  <c r="J53" i="6"/>
  <c r="J51" i="6"/>
  <c r="K51" i="6"/>
  <c r="K53" i="6" l="1"/>
  <c r="K49" i="6"/>
  <c r="F53" i="5" l="1"/>
  <c r="F51" i="5"/>
  <c r="H51" i="5" s="1"/>
  <c r="F49" i="5"/>
  <c r="H49" i="5" s="1"/>
  <c r="H53" i="5" l="1"/>
  <c r="J53" i="5" s="1"/>
  <c r="K49" i="5"/>
  <c r="J49" i="5"/>
  <c r="J51" i="5"/>
  <c r="K51" i="5"/>
  <c r="K53" i="5"/>
  <c r="F41" i="4" l="1" a="1"/>
  <c r="F41" i="4" s="1"/>
  <c r="C9" i="8" l="1"/>
  <c r="C10" i="8" l="1"/>
  <c r="C11" i="8" l="1"/>
  <c r="C13" i="8" s="1"/>
  <c r="C14" i="8" s="1"/>
  <c r="I50" i="8" s="1"/>
  <c r="C30" i="8"/>
  <c r="C32" i="8" s="1"/>
  <c r="G30" i="8"/>
  <c r="G32" i="8" s="1"/>
  <c r="C12" i="8" l="1"/>
  <c r="C16" i="8"/>
  <c r="C15" i="8"/>
  <c r="C50" i="8"/>
  <c r="C19" i="8" l="1"/>
  <c r="C20" i="8" s="1"/>
  <c r="J51" i="3" l="1"/>
  <c r="C22" i="8"/>
  <c r="J53" i="3"/>
  <c r="J55" i="3"/>
  <c r="J49" i="3"/>
  <c r="J57" i="3"/>
  <c r="J59" i="3"/>
  <c r="J63" i="3"/>
  <c r="D10" i="7" l="1"/>
  <c r="B9" i="7"/>
  <c r="D21" i="6"/>
  <c r="F7" i="6"/>
  <c r="B12" i="6"/>
  <c r="D11" i="5"/>
  <c r="F18" i="5"/>
  <c r="B10" i="5"/>
  <c r="B39" i="7"/>
  <c r="D12" i="6"/>
  <c r="D13" i="6"/>
  <c r="D14" i="6"/>
  <c r="D19" i="6"/>
  <c r="D30" i="6"/>
  <c r="D33" i="6"/>
  <c r="D36" i="6"/>
  <c r="D37" i="6"/>
  <c r="D39" i="6"/>
  <c r="D40" i="6"/>
  <c r="D32" i="3"/>
  <c r="F39" i="3"/>
  <c r="H39" i="3"/>
  <c r="J36" i="3"/>
  <c r="L28" i="3"/>
  <c r="N34" i="3"/>
  <c r="P35" i="3"/>
  <c r="R34" i="3"/>
  <c r="B10" i="3"/>
  <c r="D29" i="6" l="1"/>
  <c r="D28" i="6"/>
  <c r="D24" i="6"/>
  <c r="D27" i="6"/>
  <c r="D26" i="6"/>
  <c r="D23" i="6"/>
  <c r="D20" i="6"/>
  <c r="D10" i="6"/>
  <c r="D17" i="6"/>
  <c r="D16" i="6"/>
  <c r="D20" i="7"/>
  <c r="F24" i="6"/>
  <c r="D9" i="6"/>
  <c r="D19" i="7"/>
  <c r="D31" i="7"/>
  <c r="D14" i="7"/>
  <c r="D30" i="7"/>
  <c r="D13" i="7"/>
  <c r="D36" i="7"/>
  <c r="D35" i="7"/>
  <c r="D29" i="7"/>
  <c r="D8" i="7"/>
  <c r="D15" i="7"/>
  <c r="D25" i="7"/>
  <c r="D40" i="7"/>
  <c r="D24" i="7"/>
  <c r="B15" i="7"/>
  <c r="B40" i="7"/>
  <c r="B36" i="7"/>
  <c r="B20" i="7"/>
  <c r="B31" i="7"/>
  <c r="F16" i="6"/>
  <c r="F37" i="6"/>
  <c r="D9" i="7"/>
  <c r="F33" i="5"/>
  <c r="F32" i="5"/>
  <c r="F24" i="5"/>
  <c r="F25" i="5"/>
  <c r="F14" i="5"/>
  <c r="F10" i="6"/>
  <c r="F16" i="5"/>
  <c r="F40" i="5"/>
  <c r="F6" i="6"/>
  <c r="F38" i="5"/>
  <c r="F30" i="5"/>
  <c r="F22" i="5"/>
  <c r="F11" i="5"/>
  <c r="F37" i="5"/>
  <c r="F29" i="5"/>
  <c r="F21" i="5"/>
  <c r="F10" i="5"/>
  <c r="F36" i="5"/>
  <c r="F28" i="5"/>
  <c r="F20" i="5"/>
  <c r="F7" i="5"/>
  <c r="F39" i="5"/>
  <c r="F31" i="5"/>
  <c r="F23" i="5"/>
  <c r="F13" i="5"/>
  <c r="F35" i="5"/>
  <c r="F27" i="5"/>
  <c r="F19" i="5"/>
  <c r="F34" i="5"/>
  <c r="F26" i="5"/>
  <c r="F17" i="5"/>
  <c r="D39" i="4"/>
  <c r="D31" i="4"/>
  <c r="D23" i="4"/>
  <c r="D15" i="4"/>
  <c r="D7" i="4"/>
  <c r="D14" i="4"/>
  <c r="D6" i="4"/>
  <c r="D28" i="4"/>
  <c r="D20" i="4"/>
  <c r="D12" i="4"/>
  <c r="D16" i="4"/>
  <c r="D38" i="4"/>
  <c r="D30" i="4"/>
  <c r="D22" i="4"/>
  <c r="D10" i="4"/>
  <c r="D25" i="4"/>
  <c r="D32" i="4"/>
  <c r="D37" i="4"/>
  <c r="D29" i="4"/>
  <c r="D21" i="4"/>
  <c r="D13" i="4"/>
  <c r="D36" i="4"/>
  <c r="D40" i="4"/>
  <c r="D8" i="4"/>
  <c r="D35" i="4"/>
  <c r="D27" i="4"/>
  <c r="D19" i="4"/>
  <c r="D11" i="4"/>
  <c r="D34" i="4"/>
  <c r="D26" i="4"/>
  <c r="D18" i="4"/>
  <c r="D17" i="4"/>
  <c r="D9" i="4"/>
  <c r="D24" i="4"/>
  <c r="D33" i="4"/>
  <c r="B40" i="4"/>
  <c r="B39" i="4"/>
  <c r="B31" i="4"/>
  <c r="B23" i="4"/>
  <c r="B15" i="4"/>
  <c r="B7" i="4"/>
  <c r="B29" i="4"/>
  <c r="B21" i="4"/>
  <c r="B33" i="4"/>
  <c r="B38" i="4"/>
  <c r="B30" i="4"/>
  <c r="B22" i="4"/>
  <c r="B14" i="4"/>
  <c r="B6" i="4"/>
  <c r="B37" i="4"/>
  <c r="B13" i="4"/>
  <c r="B17" i="4"/>
  <c r="B9" i="4"/>
  <c r="B24" i="4"/>
  <c r="B8" i="4"/>
  <c r="B32" i="4"/>
  <c r="B36" i="4"/>
  <c r="B28" i="4"/>
  <c r="B20" i="4"/>
  <c r="B12" i="4"/>
  <c r="B26" i="4"/>
  <c r="B10" i="4"/>
  <c r="B25" i="4"/>
  <c r="B16" i="4"/>
  <c r="B35" i="4"/>
  <c r="B27" i="4"/>
  <c r="B19" i="4"/>
  <c r="B11" i="4"/>
  <c r="B34" i="4"/>
  <c r="B18" i="4"/>
  <c r="D40" i="3"/>
  <c r="D33" i="3"/>
  <c r="B32" i="7"/>
  <c r="B23" i="7"/>
  <c r="B12" i="7"/>
  <c r="L20" i="3"/>
  <c r="B7" i="7"/>
  <c r="L12" i="3"/>
  <c r="B24" i="7"/>
  <c r="D8" i="3"/>
  <c r="D39" i="3"/>
  <c r="D9" i="3"/>
  <c r="P11" i="3"/>
  <c r="L36" i="3"/>
  <c r="L35" i="3"/>
  <c r="B38" i="5"/>
  <c r="B31" i="5"/>
  <c r="B20" i="5"/>
  <c r="B14" i="5"/>
  <c r="B12" i="5"/>
  <c r="B36" i="5"/>
  <c r="B30" i="5"/>
  <c r="F32" i="3"/>
  <c r="B23" i="5"/>
  <c r="B6" i="5"/>
  <c r="F7" i="3"/>
  <c r="B7" i="5"/>
  <c r="B39" i="5"/>
  <c r="B28" i="5"/>
  <c r="B22" i="5"/>
  <c r="B15" i="5"/>
  <c r="D25" i="5"/>
  <c r="P26" i="3"/>
  <c r="D26" i="5"/>
  <c r="D22" i="5"/>
  <c r="D35" i="5"/>
  <c r="D14" i="5"/>
  <c r="P10" i="3"/>
  <c r="P27" i="3"/>
  <c r="D39" i="5"/>
  <c r="D36" i="5"/>
  <c r="D32" i="5"/>
  <c r="D29" i="5"/>
  <c r="D19" i="5"/>
  <c r="D15" i="5"/>
  <c r="D10" i="5"/>
  <c r="P18" i="3"/>
  <c r="D38" i="5"/>
  <c r="D31" i="5"/>
  <c r="D28" i="5"/>
  <c r="D24" i="5"/>
  <c r="D21" i="5"/>
  <c r="D17" i="5"/>
  <c r="P33" i="3"/>
  <c r="P19" i="3"/>
  <c r="P34" i="3"/>
  <c r="D34" i="5"/>
  <c r="D13" i="5"/>
  <c r="D7" i="5"/>
  <c r="D18" i="5"/>
  <c r="D40" i="5"/>
  <c r="D37" i="5"/>
  <c r="D27" i="5"/>
  <c r="D16" i="5"/>
  <c r="B32" i="6"/>
  <c r="D9" i="5"/>
  <c r="B26" i="3"/>
  <c r="D33" i="5"/>
  <c r="D30" i="5"/>
  <c r="D23" i="5"/>
  <c r="D20" i="5"/>
  <c r="F36" i="6"/>
  <c r="F31" i="6"/>
  <c r="F23" i="6"/>
  <c r="F18" i="6"/>
  <c r="F32" i="6"/>
  <c r="B14" i="6"/>
  <c r="H22" i="3"/>
  <c r="H37" i="3"/>
  <c r="F8" i="3"/>
  <c r="D16" i="3"/>
  <c r="F23" i="3"/>
  <c r="F40" i="6"/>
  <c r="F35" i="6"/>
  <c r="B30" i="6"/>
  <c r="F26" i="6"/>
  <c r="B22" i="6"/>
  <c r="B17" i="6"/>
  <c r="F14" i="6"/>
  <c r="F9" i="6"/>
  <c r="F19" i="6"/>
  <c r="F38" i="3"/>
  <c r="H15" i="3"/>
  <c r="F16" i="3"/>
  <c r="H23" i="3"/>
  <c r="H30" i="3"/>
  <c r="F34" i="6"/>
  <c r="B25" i="6"/>
  <c r="F22" i="6"/>
  <c r="B8" i="6"/>
  <c r="H14" i="3"/>
  <c r="B17" i="3"/>
  <c r="D24" i="3"/>
  <c r="F31" i="3"/>
  <c r="H38" i="3"/>
  <c r="B38" i="6"/>
  <c r="B33" i="6"/>
  <c r="F30" i="6"/>
  <c r="F25" i="6"/>
  <c r="F21" i="6"/>
  <c r="F17" i="6"/>
  <c r="F13" i="6"/>
  <c r="D7" i="6"/>
  <c r="B28" i="7"/>
  <c r="B19" i="7"/>
  <c r="B11" i="7"/>
  <c r="F15" i="3"/>
  <c r="F40" i="3"/>
  <c r="B40" i="6"/>
  <c r="F27" i="6"/>
  <c r="B9" i="6"/>
  <c r="D17" i="3"/>
  <c r="F24" i="3"/>
  <c r="H31" i="3"/>
  <c r="F38" i="6"/>
  <c r="B24" i="6"/>
  <c r="B16" i="6"/>
  <c r="B6" i="6"/>
  <c r="B35" i="7"/>
  <c r="B27" i="7"/>
  <c r="H7" i="3"/>
  <c r="H6" i="3"/>
  <c r="D25" i="3"/>
  <c r="F33" i="6"/>
  <c r="F20" i="6"/>
  <c r="D6" i="6"/>
  <c r="B16" i="7"/>
  <c r="B8" i="7"/>
  <c r="D34" i="7"/>
  <c r="D18" i="7"/>
  <c r="D39" i="7"/>
  <c r="D33" i="7"/>
  <c r="D28" i="7"/>
  <c r="D23" i="7"/>
  <c r="D17" i="7"/>
  <c r="D12" i="7"/>
  <c r="D7" i="7"/>
  <c r="D38" i="7"/>
  <c r="D22" i="7"/>
  <c r="D6" i="7"/>
  <c r="D37" i="7"/>
  <c r="D32" i="7"/>
  <c r="D27" i="7"/>
  <c r="D21" i="7"/>
  <c r="D16" i="7"/>
  <c r="D11" i="7"/>
  <c r="D26" i="7"/>
  <c r="B38" i="7"/>
  <c r="B34" i="7"/>
  <c r="B30" i="7"/>
  <c r="B26" i="7"/>
  <c r="B22" i="7"/>
  <c r="B18" i="7"/>
  <c r="B14" i="7"/>
  <c r="B10" i="7"/>
  <c r="B6" i="7"/>
  <c r="B37" i="7"/>
  <c r="B33" i="7"/>
  <c r="B29" i="7"/>
  <c r="B25" i="7"/>
  <c r="B21" i="7"/>
  <c r="B17" i="7"/>
  <c r="B13" i="7"/>
  <c r="F39" i="6"/>
  <c r="D35" i="6"/>
  <c r="D32" i="6"/>
  <c r="F29" i="6"/>
  <c r="D25" i="6"/>
  <c r="D22" i="6"/>
  <c r="D18" i="6"/>
  <c r="D15" i="6"/>
  <c r="F12" i="6"/>
  <c r="F15" i="6"/>
  <c r="D11" i="6"/>
  <c r="D8" i="6"/>
  <c r="D38" i="6"/>
  <c r="D34" i="6"/>
  <c r="D31" i="6"/>
  <c r="F28" i="6"/>
  <c r="F11" i="6"/>
  <c r="F8" i="6"/>
  <c r="B35" i="6"/>
  <c r="B27" i="6"/>
  <c r="B19" i="6"/>
  <c r="B11" i="6"/>
  <c r="B37" i="6"/>
  <c r="B29" i="6"/>
  <c r="B21" i="6"/>
  <c r="B13" i="6"/>
  <c r="B34" i="6"/>
  <c r="B26" i="6"/>
  <c r="B18" i="6"/>
  <c r="B10" i="6"/>
  <c r="B39" i="6"/>
  <c r="B31" i="6"/>
  <c r="B23" i="6"/>
  <c r="B15" i="6"/>
  <c r="B7" i="6"/>
  <c r="B36" i="6"/>
  <c r="B28" i="6"/>
  <c r="B20" i="6"/>
  <c r="D6" i="5"/>
  <c r="F9" i="5"/>
  <c r="F6" i="5"/>
  <c r="D12" i="5"/>
  <c r="D8" i="5"/>
  <c r="F15" i="5"/>
  <c r="F12" i="5"/>
  <c r="F8" i="5"/>
  <c r="B33" i="5"/>
  <c r="B25" i="5"/>
  <c r="B17" i="5"/>
  <c r="B9" i="5"/>
  <c r="B35" i="5"/>
  <c r="B27" i="5"/>
  <c r="B19" i="5"/>
  <c r="B11" i="5"/>
  <c r="B40" i="5"/>
  <c r="B32" i="5"/>
  <c r="B24" i="5"/>
  <c r="B16" i="5"/>
  <c r="B8" i="5"/>
  <c r="B37" i="5"/>
  <c r="B29" i="5"/>
  <c r="B21" i="5"/>
  <c r="B13" i="5"/>
  <c r="B34" i="5"/>
  <c r="B26" i="5"/>
  <c r="B18" i="5"/>
  <c r="R18" i="3"/>
  <c r="R25" i="3"/>
  <c r="R40" i="3"/>
  <c r="R10" i="3"/>
  <c r="R26" i="3"/>
  <c r="R33" i="3"/>
  <c r="R17" i="3"/>
  <c r="R9" i="3"/>
  <c r="B33" i="3"/>
  <c r="B9" i="3"/>
  <c r="B18" i="3"/>
  <c r="B40" i="3"/>
  <c r="B25" i="3"/>
  <c r="B34" i="3"/>
  <c r="L6" i="3"/>
  <c r="J7" i="3"/>
  <c r="H8" i="3"/>
  <c r="F9" i="3"/>
  <c r="D10" i="3"/>
  <c r="B11" i="3"/>
  <c r="R11" i="3"/>
  <c r="P12" i="3"/>
  <c r="N13" i="3"/>
  <c r="L14" i="3"/>
  <c r="J15" i="3"/>
  <c r="H16" i="3"/>
  <c r="F17" i="3"/>
  <c r="D18" i="3"/>
  <c r="B19" i="3"/>
  <c r="R19" i="3"/>
  <c r="P20" i="3"/>
  <c r="N21" i="3"/>
  <c r="L22" i="3"/>
  <c r="J23" i="3"/>
  <c r="H24" i="3"/>
  <c r="F25" i="3"/>
  <c r="D26" i="3"/>
  <c r="B27" i="3"/>
  <c r="R27" i="3"/>
  <c r="P28" i="3"/>
  <c r="N29" i="3"/>
  <c r="L30" i="3"/>
  <c r="J31" i="3"/>
  <c r="H32" i="3"/>
  <c r="F33" i="3"/>
  <c r="D34" i="3"/>
  <c r="B35" i="3"/>
  <c r="R35" i="3"/>
  <c r="P36" i="3"/>
  <c r="N37" i="3"/>
  <c r="L38" i="3"/>
  <c r="J39" i="3"/>
  <c r="H40" i="3"/>
  <c r="N35" i="3"/>
  <c r="J37" i="3"/>
  <c r="J22" i="3"/>
  <c r="L29" i="3"/>
  <c r="J38" i="3"/>
  <c r="N6" i="3"/>
  <c r="L7" i="3"/>
  <c r="J8" i="3"/>
  <c r="H9" i="3"/>
  <c r="F10" i="3"/>
  <c r="D11" i="3"/>
  <c r="B12" i="3"/>
  <c r="R12" i="3"/>
  <c r="P13" i="3"/>
  <c r="N14" i="3"/>
  <c r="L15" i="3"/>
  <c r="J16" i="3"/>
  <c r="H17" i="3"/>
  <c r="F18" i="3"/>
  <c r="D19" i="3"/>
  <c r="B20" i="3"/>
  <c r="R20" i="3"/>
  <c r="P21" i="3"/>
  <c r="N22" i="3"/>
  <c r="L23" i="3"/>
  <c r="J24" i="3"/>
  <c r="H25" i="3"/>
  <c r="F26" i="3"/>
  <c r="D27" i="3"/>
  <c r="B28" i="3"/>
  <c r="R28" i="3"/>
  <c r="P29" i="3"/>
  <c r="N30" i="3"/>
  <c r="L31" i="3"/>
  <c r="J32" i="3"/>
  <c r="H33" i="3"/>
  <c r="F34" i="3"/>
  <c r="D35" i="3"/>
  <c r="B36" i="3"/>
  <c r="R36" i="3"/>
  <c r="P37" i="3"/>
  <c r="N38" i="3"/>
  <c r="L39" i="3"/>
  <c r="J40" i="3"/>
  <c r="L37" i="3"/>
  <c r="P6" i="3"/>
  <c r="N7" i="3"/>
  <c r="L8" i="3"/>
  <c r="J9" i="3"/>
  <c r="H10" i="3"/>
  <c r="F11" i="3"/>
  <c r="D12" i="3"/>
  <c r="B13" i="3"/>
  <c r="R13" i="3"/>
  <c r="P14" i="3"/>
  <c r="N15" i="3"/>
  <c r="L16" i="3"/>
  <c r="J17" i="3"/>
  <c r="H18" i="3"/>
  <c r="F19" i="3"/>
  <c r="D20" i="3"/>
  <c r="B21" i="3"/>
  <c r="R21" i="3"/>
  <c r="P22" i="3"/>
  <c r="N23" i="3"/>
  <c r="L24" i="3"/>
  <c r="J25" i="3"/>
  <c r="H26" i="3"/>
  <c r="F27" i="3"/>
  <c r="D28" i="3"/>
  <c r="B29" i="3"/>
  <c r="R29" i="3"/>
  <c r="P30" i="3"/>
  <c r="N31" i="3"/>
  <c r="L32" i="3"/>
  <c r="J33" i="3"/>
  <c r="H34" i="3"/>
  <c r="F35" i="3"/>
  <c r="D36" i="3"/>
  <c r="B37" i="3"/>
  <c r="R37" i="3"/>
  <c r="P38" i="3"/>
  <c r="N39" i="3"/>
  <c r="L40" i="3"/>
  <c r="J21" i="3"/>
  <c r="L21" i="3"/>
  <c r="J30" i="3"/>
  <c r="B6" i="3"/>
  <c r="R6" i="3"/>
  <c r="P7" i="3"/>
  <c r="N8" i="3"/>
  <c r="L9" i="3"/>
  <c r="J10" i="3"/>
  <c r="H11" i="3"/>
  <c r="F12" i="3"/>
  <c r="D13" i="3"/>
  <c r="B14" i="3"/>
  <c r="R14" i="3"/>
  <c r="P15" i="3"/>
  <c r="N16" i="3"/>
  <c r="L17" i="3"/>
  <c r="J18" i="3"/>
  <c r="H19" i="3"/>
  <c r="F20" i="3"/>
  <c r="D21" i="3"/>
  <c r="B22" i="3"/>
  <c r="R22" i="3"/>
  <c r="P23" i="3"/>
  <c r="N24" i="3"/>
  <c r="L25" i="3"/>
  <c r="J26" i="3"/>
  <c r="H27" i="3"/>
  <c r="F28" i="3"/>
  <c r="D29" i="3"/>
  <c r="B30" i="3"/>
  <c r="R30" i="3"/>
  <c r="P31" i="3"/>
  <c r="N32" i="3"/>
  <c r="L33" i="3"/>
  <c r="J34" i="3"/>
  <c r="H35" i="3"/>
  <c r="F36" i="3"/>
  <c r="D37" i="3"/>
  <c r="B38" i="3"/>
  <c r="R38" i="3"/>
  <c r="P39" i="3"/>
  <c r="N40" i="3"/>
  <c r="N27" i="3"/>
  <c r="L13" i="3"/>
  <c r="N28" i="3"/>
  <c r="N36" i="3"/>
  <c r="D6" i="3"/>
  <c r="B7" i="3"/>
  <c r="R7" i="3"/>
  <c r="P8" i="3"/>
  <c r="N9" i="3"/>
  <c r="L10" i="3"/>
  <c r="J11" i="3"/>
  <c r="H12" i="3"/>
  <c r="F13" i="3"/>
  <c r="D14" i="3"/>
  <c r="B15" i="3"/>
  <c r="R15" i="3"/>
  <c r="P16" i="3"/>
  <c r="N17" i="3"/>
  <c r="L18" i="3"/>
  <c r="J19" i="3"/>
  <c r="H20" i="3"/>
  <c r="F21" i="3"/>
  <c r="D22" i="3"/>
  <c r="B23" i="3"/>
  <c r="R23" i="3"/>
  <c r="P24" i="3"/>
  <c r="N25" i="3"/>
  <c r="L26" i="3"/>
  <c r="J27" i="3"/>
  <c r="H28" i="3"/>
  <c r="F29" i="3"/>
  <c r="D30" i="3"/>
  <c r="B31" i="3"/>
  <c r="R31" i="3"/>
  <c r="P32" i="3"/>
  <c r="N33" i="3"/>
  <c r="L34" i="3"/>
  <c r="J35" i="3"/>
  <c r="H36" i="3"/>
  <c r="F37" i="3"/>
  <c r="D38" i="3"/>
  <c r="B39" i="3"/>
  <c r="R39" i="3"/>
  <c r="P40" i="3"/>
  <c r="N11" i="3"/>
  <c r="J13" i="3"/>
  <c r="N19" i="3"/>
  <c r="J29" i="3"/>
  <c r="J6" i="3"/>
  <c r="N12" i="3"/>
  <c r="J14" i="3"/>
  <c r="N20" i="3"/>
  <c r="F6" i="3"/>
  <c r="D7" i="3"/>
  <c r="B8" i="3"/>
  <c r="R8" i="3"/>
  <c r="P9" i="3"/>
  <c r="N10" i="3"/>
  <c r="L11" i="3"/>
  <c r="J12" i="3"/>
  <c r="H13" i="3"/>
  <c r="F14" i="3"/>
  <c r="D15" i="3"/>
  <c r="B16" i="3"/>
  <c r="R16" i="3"/>
  <c r="P17" i="3"/>
  <c r="N18" i="3"/>
  <c r="L19" i="3"/>
  <c r="J20" i="3"/>
  <c r="H21" i="3"/>
  <c r="F22" i="3"/>
  <c r="D23" i="3"/>
  <c r="B24" i="3"/>
  <c r="R24" i="3"/>
  <c r="P25" i="3"/>
  <c r="N26" i="3"/>
  <c r="L27" i="3"/>
  <c r="J28" i="3"/>
  <c r="H29" i="3"/>
  <c r="F30" i="3"/>
  <c r="D31" i="3"/>
  <c r="B32" i="3"/>
  <c r="R32" i="3"/>
  <c r="F41" i="6" l="1" a="1"/>
  <c r="F41" i="6" s="1"/>
  <c r="F41" i="5" a="1"/>
  <c r="F41" i="5" s="1"/>
  <c r="D41" i="7" a="1"/>
  <c r="D41" i="7" s="1"/>
  <c r="B41" i="4" a="1"/>
  <c r="B41" i="4" s="1"/>
  <c r="B41" i="5" a="1"/>
  <c r="B41" i="5" s="1"/>
  <c r="D41" i="4" a="1"/>
  <c r="D41" i="4" s="1"/>
  <c r="D41" i="6" a="1"/>
  <c r="D41" i="6" s="1"/>
  <c r="B41" i="6" a="1"/>
  <c r="B41" i="6" s="1"/>
  <c r="B41" i="7" a="1"/>
  <c r="B41" i="7" s="1"/>
  <c r="D41" i="5" a="1"/>
  <c r="D41" i="5" s="1"/>
  <c r="P41" i="3" a="1"/>
  <c r="P41" i="3" s="1"/>
  <c r="H41" i="3" a="1"/>
  <c r="H41" i="3" s="1"/>
  <c r="F41" i="3" a="1"/>
  <c r="F41" i="3" s="1"/>
  <c r="L41" i="3" a="1"/>
  <c r="L41" i="3" s="1"/>
  <c r="N41" i="3" a="1"/>
  <c r="N41" i="3" s="1"/>
  <c r="J41" i="3" a="1"/>
  <c r="J41" i="3" s="1"/>
  <c r="D41" i="3" a="1"/>
  <c r="D41" i="3" s="1"/>
  <c r="B41" i="3" a="1"/>
  <c r="B41" i="3" s="1"/>
  <c r="R41" i="3" a="1"/>
  <c r="R41" i="3" s="1"/>
  <c r="E44" i="3" l="1"/>
  <c r="B44" i="6"/>
  <c r="B44" i="4"/>
  <c r="B44" i="7"/>
  <c r="B44" i="5"/>
  <c r="B44" i="3"/>
  <c r="F44" i="3"/>
  <c r="F52" i="5" l="1"/>
  <c r="X51" i="5"/>
  <c r="F50" i="5"/>
  <c r="F48" i="5"/>
  <c r="X49" i="4" a="1"/>
  <c r="X49" i="4" s="1"/>
  <c r="F48" i="4"/>
  <c r="F54" i="4"/>
  <c r="F48" i="6"/>
  <c r="F50" i="7"/>
  <c r="F48" i="7"/>
  <c r="F52" i="4"/>
  <c r="F50" i="4"/>
  <c r="H50" i="4" s="1"/>
  <c r="C23" i="13"/>
  <c r="C29" i="13"/>
  <c r="K29" i="13"/>
  <c r="K23" i="13"/>
  <c r="E29" i="13"/>
  <c r="E23" i="13"/>
  <c r="I29" i="13"/>
  <c r="I23" i="13"/>
  <c r="G29" i="13"/>
  <c r="G23" i="13"/>
  <c r="AE87" i="3"/>
  <c r="AE83" i="3"/>
  <c r="G59" i="3"/>
  <c r="K59" i="3" s="1"/>
  <c r="G58" i="3"/>
  <c r="F58" i="3"/>
  <c r="F68" i="3"/>
  <c r="H68" i="3" s="1"/>
  <c r="G61" i="3"/>
  <c r="K61" i="3" s="1"/>
  <c r="F66" i="3"/>
  <c r="H66" i="3" s="1"/>
  <c r="F56" i="3"/>
  <c r="H56" i="3" s="1"/>
  <c r="G57" i="3"/>
  <c r="K57" i="3" s="1"/>
  <c r="G60" i="3"/>
  <c r="G50" i="3"/>
  <c r="G51" i="3"/>
  <c r="K51" i="3" s="1"/>
  <c r="G62" i="3"/>
  <c r="G63" i="3"/>
  <c r="K63" i="3" s="1"/>
  <c r="G52" i="3"/>
  <c r="F50" i="3"/>
  <c r="H50" i="3" s="1"/>
  <c r="G53" i="3"/>
  <c r="K53" i="3" s="1"/>
  <c r="F52" i="3"/>
  <c r="H52" i="3" s="1"/>
  <c r="G56" i="3"/>
  <c r="G54" i="3"/>
  <c r="G67" i="3"/>
  <c r="K67" i="3" s="1"/>
  <c r="F54" i="3"/>
  <c r="G68" i="3"/>
  <c r="F62" i="3"/>
  <c r="X49" i="3" s="1" a="1"/>
  <c r="X49" i="3" s="1"/>
  <c r="G55" i="3"/>
  <c r="K55" i="3" s="1"/>
  <c r="G48" i="3"/>
  <c r="G64" i="3"/>
  <c r="F48" i="3"/>
  <c r="H48" i="3" s="1"/>
  <c r="G65" i="3"/>
  <c r="K65" i="3" s="1"/>
  <c r="G69" i="3"/>
  <c r="K69" i="3" s="1"/>
  <c r="G66" i="3"/>
  <c r="F60" i="3"/>
  <c r="F64" i="3"/>
  <c r="H64" i="3" s="1"/>
  <c r="G49" i="3"/>
  <c r="K49" i="3" s="1"/>
  <c r="H52" i="4"/>
  <c r="H54" i="4"/>
  <c r="H55" i="4"/>
  <c r="H48" i="4"/>
  <c r="H49" i="4"/>
  <c r="H53" i="4"/>
  <c r="H51" i="4"/>
  <c r="G54" i="4"/>
  <c r="G52" i="4"/>
  <c r="G50" i="4"/>
  <c r="G48" i="4"/>
  <c r="H52" i="6"/>
  <c r="J52" i="6" s="1"/>
  <c r="G48" i="6"/>
  <c r="H48" i="6"/>
  <c r="J48" i="6" s="1"/>
  <c r="G50" i="6"/>
  <c r="G52" i="6"/>
  <c r="G48" i="7"/>
  <c r="G50" i="7"/>
  <c r="H50" i="7"/>
  <c r="G50" i="5"/>
  <c r="H48" i="5"/>
  <c r="G52" i="5"/>
  <c r="G48" i="5"/>
  <c r="H52" i="5"/>
  <c r="B2" i="8"/>
  <c r="G26" i="8" s="1"/>
  <c r="X53" i="3" l="1"/>
  <c r="X51" i="3"/>
  <c r="X50" i="3"/>
  <c r="H62" i="3"/>
  <c r="C30" i="13"/>
  <c r="I30" i="13"/>
  <c r="I31" i="13"/>
  <c r="I35" i="13"/>
  <c r="I32" i="13"/>
  <c r="E31" i="13"/>
  <c r="E35" i="13"/>
  <c r="E32" i="13"/>
  <c r="E30" i="13"/>
  <c r="C35" i="13"/>
  <c r="C31" i="13"/>
  <c r="C32" i="13"/>
  <c r="K32" i="13"/>
  <c r="K35" i="13"/>
  <c r="K31" i="13"/>
  <c r="K30" i="13"/>
  <c r="G31" i="13"/>
  <c r="G35" i="13"/>
  <c r="G30" i="13"/>
  <c r="G32" i="13"/>
  <c r="H48" i="7"/>
  <c r="K48" i="7" s="1"/>
  <c r="H50" i="6"/>
  <c r="J50" i="6" s="1"/>
  <c r="X58" i="6" s="1"/>
  <c r="AE85" i="3"/>
  <c r="H50" i="5"/>
  <c r="J50" i="5" s="1"/>
  <c r="H60" i="3"/>
  <c r="J60" i="3" s="1"/>
  <c r="K51" i="4"/>
  <c r="J51" i="4"/>
  <c r="H58" i="3"/>
  <c r="J58" i="3" s="1"/>
  <c r="J55" i="4"/>
  <c r="K55" i="4"/>
  <c r="K53" i="4"/>
  <c r="J53" i="4"/>
  <c r="K66" i="3"/>
  <c r="J66" i="3"/>
  <c r="K49" i="4"/>
  <c r="J49" i="4"/>
  <c r="J68" i="3"/>
  <c r="K68" i="3"/>
  <c r="J48" i="4"/>
  <c r="K48" i="6"/>
  <c r="K52" i="6"/>
  <c r="H54" i="3"/>
  <c r="J54" i="3" s="1"/>
  <c r="Z49" i="3" s="1"/>
  <c r="K52" i="5"/>
  <c r="J52" i="5"/>
  <c r="K48" i="5"/>
  <c r="J48" i="5"/>
  <c r="K50" i="3"/>
  <c r="K50" i="7"/>
  <c r="J50" i="7"/>
  <c r="K62" i="3"/>
  <c r="J50" i="4"/>
  <c r="K50" i="4"/>
  <c r="J48" i="3"/>
  <c r="J64" i="3"/>
  <c r="K52" i="4"/>
  <c r="J52" i="4"/>
  <c r="K48" i="3"/>
  <c r="K52" i="3"/>
  <c r="K56" i="3"/>
  <c r="J56" i="3"/>
  <c r="J52" i="3"/>
  <c r="G25" i="8"/>
  <c r="C25" i="8"/>
  <c r="C26" i="8"/>
  <c r="C21" i="8"/>
  <c r="G24" i="13" l="1"/>
  <c r="I24" i="13"/>
  <c r="X68" i="6"/>
  <c r="X66" i="6"/>
  <c r="X70" i="6"/>
  <c r="X69" i="6"/>
  <c r="X67" i="6"/>
  <c r="X71" i="6"/>
  <c r="X63" i="6"/>
  <c r="X72" i="6"/>
  <c r="X73" i="6"/>
  <c r="X64" i="6"/>
  <c r="X65" i="6"/>
  <c r="X52" i="6"/>
  <c r="I27" i="13" s="1"/>
  <c r="X53" i="6"/>
  <c r="X54" i="6" s="1"/>
  <c r="J48" i="7"/>
  <c r="X51" i="6"/>
  <c r="X50" i="6"/>
  <c r="Z49" i="6"/>
  <c r="K50" i="6"/>
  <c r="K60" i="3"/>
  <c r="K50" i="5"/>
  <c r="K48" i="4"/>
  <c r="J62" i="3"/>
  <c r="K58" i="3"/>
  <c r="K54" i="3"/>
  <c r="K64" i="3"/>
  <c r="J50" i="3"/>
  <c r="J54" i="4"/>
  <c r="K54" i="4"/>
  <c r="C27" i="8"/>
  <c r="C28" i="8" s="1"/>
  <c r="G27" i="8"/>
  <c r="I51" i="8" s="1"/>
  <c r="H51" i="8" s="1"/>
  <c r="X58" i="5" l="1"/>
  <c r="X52" i="5" s="1"/>
  <c r="G27" i="13" s="1"/>
  <c r="Z49" i="5"/>
  <c r="Z51" i="5"/>
  <c r="X50" i="5"/>
  <c r="Z50" i="5" s="1"/>
  <c r="G25" i="13" s="1"/>
  <c r="X53" i="5"/>
  <c r="X55" i="5" s="1"/>
  <c r="C24" i="13"/>
  <c r="Z50" i="6"/>
  <c r="I25" i="13"/>
  <c r="Z54" i="6"/>
  <c r="J25" i="13"/>
  <c r="Z51" i="6"/>
  <c r="I26" i="13"/>
  <c r="X59" i="6"/>
  <c r="J24" i="13"/>
  <c r="G26" i="13"/>
  <c r="X58" i="7"/>
  <c r="K24" i="13"/>
  <c r="X58" i="4"/>
  <c r="E24" i="13"/>
  <c r="X50" i="4"/>
  <c r="Z50" i="4" s="1"/>
  <c r="E25" i="13" s="1"/>
  <c r="Z49" i="4"/>
  <c r="X51" i="4"/>
  <c r="X53" i="4"/>
  <c r="X55" i="4" s="1"/>
  <c r="X55" i="6"/>
  <c r="Z53" i="6"/>
  <c r="X51" i="7"/>
  <c r="X50" i="7"/>
  <c r="Z50" i="7" s="1"/>
  <c r="K25" i="13" s="1"/>
  <c r="X53" i="7"/>
  <c r="Z49" i="7"/>
  <c r="C41" i="8"/>
  <c r="C42" i="8" s="1"/>
  <c r="C36" i="8"/>
  <c r="C31" i="8"/>
  <c r="C33" i="8" s="1"/>
  <c r="C40" i="8" s="1"/>
  <c r="C37" i="8"/>
  <c r="G28" i="8"/>
  <c r="J51" i="8" s="1"/>
  <c r="G37" i="8"/>
  <c r="G41" i="8"/>
  <c r="G42" i="8" s="1"/>
  <c r="G31" i="8"/>
  <c r="G33" i="8" s="1"/>
  <c r="G34" i="8" s="1"/>
  <c r="G36" i="8"/>
  <c r="I52" i="8"/>
  <c r="H52" i="8" s="1"/>
  <c r="X54" i="5" l="1"/>
  <c r="Z54" i="5" s="1"/>
  <c r="H25" i="13" s="1"/>
  <c r="X64" i="5"/>
  <c r="X73" i="5"/>
  <c r="X65" i="5"/>
  <c r="X59" i="5"/>
  <c r="Y69" i="5" s="1"/>
  <c r="H24" i="13"/>
  <c r="X71" i="5"/>
  <c r="X70" i="5"/>
  <c r="X69" i="5"/>
  <c r="X68" i="5"/>
  <c r="X66" i="5"/>
  <c r="X67" i="5"/>
  <c r="Z53" i="5"/>
  <c r="X72" i="5"/>
  <c r="X63" i="5"/>
  <c r="X58" i="3"/>
  <c r="X69" i="3" s="1"/>
  <c r="AE84" i="3"/>
  <c r="Z51" i="3"/>
  <c r="D24" i="13"/>
  <c r="Z50" i="3"/>
  <c r="C25" i="13" s="1"/>
  <c r="Y73" i="6"/>
  <c r="X56" i="6"/>
  <c r="J27" i="13" s="1"/>
  <c r="Y66" i="6"/>
  <c r="Y69" i="6"/>
  <c r="Y63" i="6"/>
  <c r="Y71" i="6"/>
  <c r="Y67" i="6"/>
  <c r="Y70" i="6"/>
  <c r="Y68" i="6"/>
  <c r="Y65" i="6"/>
  <c r="Y64" i="6"/>
  <c r="Y72" i="6"/>
  <c r="Z55" i="6"/>
  <c r="J26" i="13"/>
  <c r="X54" i="4"/>
  <c r="Z54" i="4" s="1"/>
  <c r="F25" i="13" s="1"/>
  <c r="Z53" i="4"/>
  <c r="X52" i="4"/>
  <c r="E27" i="13" s="1"/>
  <c r="X69" i="4"/>
  <c r="X71" i="4"/>
  <c r="X70" i="4"/>
  <c r="X64" i="4"/>
  <c r="X72" i="4"/>
  <c r="X65" i="4"/>
  <c r="X73" i="4"/>
  <c r="X66" i="4"/>
  <c r="X63" i="4"/>
  <c r="X67" i="4"/>
  <c r="X68" i="4"/>
  <c r="X59" i="7"/>
  <c r="L24" i="13"/>
  <c r="Z51" i="7"/>
  <c r="K26" i="13"/>
  <c r="X71" i="7"/>
  <c r="X64" i="7"/>
  <c r="X65" i="7"/>
  <c r="X73" i="7"/>
  <c r="X72" i="7"/>
  <c r="X66" i="7"/>
  <c r="X63" i="7"/>
  <c r="X67" i="7"/>
  <c r="X68" i="7"/>
  <c r="X69" i="7"/>
  <c r="X70" i="7"/>
  <c r="X52" i="7"/>
  <c r="K27" i="13" s="1"/>
  <c r="Z55" i="4"/>
  <c r="F26" i="13"/>
  <c r="X59" i="4"/>
  <c r="F24" i="13"/>
  <c r="Z55" i="5"/>
  <c r="H26" i="13"/>
  <c r="Z51" i="4"/>
  <c r="E26" i="13"/>
  <c r="X54" i="3"/>
  <c r="Z54" i="3" s="1"/>
  <c r="D25" i="13" s="1"/>
  <c r="X59" i="3"/>
  <c r="X55" i="3"/>
  <c r="X55" i="7"/>
  <c r="X54" i="7"/>
  <c r="Z54" i="7" s="1"/>
  <c r="L25" i="13" s="1"/>
  <c r="Z53" i="7"/>
  <c r="Z52" i="5"/>
  <c r="Z52" i="6"/>
  <c r="C51" i="8"/>
  <c r="B51" i="8" s="1"/>
  <c r="J50" i="8"/>
  <c r="K50" i="8" s="1"/>
  <c r="D50" i="8"/>
  <c r="C34" i="8"/>
  <c r="G40" i="8"/>
  <c r="J52" i="8"/>
  <c r="I53" i="8"/>
  <c r="H53" i="8" s="1"/>
  <c r="Y66" i="5" l="1"/>
  <c r="Y68" i="5"/>
  <c r="Y73" i="5"/>
  <c r="Y70" i="5"/>
  <c r="X56" i="5"/>
  <c r="H27" i="13" s="1"/>
  <c r="Y65" i="5"/>
  <c r="Y72" i="5"/>
  <c r="Y64" i="5"/>
  <c r="Y71" i="5"/>
  <c r="Y67" i="5"/>
  <c r="Y63" i="5"/>
  <c r="X56" i="3"/>
  <c r="D27" i="13" s="1"/>
  <c r="C26" i="13"/>
  <c r="Z53" i="3"/>
  <c r="X68" i="3"/>
  <c r="X72" i="3"/>
  <c r="X66" i="3"/>
  <c r="X64" i="3"/>
  <c r="X67" i="3"/>
  <c r="X73" i="3"/>
  <c r="X52" i="3"/>
  <c r="C27" i="13" s="1"/>
  <c r="X63" i="3"/>
  <c r="X71" i="3"/>
  <c r="X65" i="3"/>
  <c r="X70" i="3"/>
  <c r="Z52" i="4"/>
  <c r="X56" i="7"/>
  <c r="L27" i="13" s="1"/>
  <c r="Y66" i="7"/>
  <c r="Y63" i="7"/>
  <c r="Y68" i="7"/>
  <c r="Y67" i="7"/>
  <c r="Y69" i="7"/>
  <c r="Y70" i="7"/>
  <c r="Y71" i="7"/>
  <c r="Y64" i="7"/>
  <c r="Y72" i="7"/>
  <c r="Y65" i="7"/>
  <c r="Y73" i="7"/>
  <c r="X56" i="4"/>
  <c r="F27" i="13" s="1"/>
  <c r="Y64" i="4"/>
  <c r="Y72" i="4"/>
  <c r="Y73" i="4"/>
  <c r="Y66" i="4"/>
  <c r="Y63" i="4"/>
  <c r="Y65" i="4"/>
  <c r="Y67" i="4"/>
  <c r="Y68" i="4"/>
  <c r="Y69" i="4"/>
  <c r="Y70" i="4"/>
  <c r="Y71" i="4"/>
  <c r="Z55" i="7"/>
  <c r="L26" i="13"/>
  <c r="Z55" i="3"/>
  <c r="D26" i="13"/>
  <c r="Y68" i="3"/>
  <c r="Y69" i="3"/>
  <c r="Y70" i="3"/>
  <c r="Y71" i="3"/>
  <c r="Y64" i="3"/>
  <c r="Y72" i="3"/>
  <c r="Y65" i="3"/>
  <c r="Y73" i="3"/>
  <c r="Y66" i="3"/>
  <c r="Y63" i="3"/>
  <c r="Y67" i="3"/>
  <c r="Z56" i="6"/>
  <c r="Z52" i="7"/>
  <c r="D51" i="8"/>
  <c r="E50" i="8" s="1"/>
  <c r="C52" i="8"/>
  <c r="B52" i="8" s="1"/>
  <c r="K51" i="8"/>
  <c r="J53" i="8"/>
  <c r="K52" i="8" s="1"/>
  <c r="I54" i="8"/>
  <c r="H54" i="8" s="1"/>
  <c r="Z56" i="5" l="1"/>
  <c r="Z52" i="3"/>
  <c r="Z56" i="4"/>
  <c r="Z56" i="3"/>
  <c r="Z56" i="7"/>
  <c r="C53" i="8"/>
  <c r="B53" i="8" s="1"/>
  <c r="D52" i="8"/>
  <c r="E51" i="8" s="1"/>
  <c r="J54" i="8"/>
  <c r="K53" i="8" s="1"/>
  <c r="I55" i="8"/>
  <c r="H55" i="8" s="1"/>
  <c r="D53" i="8" l="1"/>
  <c r="E52" i="8" s="1"/>
  <c r="C54" i="8"/>
  <c r="B54" i="8" s="1"/>
  <c r="J55" i="8"/>
  <c r="I56" i="8"/>
  <c r="H56" i="8" s="1"/>
  <c r="D54" i="8" l="1"/>
  <c r="E53" i="8" s="1"/>
  <c r="C55" i="8"/>
  <c r="B55" i="8" s="1"/>
  <c r="I57" i="8"/>
  <c r="H57" i="8" s="1"/>
  <c r="J56" i="8"/>
  <c r="K55" i="8" s="1"/>
  <c r="K54" i="8"/>
  <c r="C56" i="8" l="1"/>
  <c r="D56" i="8" s="1"/>
  <c r="D55" i="8"/>
  <c r="E54" i="8" s="1"/>
  <c r="I58" i="8"/>
  <c r="H58" i="8" s="1"/>
  <c r="J57" i="8"/>
  <c r="K56" i="8" s="1"/>
  <c r="C57" i="8" l="1"/>
  <c r="C58" i="8" s="1"/>
  <c r="B58" i="8" s="1"/>
  <c r="B56" i="8"/>
  <c r="E55" i="8" s="1"/>
  <c r="I59" i="8"/>
  <c r="H59" i="8" s="1"/>
  <c r="J58" i="8"/>
  <c r="K57" i="8" s="1"/>
  <c r="C59" i="8" l="1"/>
  <c r="C60" i="8" s="1"/>
  <c r="B60" i="8" s="1"/>
  <c r="B57" i="8"/>
  <c r="D57" i="8"/>
  <c r="D58" i="8"/>
  <c r="J59" i="8"/>
  <c r="K58" i="8" s="1"/>
  <c r="I60" i="8"/>
  <c r="H60" i="8" s="1"/>
  <c r="E56" i="8" l="1"/>
  <c r="E57" i="8"/>
  <c r="B59" i="8"/>
  <c r="D59" i="8"/>
  <c r="C61" i="8"/>
  <c r="B61" i="8" s="1"/>
  <c r="D60" i="8"/>
  <c r="J60" i="8"/>
  <c r="K59" i="8" s="1"/>
  <c r="I61" i="8"/>
  <c r="H61" i="8" s="1"/>
  <c r="E59" i="8" l="1"/>
  <c r="C62" i="8"/>
  <c r="B62" i="8" s="1"/>
  <c r="D61" i="8"/>
  <c r="E60" i="8" s="1"/>
  <c r="E58" i="8"/>
  <c r="I62" i="8"/>
  <c r="H62" i="8" s="1"/>
  <c r="J61" i="8"/>
  <c r="K60" i="8" s="1"/>
  <c r="C63" i="8" l="1"/>
  <c r="D63" i="8" s="1"/>
  <c r="D62" i="8"/>
  <c r="E61" i="8" s="1"/>
  <c r="J62" i="8"/>
  <c r="K61" i="8" s="1"/>
  <c r="I63" i="8"/>
  <c r="H63" i="8" s="1"/>
  <c r="B63" i="8" l="1"/>
  <c r="E62" i="8" s="1"/>
  <c r="C64" i="8"/>
  <c r="C65" i="8" s="1"/>
  <c r="J63" i="8"/>
  <c r="K62" i="8" s="1"/>
  <c r="I64" i="8"/>
  <c r="H64" i="8" s="1"/>
  <c r="B64" i="8" l="1"/>
  <c r="D64" i="8"/>
  <c r="J64" i="8"/>
  <c r="K63" i="8" s="1"/>
  <c r="I65" i="8"/>
  <c r="H65" i="8" s="1"/>
  <c r="B65" i="8"/>
  <c r="D65" i="8"/>
  <c r="C66" i="8"/>
  <c r="E63" i="8" l="1"/>
  <c r="J65" i="8"/>
  <c r="K64" i="8" s="1"/>
  <c r="I66" i="8"/>
  <c r="H66" i="8" s="1"/>
  <c r="B66" i="8"/>
  <c r="D66" i="8"/>
  <c r="C67" i="8"/>
  <c r="E64" i="8"/>
  <c r="I67" i="8" l="1"/>
  <c r="H67" i="8" s="1"/>
  <c r="J66" i="8"/>
  <c r="K65" i="8" s="1"/>
  <c r="E65" i="8"/>
  <c r="B67" i="8"/>
  <c r="C68" i="8"/>
  <c r="D67" i="8"/>
  <c r="E66" i="8" l="1"/>
  <c r="J67" i="8"/>
  <c r="K66" i="8" s="1"/>
  <c r="I68" i="8"/>
  <c r="H68" i="8" s="1"/>
  <c r="B68" i="8"/>
  <c r="C69" i="8"/>
  <c r="D68" i="8"/>
  <c r="J68" i="8" l="1"/>
  <c r="K67" i="8" s="1"/>
  <c r="I69" i="8"/>
  <c r="H69" i="8" s="1"/>
  <c r="E67" i="8"/>
  <c r="D69" i="8"/>
  <c r="C70" i="8"/>
  <c r="B69" i="8"/>
  <c r="I70" i="8" l="1"/>
  <c r="H70" i="8" s="1"/>
  <c r="J69" i="8"/>
  <c r="K68" i="8" s="1"/>
  <c r="B70" i="8"/>
  <c r="D70" i="8"/>
  <c r="C71" i="8"/>
  <c r="E68" i="8"/>
  <c r="J70" i="8" l="1"/>
  <c r="K69" i="8" s="1"/>
  <c r="I71" i="8"/>
  <c r="H71" i="8" s="1"/>
  <c r="E69" i="8"/>
  <c r="B71" i="8"/>
  <c r="C72" i="8"/>
  <c r="D71" i="8"/>
  <c r="I72" i="8" l="1"/>
  <c r="H72" i="8" s="1"/>
  <c r="J71" i="8"/>
  <c r="K70" i="8" s="1"/>
  <c r="E70" i="8"/>
  <c r="C73" i="8"/>
  <c r="B72" i="8"/>
  <c r="D72" i="8"/>
  <c r="J72" i="8" l="1"/>
  <c r="K71" i="8" s="1"/>
  <c r="I73" i="8"/>
  <c r="H73" i="8" s="1"/>
  <c r="E71" i="8"/>
  <c r="B73" i="8"/>
  <c r="C74" i="8"/>
  <c r="D73" i="8"/>
  <c r="J73" i="8" l="1"/>
  <c r="K72" i="8" s="1"/>
  <c r="I74" i="8"/>
  <c r="H74" i="8" s="1"/>
  <c r="B74" i="8"/>
  <c r="C75" i="8"/>
  <c r="D74" i="8"/>
  <c r="E72" i="8"/>
  <c r="I75" i="8" l="1"/>
  <c r="H75" i="8" s="1"/>
  <c r="J74" i="8"/>
  <c r="K73" i="8" s="1"/>
  <c r="E73" i="8"/>
  <c r="C76" i="8"/>
  <c r="B75" i="8"/>
  <c r="D75" i="8"/>
  <c r="J75" i="8" l="1"/>
  <c r="K74" i="8" s="1"/>
  <c r="I76" i="8"/>
  <c r="H76" i="8" s="1"/>
  <c r="E74" i="8"/>
  <c r="B76" i="8"/>
  <c r="D76" i="8"/>
  <c r="C77" i="8"/>
  <c r="I77" i="8" l="1"/>
  <c r="H77" i="8" s="1"/>
  <c r="J76" i="8"/>
  <c r="K75" i="8" s="1"/>
  <c r="E75" i="8"/>
  <c r="C78" i="8"/>
  <c r="B77" i="8"/>
  <c r="D77" i="8"/>
  <c r="I78" i="8" l="1"/>
  <c r="H78" i="8" s="1"/>
  <c r="J77" i="8"/>
  <c r="K76" i="8" s="1"/>
  <c r="E76" i="8"/>
  <c r="B78" i="8"/>
  <c r="C79" i="8"/>
  <c r="D78" i="8"/>
  <c r="I79" i="8" l="1"/>
  <c r="H79" i="8" s="1"/>
  <c r="J78" i="8"/>
  <c r="K77" i="8" s="1"/>
  <c r="B79" i="8"/>
  <c r="C80" i="8"/>
  <c r="D79" i="8"/>
  <c r="E77" i="8"/>
  <c r="J79" i="8" l="1"/>
  <c r="K78" i="8" s="1"/>
  <c r="I80" i="8"/>
  <c r="H80" i="8" s="1"/>
  <c r="E78" i="8"/>
  <c r="C81" i="8"/>
  <c r="D80" i="8"/>
  <c r="B80" i="8"/>
  <c r="J80" i="8" l="1"/>
  <c r="K79" i="8" s="1"/>
  <c r="I81" i="8"/>
  <c r="H81" i="8" s="1"/>
  <c r="E79" i="8"/>
  <c r="B81" i="8"/>
  <c r="C82" i="8"/>
  <c r="D81" i="8"/>
  <c r="J81" i="8" l="1"/>
  <c r="K80" i="8" s="1"/>
  <c r="I82" i="8"/>
  <c r="H82" i="8" s="1"/>
  <c r="C83" i="8"/>
  <c r="D82" i="8"/>
  <c r="B82" i="8"/>
  <c r="E80" i="8"/>
  <c r="J82" i="8" l="1"/>
  <c r="K81" i="8" s="1"/>
  <c r="I83" i="8"/>
  <c r="H83" i="8" s="1"/>
  <c r="B83" i="8"/>
  <c r="D83" i="8"/>
  <c r="C84" i="8"/>
  <c r="E81" i="8"/>
  <c r="I84" i="8" l="1"/>
  <c r="H84" i="8" s="1"/>
  <c r="J83" i="8"/>
  <c r="K82" i="8" s="1"/>
  <c r="E82" i="8"/>
  <c r="B84" i="8"/>
  <c r="C85" i="8"/>
  <c r="D84" i="8"/>
  <c r="J84" i="8" l="1"/>
  <c r="K83" i="8" s="1"/>
  <c r="I85" i="8"/>
  <c r="H85" i="8" s="1"/>
  <c r="C86" i="8"/>
  <c r="D85" i="8"/>
  <c r="B85" i="8"/>
  <c r="E83" i="8"/>
  <c r="I86" i="8"/>
  <c r="H86" i="8" s="1"/>
  <c r="J85" i="8"/>
  <c r="E84" i="8" l="1"/>
  <c r="D86" i="8"/>
  <c r="B86" i="8"/>
  <c r="C87" i="8"/>
  <c r="K84" i="8"/>
  <c r="I87" i="8"/>
  <c r="H87" i="8" s="1"/>
  <c r="J86" i="8"/>
  <c r="B87" i="8" l="1"/>
  <c r="C88" i="8"/>
  <c r="D87" i="8"/>
  <c r="E85" i="8"/>
  <c r="I88" i="8"/>
  <c r="H88" i="8" s="1"/>
  <c r="J87" i="8"/>
  <c r="K85" i="8"/>
  <c r="E86" i="8" l="1"/>
  <c r="B88" i="8"/>
  <c r="D88" i="8"/>
  <c r="C89" i="8"/>
  <c r="K86" i="8"/>
  <c r="I89" i="8"/>
  <c r="H89" i="8" s="1"/>
  <c r="J88" i="8"/>
  <c r="E87" i="8" l="1"/>
  <c r="C90" i="8"/>
  <c r="B89" i="8"/>
  <c r="D89" i="8"/>
  <c r="I90" i="8"/>
  <c r="H90" i="8" s="1"/>
  <c r="J89" i="8"/>
  <c r="K88" i="8" s="1"/>
  <c r="K87" i="8"/>
  <c r="E88" i="8" l="1"/>
  <c r="C91" i="8"/>
  <c r="B90" i="8"/>
  <c r="D90" i="8"/>
  <c r="I91" i="8"/>
  <c r="H91" i="8" s="1"/>
  <c r="J90" i="8"/>
  <c r="E89" i="8" l="1"/>
  <c r="D91" i="8"/>
  <c r="B91" i="8"/>
  <c r="C92" i="8"/>
  <c r="I92" i="8"/>
  <c r="H92" i="8" s="1"/>
  <c r="J91" i="8"/>
  <c r="K89" i="8"/>
  <c r="E90" i="8" l="1"/>
  <c r="D92" i="8"/>
  <c r="C93" i="8"/>
  <c r="B92" i="8"/>
  <c r="I93" i="8"/>
  <c r="H93" i="8" s="1"/>
  <c r="J92" i="8"/>
  <c r="K90" i="8"/>
  <c r="D93" i="8" l="1"/>
  <c r="B93" i="8"/>
  <c r="C94" i="8"/>
  <c r="E91" i="8"/>
  <c r="K91" i="8"/>
  <c r="I94" i="8"/>
  <c r="H94" i="8" s="1"/>
  <c r="J93" i="8"/>
  <c r="C95" i="8" l="1"/>
  <c r="B94" i="8"/>
  <c r="D94" i="8"/>
  <c r="E92" i="8"/>
  <c r="I95" i="8"/>
  <c r="H95" i="8" s="1"/>
  <c r="J94" i="8"/>
  <c r="K92" i="8"/>
  <c r="B95" i="8" l="1"/>
  <c r="C96" i="8"/>
  <c r="D95" i="8"/>
  <c r="E93" i="8"/>
  <c r="I96" i="8"/>
  <c r="H96" i="8" s="1"/>
  <c r="J95" i="8"/>
  <c r="K93" i="8"/>
  <c r="E94" i="8" l="1"/>
  <c r="C97" i="8"/>
  <c r="B96" i="8"/>
  <c r="D96" i="8"/>
  <c r="I97" i="8"/>
  <c r="H97" i="8" s="1"/>
  <c r="J96" i="8"/>
  <c r="K94" i="8"/>
  <c r="E95" i="8" l="1"/>
  <c r="B97" i="8"/>
  <c r="D97" i="8"/>
  <c r="C98" i="8"/>
  <c r="I98" i="8"/>
  <c r="H98" i="8" s="1"/>
  <c r="J97" i="8"/>
  <c r="K95" i="8"/>
  <c r="E96" i="8" l="1"/>
  <c r="C99" i="8"/>
  <c r="B98" i="8"/>
  <c r="D98" i="8"/>
  <c r="I99" i="8"/>
  <c r="H99" i="8" s="1"/>
  <c r="J98" i="8"/>
  <c r="K96" i="8"/>
  <c r="B99" i="8" l="1"/>
  <c r="C100" i="8"/>
  <c r="D99" i="8"/>
  <c r="K97" i="8"/>
  <c r="E97" i="8"/>
  <c r="I100" i="8"/>
  <c r="H100" i="8" s="1"/>
  <c r="J99" i="8"/>
  <c r="E98" i="8" l="1"/>
  <c r="B100" i="8"/>
  <c r="C101" i="8"/>
  <c r="D100" i="8"/>
  <c r="I101" i="8"/>
  <c r="H101" i="8" s="1"/>
  <c r="J100" i="8"/>
  <c r="K98" i="8"/>
  <c r="B101" i="8" l="1"/>
  <c r="C102" i="8"/>
  <c r="D101" i="8"/>
  <c r="E99" i="8"/>
  <c r="I102" i="8"/>
  <c r="H102" i="8" s="1"/>
  <c r="J101" i="8"/>
  <c r="K100" i="8" s="1"/>
  <c r="K99" i="8"/>
  <c r="E100" i="8" l="1"/>
  <c r="B102" i="8"/>
  <c r="C103" i="8"/>
  <c r="D102" i="8"/>
  <c r="I103" i="8"/>
  <c r="H103" i="8" s="1"/>
  <c r="J102" i="8"/>
  <c r="E101" i="8" l="1"/>
  <c r="B103" i="8"/>
  <c r="C104" i="8"/>
  <c r="D103" i="8"/>
  <c r="I104" i="8"/>
  <c r="H104" i="8" s="1"/>
  <c r="J103" i="8"/>
  <c r="K101" i="8"/>
  <c r="B104" i="8" l="1"/>
  <c r="D104" i="8"/>
  <c r="C105" i="8"/>
  <c r="E102" i="8"/>
  <c r="I105" i="8"/>
  <c r="H105" i="8" s="1"/>
  <c r="J104" i="8"/>
  <c r="K102" i="8"/>
  <c r="E103" i="8" l="1"/>
  <c r="B105" i="8"/>
  <c r="C106" i="8"/>
  <c r="D105" i="8"/>
  <c r="I106" i="8"/>
  <c r="H106" i="8" s="1"/>
  <c r="J105" i="8"/>
  <c r="K104" i="8" s="1"/>
  <c r="K103" i="8"/>
  <c r="E104" i="8" l="1"/>
  <c r="C107" i="8"/>
  <c r="B106" i="8"/>
  <c r="D106" i="8"/>
  <c r="I107" i="8"/>
  <c r="H107" i="8" s="1"/>
  <c r="J106" i="8"/>
  <c r="E105" i="8" l="1"/>
  <c r="D107" i="8"/>
  <c r="B107" i="8"/>
  <c r="C108" i="8"/>
  <c r="I108" i="8"/>
  <c r="H108" i="8" s="1"/>
  <c r="J107" i="8"/>
  <c r="K106" i="8" s="1"/>
  <c r="K105" i="8"/>
  <c r="C109" i="8" l="1"/>
  <c r="B108" i="8"/>
  <c r="D108" i="8"/>
  <c r="E106" i="8"/>
  <c r="I109" i="8"/>
  <c r="H109" i="8" s="1"/>
  <c r="J108" i="8"/>
  <c r="E107" i="8" l="1"/>
  <c r="C110" i="8"/>
  <c r="D109" i="8"/>
  <c r="B109" i="8"/>
  <c r="I110" i="8"/>
  <c r="H110" i="8" s="1"/>
  <c r="J109" i="8"/>
  <c r="K107" i="8"/>
  <c r="E108" i="8" l="1"/>
  <c r="C111" i="8"/>
  <c r="B110" i="8"/>
  <c r="D110" i="8"/>
  <c r="K108" i="8"/>
  <c r="I111" i="8"/>
  <c r="H111" i="8" s="1"/>
  <c r="J110" i="8"/>
  <c r="E109" i="8" l="1"/>
  <c r="D111" i="8"/>
  <c r="B111" i="8"/>
  <c r="C112" i="8"/>
  <c r="I112" i="8"/>
  <c r="H112" i="8" s="1"/>
  <c r="J111" i="8"/>
  <c r="K110" i="8" s="1"/>
  <c r="K109" i="8"/>
  <c r="E110" i="8" l="1"/>
  <c r="B112" i="8"/>
  <c r="C113" i="8"/>
  <c r="D112" i="8"/>
  <c r="I113" i="8"/>
  <c r="H113" i="8" s="1"/>
  <c r="J112" i="8"/>
  <c r="E111" i="8" l="1"/>
  <c r="B113" i="8"/>
  <c r="C114" i="8"/>
  <c r="D113" i="8"/>
  <c r="I114" i="8"/>
  <c r="H114" i="8" s="1"/>
  <c r="J113" i="8"/>
  <c r="K111" i="8"/>
  <c r="E112" i="8" l="1"/>
  <c r="B114" i="8"/>
  <c r="D114" i="8"/>
  <c r="C115" i="8"/>
  <c r="I115" i="8"/>
  <c r="H115" i="8" s="1"/>
  <c r="J114" i="8"/>
  <c r="K112" i="8"/>
  <c r="E113" i="8" l="1"/>
  <c r="C116" i="8"/>
  <c r="B115" i="8"/>
  <c r="D115" i="8"/>
  <c r="I116" i="8"/>
  <c r="H116" i="8" s="1"/>
  <c r="J115" i="8"/>
  <c r="K113" i="8"/>
  <c r="E114" i="8" l="1"/>
  <c r="C117" i="8"/>
  <c r="D116" i="8"/>
  <c r="B116" i="8"/>
  <c r="I117" i="8"/>
  <c r="H117" i="8" s="1"/>
  <c r="J116" i="8"/>
  <c r="K114" i="8"/>
  <c r="D117" i="8" l="1"/>
  <c r="B117" i="8"/>
  <c r="C118" i="8"/>
  <c r="E115" i="8"/>
  <c r="K115" i="8"/>
  <c r="I118" i="8"/>
  <c r="H118" i="8" s="1"/>
  <c r="J117" i="8"/>
  <c r="E116" i="8" l="1"/>
  <c r="D118" i="8"/>
  <c r="B118" i="8"/>
  <c r="C119" i="8"/>
  <c r="I119" i="8"/>
  <c r="H119" i="8" s="1"/>
  <c r="J118" i="8"/>
  <c r="K117" i="8" s="1"/>
  <c r="K116" i="8"/>
  <c r="E117" i="8" l="1"/>
  <c r="C120" i="8"/>
  <c r="D119" i="8"/>
  <c r="B119" i="8"/>
  <c r="I120" i="8"/>
  <c r="H120" i="8" s="1"/>
  <c r="J119" i="8"/>
  <c r="K118" i="8" s="1"/>
  <c r="E118" i="8" l="1"/>
  <c r="B120" i="8"/>
  <c r="C121" i="8"/>
  <c r="D120" i="8"/>
  <c r="I121" i="8"/>
  <c r="H121" i="8" s="1"/>
  <c r="J120" i="8"/>
  <c r="E119" i="8" l="1"/>
  <c r="C122" i="8"/>
  <c r="D121" i="8"/>
  <c r="B121" i="8"/>
  <c r="I122" i="8"/>
  <c r="H122" i="8" s="1"/>
  <c r="J121" i="8"/>
  <c r="K119" i="8"/>
  <c r="E120" i="8" l="1"/>
  <c r="C123" i="8"/>
  <c r="B122" i="8"/>
  <c r="D122" i="8"/>
  <c r="I123" i="8"/>
  <c r="H123" i="8" s="1"/>
  <c r="J122" i="8"/>
  <c r="K121" i="8" s="1"/>
  <c r="K120" i="8"/>
  <c r="E121" i="8" l="1"/>
  <c r="C124" i="8"/>
  <c r="B123" i="8"/>
  <c r="D123" i="8"/>
  <c r="I124" i="8"/>
  <c r="H124" i="8" s="1"/>
  <c r="J123" i="8"/>
  <c r="K122" i="8" s="1"/>
  <c r="E122" i="8" l="1"/>
  <c r="C125" i="8"/>
  <c r="D124" i="8"/>
  <c r="B124" i="8"/>
  <c r="I125" i="8"/>
  <c r="H125" i="8" s="1"/>
  <c r="J124" i="8"/>
  <c r="E123" i="8" l="1"/>
  <c r="D125" i="8"/>
  <c r="C126" i="8"/>
  <c r="B125" i="8"/>
  <c r="I126" i="8"/>
  <c r="H126" i="8" s="1"/>
  <c r="J125" i="8"/>
  <c r="K123" i="8"/>
  <c r="E124" i="8" l="1"/>
  <c r="B126" i="8"/>
  <c r="C127" i="8"/>
  <c r="D126" i="8"/>
  <c r="I127" i="8"/>
  <c r="H127" i="8" s="1"/>
  <c r="J126" i="8"/>
  <c r="K124" i="8"/>
  <c r="E125" i="8" l="1"/>
  <c r="C128" i="8"/>
  <c r="D127" i="8"/>
  <c r="B127" i="8"/>
  <c r="K125" i="8"/>
  <c r="I128" i="8"/>
  <c r="H128" i="8" s="1"/>
  <c r="J127" i="8"/>
  <c r="K126" i="8" s="1"/>
  <c r="E126" i="8" l="1"/>
  <c r="B128" i="8"/>
  <c r="C129" i="8"/>
  <c r="D128" i="8"/>
  <c r="I129" i="8"/>
  <c r="H129" i="8" s="1"/>
  <c r="J128" i="8"/>
  <c r="E127" i="8" l="1"/>
  <c r="B129" i="8"/>
  <c r="D129" i="8"/>
  <c r="C130" i="8"/>
  <c r="K127" i="8"/>
  <c r="I130" i="8"/>
  <c r="H130" i="8" s="1"/>
  <c r="J129" i="8"/>
  <c r="E128" i="8" l="1"/>
  <c r="C131" i="8"/>
  <c r="B130" i="8"/>
  <c r="D130" i="8"/>
  <c r="I131" i="8"/>
  <c r="H131" i="8" s="1"/>
  <c r="J130" i="8"/>
  <c r="K128" i="8"/>
  <c r="E129" i="8" l="1"/>
  <c r="C132" i="8"/>
  <c r="D131" i="8"/>
  <c r="B131" i="8"/>
  <c r="I132" i="8"/>
  <c r="H132" i="8" s="1"/>
  <c r="J131" i="8"/>
  <c r="K129" i="8"/>
  <c r="B132" i="8" l="1"/>
  <c r="C133" i="8"/>
  <c r="D132" i="8"/>
  <c r="E130" i="8"/>
  <c r="I133" i="8"/>
  <c r="H133" i="8" s="1"/>
  <c r="J132" i="8"/>
  <c r="K130" i="8"/>
  <c r="E131" i="8" l="1"/>
  <c r="B133" i="8"/>
  <c r="C134" i="8"/>
  <c r="D133" i="8"/>
  <c r="I134" i="8"/>
  <c r="H134" i="8" s="1"/>
  <c r="J133" i="8"/>
  <c r="K131" i="8"/>
  <c r="E132" i="8" l="1"/>
  <c r="B134" i="8"/>
  <c r="D134" i="8"/>
  <c r="C135" i="8"/>
  <c r="I135" i="8"/>
  <c r="H135" i="8" s="1"/>
  <c r="J134" i="8"/>
  <c r="K132" i="8"/>
  <c r="E133" i="8" l="1"/>
  <c r="B135" i="8"/>
  <c r="C136" i="8"/>
  <c r="D135" i="8"/>
  <c r="I136" i="8"/>
  <c r="H136" i="8" s="1"/>
  <c r="J135" i="8"/>
  <c r="K133" i="8"/>
  <c r="B136" i="8" l="1"/>
  <c r="C137" i="8"/>
  <c r="D136" i="8"/>
  <c r="E134" i="8"/>
  <c r="K134" i="8"/>
  <c r="I137" i="8"/>
  <c r="H137" i="8" s="1"/>
  <c r="J136" i="8"/>
  <c r="E135" i="8" l="1"/>
  <c r="B137" i="8"/>
  <c r="C138" i="8"/>
  <c r="D137" i="8"/>
  <c r="I138" i="8"/>
  <c r="H138" i="8" s="1"/>
  <c r="J137" i="8"/>
  <c r="K135" i="8"/>
  <c r="E136" i="8" l="1"/>
  <c r="D138" i="8"/>
  <c r="C139" i="8"/>
  <c r="B138" i="8"/>
  <c r="I139" i="8"/>
  <c r="H139" i="8" s="1"/>
  <c r="J138" i="8"/>
  <c r="K137" i="8" s="1"/>
  <c r="K136" i="8"/>
  <c r="D139" i="8" l="1"/>
  <c r="C140" i="8"/>
  <c r="B139" i="8"/>
  <c r="E137" i="8"/>
  <c r="I140" i="8"/>
  <c r="H140" i="8" s="1"/>
  <c r="J139" i="8"/>
  <c r="E138" i="8" l="1"/>
  <c r="B140" i="8"/>
  <c r="C141" i="8"/>
  <c r="D140" i="8"/>
  <c r="I141" i="8"/>
  <c r="H141" i="8" s="1"/>
  <c r="J140" i="8"/>
  <c r="K138" i="8"/>
  <c r="E139" i="8" l="1"/>
  <c r="K139" i="8"/>
  <c r="D141" i="8"/>
  <c r="B141" i="8"/>
  <c r="C142" i="8"/>
  <c r="I142" i="8"/>
  <c r="H142" i="8" s="1"/>
  <c r="J141" i="8"/>
  <c r="E140" i="8" l="1"/>
  <c r="D142" i="8"/>
  <c r="B142" i="8"/>
  <c r="C143" i="8"/>
  <c r="I143" i="8"/>
  <c r="H143" i="8" s="1"/>
  <c r="J142" i="8"/>
  <c r="K140" i="8"/>
  <c r="E141" i="8" l="1"/>
  <c r="B143" i="8"/>
  <c r="C144" i="8"/>
  <c r="D143" i="8"/>
  <c r="K141" i="8"/>
  <c r="I144" i="8"/>
  <c r="H144" i="8" s="1"/>
  <c r="J143" i="8"/>
  <c r="E142" i="8" l="1"/>
  <c r="B144" i="8"/>
  <c r="C145" i="8"/>
  <c r="D144" i="8"/>
  <c r="I145" i="8"/>
  <c r="H145" i="8" s="1"/>
  <c r="J144" i="8"/>
  <c r="K142" i="8"/>
  <c r="C146" i="8" l="1"/>
  <c r="B145" i="8"/>
  <c r="D145" i="8"/>
  <c r="E143" i="8"/>
  <c r="I146" i="8"/>
  <c r="H146" i="8" s="1"/>
  <c r="J145" i="8"/>
  <c r="K144" i="8" s="1"/>
  <c r="K143" i="8"/>
  <c r="E144" i="8" l="1"/>
  <c r="C147" i="8"/>
  <c r="B146" i="8"/>
  <c r="D146" i="8"/>
  <c r="I147" i="8"/>
  <c r="H147" i="8" s="1"/>
  <c r="J146" i="8"/>
  <c r="B147" i="8" l="1"/>
  <c r="C148" i="8"/>
  <c r="D147" i="8"/>
  <c r="E145" i="8"/>
  <c r="I148" i="8"/>
  <c r="H148" i="8" s="1"/>
  <c r="J147" i="8"/>
  <c r="K145" i="8"/>
  <c r="E146" i="8" l="1"/>
  <c r="C149" i="8"/>
  <c r="B148" i="8"/>
  <c r="D148" i="8"/>
  <c r="I149" i="8"/>
  <c r="H149" i="8" s="1"/>
  <c r="J148" i="8"/>
  <c r="K146" i="8"/>
  <c r="E147" i="8" l="1"/>
  <c r="B149" i="8"/>
  <c r="C150" i="8"/>
  <c r="D149" i="8"/>
  <c r="I150" i="8"/>
  <c r="H150" i="8" s="1"/>
  <c r="J149" i="8"/>
  <c r="K147" i="8"/>
  <c r="K148" i="8" l="1"/>
  <c r="B150" i="8"/>
  <c r="C151" i="8"/>
  <c r="D150" i="8"/>
  <c r="E148" i="8"/>
  <c r="I151" i="8"/>
  <c r="H151" i="8" s="1"/>
  <c r="J150" i="8"/>
  <c r="C152" i="8" l="1"/>
  <c r="D151" i="8"/>
  <c r="B151" i="8"/>
  <c r="E149" i="8"/>
  <c r="I152" i="8"/>
  <c r="H152" i="8" s="1"/>
  <c r="J151" i="8"/>
  <c r="K150" i="8" s="1"/>
  <c r="K149" i="8"/>
  <c r="E150" i="8" l="1"/>
  <c r="C153" i="8"/>
  <c r="D152" i="8"/>
  <c r="B152" i="8"/>
  <c r="I153" i="8"/>
  <c r="H153" i="8" s="1"/>
  <c r="J152" i="8"/>
  <c r="E151" i="8" l="1"/>
  <c r="B153" i="8"/>
  <c r="D153" i="8"/>
  <c r="C154" i="8"/>
  <c r="I154" i="8"/>
  <c r="H154" i="8" s="1"/>
  <c r="J153" i="8"/>
  <c r="K151" i="8"/>
  <c r="E152" i="8" l="1"/>
  <c r="B154" i="8"/>
  <c r="C155" i="8"/>
  <c r="D154" i="8"/>
  <c r="I155" i="8"/>
  <c r="H155" i="8" s="1"/>
  <c r="J154" i="8"/>
  <c r="K152" i="8"/>
  <c r="E153" i="8" l="1"/>
  <c r="C156" i="8"/>
  <c r="B155" i="8"/>
  <c r="D155" i="8"/>
  <c r="K153" i="8"/>
  <c r="I156" i="8"/>
  <c r="H156" i="8" s="1"/>
  <c r="J155" i="8"/>
  <c r="E154" i="8" l="1"/>
  <c r="D156" i="8"/>
  <c r="C157" i="8"/>
  <c r="B156" i="8"/>
  <c r="I157" i="8"/>
  <c r="H157" i="8" s="1"/>
  <c r="J156" i="8"/>
  <c r="K154" i="8"/>
  <c r="K155" i="8" l="1"/>
  <c r="E155" i="8"/>
  <c r="C158" i="8"/>
  <c r="B157" i="8"/>
  <c r="D157" i="8"/>
  <c r="I158" i="8"/>
  <c r="H158" i="8" s="1"/>
  <c r="J157" i="8"/>
  <c r="B158" i="8" l="1"/>
  <c r="C159" i="8"/>
  <c r="D158" i="8"/>
  <c r="E156" i="8"/>
  <c r="I159" i="8"/>
  <c r="H159" i="8" s="1"/>
  <c r="J158" i="8"/>
  <c r="K156" i="8"/>
  <c r="E157" i="8" l="1"/>
  <c r="C160" i="8"/>
  <c r="D159" i="8"/>
  <c r="B159" i="8"/>
  <c r="I160" i="8"/>
  <c r="H160" i="8" s="1"/>
  <c r="J159" i="8"/>
  <c r="K158" i="8" s="1"/>
  <c r="K157" i="8"/>
  <c r="E158" i="8" l="1"/>
  <c r="D160" i="8"/>
  <c r="B160" i="8"/>
  <c r="C161" i="8"/>
  <c r="I161" i="8"/>
  <c r="H161" i="8" s="1"/>
  <c r="J160" i="8"/>
  <c r="K159" i="8" s="1"/>
  <c r="E159" i="8" l="1"/>
  <c r="B161" i="8"/>
  <c r="C162" i="8"/>
  <c r="D161" i="8"/>
  <c r="I162" i="8"/>
  <c r="H162" i="8" s="1"/>
  <c r="J161" i="8"/>
  <c r="E160" i="8" l="1"/>
  <c r="B162" i="8"/>
  <c r="D162" i="8"/>
  <c r="C163" i="8"/>
  <c r="K160" i="8"/>
  <c r="I163" i="8"/>
  <c r="H163" i="8" s="1"/>
  <c r="J162" i="8"/>
  <c r="E161" i="8" l="1"/>
  <c r="D163" i="8"/>
  <c r="C164" i="8"/>
  <c r="B163" i="8"/>
  <c r="K161" i="8"/>
  <c r="I164" i="8"/>
  <c r="H164" i="8" s="1"/>
  <c r="J163" i="8"/>
  <c r="K162" i="8" l="1"/>
  <c r="B164" i="8"/>
  <c r="D164" i="8"/>
  <c r="C165" i="8"/>
  <c r="E162" i="8"/>
  <c r="I165" i="8"/>
  <c r="H165" i="8" s="1"/>
  <c r="J164" i="8"/>
  <c r="E163" i="8" l="1"/>
  <c r="B165" i="8"/>
  <c r="C166" i="8"/>
  <c r="D165" i="8"/>
  <c r="K163" i="8"/>
  <c r="I166" i="8"/>
  <c r="H166" i="8" s="1"/>
  <c r="J165" i="8"/>
  <c r="E164" i="8" l="1"/>
  <c r="D166" i="8"/>
  <c r="B166" i="8"/>
  <c r="C167" i="8"/>
  <c r="I167" i="8"/>
  <c r="H167" i="8" s="1"/>
  <c r="J166" i="8"/>
  <c r="K164" i="8"/>
  <c r="B167" i="8" l="1"/>
  <c r="C168" i="8"/>
  <c r="D167" i="8"/>
  <c r="E165" i="8"/>
  <c r="I168" i="8"/>
  <c r="H168" i="8" s="1"/>
  <c r="J167" i="8"/>
  <c r="K166" i="8" s="1"/>
  <c r="K165" i="8"/>
  <c r="E166" i="8" l="1"/>
  <c r="B168" i="8"/>
  <c r="D168" i="8"/>
  <c r="C169" i="8"/>
  <c r="I169" i="8"/>
  <c r="H169" i="8" s="1"/>
  <c r="J168" i="8"/>
  <c r="E167" i="8" l="1"/>
  <c r="C170" i="8"/>
  <c r="B169" i="8"/>
  <c r="D169" i="8"/>
  <c r="K167" i="8"/>
  <c r="I170" i="8"/>
  <c r="H170" i="8" s="1"/>
  <c r="J169" i="8"/>
  <c r="E168" i="8" l="1"/>
  <c r="C171" i="8"/>
  <c r="D170" i="8"/>
  <c r="B170" i="8"/>
  <c r="K168" i="8"/>
  <c r="I171" i="8"/>
  <c r="H171" i="8" s="1"/>
  <c r="J170" i="8"/>
  <c r="E169" i="8" l="1"/>
  <c r="K169" i="8"/>
  <c r="B171" i="8"/>
  <c r="C172" i="8"/>
  <c r="D171" i="8"/>
  <c r="E170" i="8" s="1"/>
  <c r="I172" i="8"/>
  <c r="H172" i="8" s="1"/>
  <c r="J171" i="8"/>
  <c r="B172" i="8" l="1"/>
  <c r="D172" i="8"/>
  <c r="C173" i="8"/>
  <c r="K170" i="8"/>
  <c r="I173" i="8"/>
  <c r="H173" i="8" s="1"/>
  <c r="J172" i="8"/>
  <c r="E171" i="8" l="1"/>
  <c r="B173" i="8"/>
  <c r="C174" i="8"/>
  <c r="D173" i="8"/>
  <c r="I174" i="8"/>
  <c r="H174" i="8" s="1"/>
  <c r="J173" i="8"/>
  <c r="K171" i="8"/>
  <c r="B174" i="8" l="1"/>
  <c r="C175" i="8"/>
  <c r="D174" i="8"/>
  <c r="E172" i="8"/>
  <c r="K172" i="8"/>
  <c r="I175" i="8"/>
  <c r="H175" i="8" s="1"/>
  <c r="J174" i="8"/>
  <c r="D175" i="8" l="1"/>
  <c r="B175" i="8"/>
  <c r="C176" i="8"/>
  <c r="E173" i="8"/>
  <c r="I176" i="8"/>
  <c r="H176" i="8" s="1"/>
  <c r="J175" i="8"/>
  <c r="K173" i="8"/>
  <c r="C177" i="8" l="1"/>
  <c r="D176" i="8"/>
  <c r="B176" i="8"/>
  <c r="E174" i="8"/>
  <c r="I177" i="8"/>
  <c r="H177" i="8" s="1"/>
  <c r="J176" i="8"/>
  <c r="K174" i="8"/>
  <c r="B177" i="8" l="1"/>
  <c r="D177" i="8"/>
  <c r="C178" i="8"/>
  <c r="E175" i="8"/>
  <c r="I178" i="8"/>
  <c r="H178" i="8" s="1"/>
  <c r="J177" i="8"/>
  <c r="K176" i="8" s="1"/>
  <c r="K175" i="8"/>
  <c r="E176" i="8" l="1"/>
  <c r="C179" i="8"/>
  <c r="D178" i="8"/>
  <c r="B178" i="8"/>
  <c r="I179" i="8"/>
  <c r="H179" i="8" s="1"/>
  <c r="J178" i="8"/>
  <c r="E177" i="8" l="1"/>
  <c r="B179" i="8"/>
  <c r="C180" i="8"/>
  <c r="D179" i="8"/>
  <c r="I180" i="8"/>
  <c r="H180" i="8" s="1"/>
  <c r="J179" i="8"/>
  <c r="K177" i="8"/>
  <c r="K178" i="8" l="1"/>
  <c r="B180" i="8"/>
  <c r="D180" i="8"/>
  <c r="C181" i="8"/>
  <c r="E178" i="8"/>
  <c r="I181" i="8"/>
  <c r="H181" i="8" s="1"/>
  <c r="J180" i="8"/>
  <c r="E179" i="8" l="1"/>
  <c r="C182" i="8"/>
  <c r="D181" i="8"/>
  <c r="B181" i="8"/>
  <c r="K179" i="8"/>
  <c r="I182" i="8"/>
  <c r="H182" i="8" s="1"/>
  <c r="J181" i="8"/>
  <c r="E180" i="8" l="1"/>
  <c r="K180" i="8"/>
  <c r="D182" i="8"/>
  <c r="C183" i="8"/>
  <c r="B182" i="8"/>
  <c r="I183" i="8"/>
  <c r="H183" i="8" s="1"/>
  <c r="J182" i="8"/>
  <c r="C184" i="8" l="1"/>
  <c r="B183" i="8"/>
  <c r="D183" i="8"/>
  <c r="E181" i="8"/>
  <c r="I184" i="8"/>
  <c r="H184" i="8" s="1"/>
  <c r="J183" i="8"/>
  <c r="K181" i="8"/>
  <c r="E182" i="8" l="1"/>
  <c r="B184" i="8"/>
  <c r="C185" i="8"/>
  <c r="D184" i="8"/>
  <c r="I185" i="8"/>
  <c r="H185" i="8" s="1"/>
  <c r="J184" i="8"/>
  <c r="K182" i="8"/>
  <c r="C186" i="8" l="1"/>
  <c r="D185" i="8"/>
  <c r="B185" i="8"/>
  <c r="E183" i="8"/>
  <c r="I186" i="8"/>
  <c r="H186" i="8" s="1"/>
  <c r="J185" i="8"/>
  <c r="K183" i="8"/>
  <c r="E184" i="8" l="1"/>
  <c r="D186" i="8"/>
  <c r="C187" i="8"/>
  <c r="B186" i="8"/>
  <c r="I187" i="8"/>
  <c r="H187" i="8" s="1"/>
  <c r="J186" i="8"/>
  <c r="K185" i="8" s="1"/>
  <c r="K184" i="8"/>
  <c r="D187" i="8" l="1"/>
  <c r="C188" i="8"/>
  <c r="B187" i="8"/>
  <c r="E185" i="8"/>
  <c r="I188" i="8"/>
  <c r="H188" i="8" s="1"/>
  <c r="J187" i="8"/>
  <c r="K186" i="8" s="1"/>
  <c r="E186" i="8" l="1"/>
  <c r="B188" i="8"/>
  <c r="C189" i="8"/>
  <c r="D188" i="8"/>
  <c r="I189" i="8"/>
  <c r="H189" i="8" s="1"/>
  <c r="J188" i="8"/>
  <c r="K187" i="8" s="1"/>
  <c r="E187" i="8" l="1"/>
  <c r="B189" i="8"/>
  <c r="D189" i="8"/>
  <c r="C190" i="8"/>
  <c r="I190" i="8"/>
  <c r="H190" i="8" s="1"/>
  <c r="J189" i="8"/>
  <c r="K188" i="8" l="1"/>
  <c r="C191" i="8"/>
  <c r="D190" i="8"/>
  <c r="B190" i="8"/>
  <c r="E188" i="8"/>
  <c r="I191" i="8"/>
  <c r="H191" i="8" s="1"/>
  <c r="J190" i="8"/>
  <c r="K189" i="8" l="1"/>
  <c r="C192" i="8"/>
  <c r="B191" i="8"/>
  <c r="D191" i="8"/>
  <c r="E190" i="8" s="1"/>
  <c r="E189" i="8"/>
  <c r="I192" i="8"/>
  <c r="H192" i="8" s="1"/>
  <c r="J191" i="8"/>
  <c r="B192" i="8" l="1"/>
  <c r="C193" i="8"/>
  <c r="D192" i="8"/>
  <c r="I193" i="8"/>
  <c r="H193" i="8" s="1"/>
  <c r="J192" i="8"/>
  <c r="K191" i="8" s="1"/>
  <c r="K190" i="8"/>
  <c r="E191" i="8" l="1"/>
  <c r="B193" i="8"/>
  <c r="C194" i="8"/>
  <c r="D193" i="8"/>
  <c r="I194" i="8"/>
  <c r="H194" i="8" s="1"/>
  <c r="J193" i="8"/>
  <c r="E192" i="8" l="1"/>
  <c r="B194" i="8"/>
  <c r="C195" i="8"/>
  <c r="D194" i="8"/>
  <c r="I195" i="8"/>
  <c r="H195" i="8" s="1"/>
  <c r="J194" i="8"/>
  <c r="K192" i="8"/>
  <c r="K193" i="8" l="1"/>
  <c r="E193" i="8"/>
  <c r="B195" i="8"/>
  <c r="D195" i="8"/>
  <c r="C196" i="8"/>
  <c r="I196" i="8"/>
  <c r="H196" i="8" s="1"/>
  <c r="J195" i="8"/>
  <c r="E194" i="8" l="1"/>
  <c r="B196" i="8"/>
  <c r="C197" i="8"/>
  <c r="D196" i="8"/>
  <c r="I197" i="8"/>
  <c r="H197" i="8" s="1"/>
  <c r="J196" i="8"/>
  <c r="K194" i="8"/>
  <c r="D197" i="8" l="1"/>
  <c r="B197" i="8"/>
  <c r="C198" i="8"/>
  <c r="E195" i="8"/>
  <c r="I198" i="8"/>
  <c r="H198" i="8" s="1"/>
  <c r="J197" i="8"/>
  <c r="K196" i="8" s="1"/>
  <c r="K195" i="8"/>
  <c r="E196" i="8" l="1"/>
  <c r="C199" i="8"/>
  <c r="D198" i="8"/>
  <c r="B198" i="8"/>
  <c r="I199" i="8"/>
  <c r="H199" i="8" s="1"/>
  <c r="J198" i="8"/>
  <c r="E197" i="8" l="1"/>
  <c r="C200" i="8"/>
  <c r="B199" i="8"/>
  <c r="D199" i="8"/>
  <c r="I200" i="8"/>
  <c r="H200" i="8" s="1"/>
  <c r="J199" i="8"/>
  <c r="K198" i="8" s="1"/>
  <c r="K197" i="8"/>
  <c r="E198" i="8" l="1"/>
  <c r="D200" i="8"/>
  <c r="B200" i="8"/>
  <c r="C201" i="8"/>
  <c r="I201" i="8"/>
  <c r="H201" i="8" s="1"/>
  <c r="J200" i="8"/>
  <c r="D201" i="8" l="1"/>
  <c r="C202" i="8"/>
  <c r="B201" i="8"/>
  <c r="E199" i="8"/>
  <c r="I202" i="8"/>
  <c r="H202" i="8" s="1"/>
  <c r="J201" i="8"/>
  <c r="K199" i="8"/>
  <c r="E200" i="8" l="1"/>
  <c r="B202" i="8"/>
  <c r="C203" i="8"/>
  <c r="D202" i="8"/>
  <c r="E201" i="8" s="1"/>
  <c r="I203" i="8"/>
  <c r="H203" i="8" s="1"/>
  <c r="J202" i="8"/>
  <c r="K200" i="8"/>
  <c r="B203" i="8" l="1"/>
  <c r="C204" i="8"/>
  <c r="D203" i="8"/>
  <c r="K201" i="8"/>
  <c r="I204" i="8"/>
  <c r="H204" i="8" s="1"/>
  <c r="J203" i="8"/>
  <c r="B204" i="8" l="1"/>
  <c r="D204" i="8"/>
  <c r="C205" i="8"/>
  <c r="E202" i="8"/>
  <c r="K202" i="8"/>
  <c r="I205" i="8"/>
  <c r="H205" i="8" s="1"/>
  <c r="J204" i="8"/>
  <c r="E203" i="8" l="1"/>
  <c r="D205" i="8"/>
  <c r="B205" i="8"/>
  <c r="C206" i="8"/>
  <c r="I206" i="8"/>
  <c r="H206" i="8" s="1"/>
  <c r="J205" i="8"/>
  <c r="K203" i="8"/>
  <c r="E204" i="8" l="1"/>
  <c r="B206" i="8"/>
  <c r="D206" i="8"/>
  <c r="C207" i="8"/>
  <c r="I207" i="8"/>
  <c r="H207" i="8" s="1"/>
  <c r="J206" i="8"/>
  <c r="K204" i="8"/>
  <c r="E205" i="8" l="1"/>
  <c r="B207" i="8"/>
  <c r="D207" i="8"/>
  <c r="C208" i="8"/>
  <c r="K205" i="8"/>
  <c r="I208" i="8"/>
  <c r="H208" i="8" s="1"/>
  <c r="J207" i="8"/>
  <c r="E206" i="8" l="1"/>
  <c r="B208" i="8"/>
  <c r="C209" i="8"/>
  <c r="D208" i="8"/>
  <c r="I209" i="8"/>
  <c r="H209" i="8" s="1"/>
  <c r="J208" i="8"/>
  <c r="K206" i="8"/>
  <c r="D209" i="8" l="1"/>
  <c r="C210" i="8"/>
  <c r="B209" i="8"/>
  <c r="K207" i="8"/>
  <c r="E207" i="8"/>
  <c r="I210" i="8"/>
  <c r="H210" i="8" s="1"/>
  <c r="J209" i="8"/>
  <c r="E208" i="8" l="1"/>
  <c r="B210" i="8"/>
  <c r="D210" i="8"/>
  <c r="C211" i="8"/>
  <c r="K208" i="8"/>
  <c r="I211" i="8"/>
  <c r="H211" i="8" s="1"/>
  <c r="J210" i="8"/>
  <c r="E209" i="8" l="1"/>
  <c r="B211" i="8"/>
  <c r="C212" i="8"/>
  <c r="D211" i="8"/>
  <c r="K209" i="8"/>
  <c r="I212" i="8"/>
  <c r="H212" i="8" s="1"/>
  <c r="J211" i="8"/>
  <c r="K210" i="8" s="1"/>
  <c r="E210" i="8" l="1"/>
  <c r="B212" i="8"/>
  <c r="D212" i="8"/>
  <c r="C213" i="8"/>
  <c r="I213" i="8"/>
  <c r="H213" i="8" s="1"/>
  <c r="J212" i="8"/>
  <c r="K211" i="8" s="1"/>
  <c r="B213" i="8" l="1"/>
  <c r="C214" i="8"/>
  <c r="D213" i="8"/>
  <c r="E211" i="8"/>
  <c r="I214" i="8"/>
  <c r="H214" i="8" s="1"/>
  <c r="J213" i="8"/>
  <c r="B214" i="8" l="1"/>
  <c r="D214" i="8"/>
  <c r="C215" i="8"/>
  <c r="E212" i="8"/>
  <c r="K212" i="8"/>
  <c r="I215" i="8"/>
  <c r="H215" i="8" s="1"/>
  <c r="J214" i="8"/>
  <c r="C216" i="8" l="1"/>
  <c r="B215" i="8"/>
  <c r="D215" i="8"/>
  <c r="E213" i="8"/>
  <c r="I216" i="8"/>
  <c r="H216" i="8" s="1"/>
  <c r="J215" i="8"/>
  <c r="K213" i="8"/>
  <c r="B216" i="8" l="1"/>
  <c r="C217" i="8"/>
  <c r="D216" i="8"/>
  <c r="E214" i="8"/>
  <c r="I217" i="8"/>
  <c r="H217" i="8" s="1"/>
  <c r="J216" i="8"/>
  <c r="K214" i="8"/>
  <c r="E215" i="8" l="1"/>
  <c r="C218" i="8"/>
  <c r="B217" i="8"/>
  <c r="D217" i="8"/>
  <c r="K215" i="8"/>
  <c r="I218" i="8"/>
  <c r="H218" i="8" s="1"/>
  <c r="J217" i="8"/>
  <c r="E216" i="8" l="1"/>
  <c r="K216" i="8"/>
  <c r="D218" i="8"/>
  <c r="B218" i="8"/>
  <c r="C219" i="8"/>
  <c r="I219" i="8"/>
  <c r="H219" i="8" s="1"/>
  <c r="J218" i="8"/>
  <c r="E217" i="8" l="1"/>
  <c r="B219" i="8"/>
  <c r="C220" i="8"/>
  <c r="D219" i="8"/>
  <c r="E218" i="8" s="1"/>
  <c r="K217" i="8"/>
  <c r="I220" i="8"/>
  <c r="H220" i="8" s="1"/>
  <c r="J219" i="8"/>
  <c r="D220" i="8" l="1"/>
  <c r="B220" i="8"/>
  <c r="C221" i="8"/>
  <c r="I221" i="8"/>
  <c r="H221" i="8" s="1"/>
  <c r="J220" i="8"/>
  <c r="K218" i="8"/>
  <c r="E219" i="8" l="1"/>
  <c r="B221" i="8"/>
  <c r="C222" i="8"/>
  <c r="D221" i="8"/>
  <c r="I222" i="8"/>
  <c r="H222" i="8" s="1"/>
  <c r="J221" i="8"/>
  <c r="K219" i="8"/>
  <c r="K220" i="8" l="1"/>
  <c r="B222" i="8"/>
  <c r="D222" i="8"/>
  <c r="C223" i="8"/>
  <c r="E220" i="8"/>
  <c r="I223" i="8"/>
  <c r="H223" i="8" s="1"/>
  <c r="J222" i="8"/>
  <c r="E221" i="8" l="1"/>
  <c r="C224" i="8"/>
  <c r="D223" i="8"/>
  <c r="B223" i="8"/>
  <c r="K221" i="8"/>
  <c r="I224" i="8"/>
  <c r="H224" i="8" s="1"/>
  <c r="J223" i="8"/>
  <c r="D224" i="8" l="1"/>
  <c r="C225" i="8"/>
  <c r="B224" i="8"/>
  <c r="E222" i="8"/>
  <c r="I225" i="8"/>
  <c r="H225" i="8" s="1"/>
  <c r="J224" i="8"/>
  <c r="K222" i="8"/>
  <c r="E223" i="8" l="1"/>
  <c r="B225" i="8"/>
  <c r="C226" i="8"/>
  <c r="D225" i="8"/>
  <c r="I226" i="8"/>
  <c r="H226" i="8" s="1"/>
  <c r="J225" i="8"/>
  <c r="K223" i="8"/>
  <c r="B226" i="8" l="1"/>
  <c r="D226" i="8"/>
  <c r="C227" i="8"/>
  <c r="E224" i="8"/>
  <c r="I227" i="8"/>
  <c r="H227" i="8" s="1"/>
  <c r="J226" i="8"/>
  <c r="K224" i="8"/>
  <c r="B227" i="8" l="1"/>
  <c r="D227" i="8"/>
  <c r="C228" i="8"/>
  <c r="E225" i="8"/>
  <c r="I228" i="8"/>
  <c r="H228" i="8" s="1"/>
  <c r="J227" i="8"/>
  <c r="K225" i="8"/>
  <c r="E226" i="8" l="1"/>
  <c r="B228" i="8"/>
  <c r="C229" i="8"/>
  <c r="D228" i="8"/>
  <c r="I229" i="8"/>
  <c r="H229" i="8" s="1"/>
  <c r="J228" i="8"/>
  <c r="K226" i="8"/>
  <c r="E227" i="8" l="1"/>
  <c r="D229" i="8"/>
  <c r="B229" i="8"/>
  <c r="C230" i="8"/>
  <c r="I230" i="8"/>
  <c r="H230" i="8" s="1"/>
  <c r="J229" i="8"/>
  <c r="K228" i="8" s="1"/>
  <c r="K227" i="8"/>
  <c r="E228" i="8" l="1"/>
  <c r="D230" i="8"/>
  <c r="B230" i="8"/>
  <c r="C231" i="8"/>
  <c r="I231" i="8"/>
  <c r="H231" i="8" s="1"/>
  <c r="J230" i="8"/>
  <c r="E229" i="8" l="1"/>
  <c r="B231" i="8"/>
  <c r="C232" i="8"/>
  <c r="D231" i="8"/>
  <c r="K229" i="8"/>
  <c r="I232" i="8"/>
  <c r="H232" i="8" s="1"/>
  <c r="J231" i="8"/>
  <c r="E230" i="8" l="1"/>
  <c r="K230" i="8"/>
  <c r="C233" i="8"/>
  <c r="B232" i="8"/>
  <c r="D232" i="8"/>
  <c r="I233" i="8"/>
  <c r="H233" i="8" s="1"/>
  <c r="J232" i="8"/>
  <c r="E231" i="8" l="1"/>
  <c r="K231" i="8"/>
  <c r="B233" i="8"/>
  <c r="D233" i="8"/>
  <c r="C234" i="8"/>
  <c r="I234" i="8"/>
  <c r="H234" i="8" s="1"/>
  <c r="J233" i="8"/>
  <c r="E232" i="8" l="1"/>
  <c r="C235" i="8"/>
  <c r="B234" i="8"/>
  <c r="D234" i="8"/>
  <c r="K232" i="8"/>
  <c r="I235" i="8"/>
  <c r="H235" i="8" s="1"/>
  <c r="J234" i="8"/>
  <c r="E233" i="8" l="1"/>
  <c r="C236" i="8"/>
  <c r="D235" i="8"/>
  <c r="B235" i="8"/>
  <c r="I236" i="8"/>
  <c r="H236" i="8" s="1"/>
  <c r="J235" i="8"/>
  <c r="K233" i="8"/>
  <c r="E234" i="8" l="1"/>
  <c r="D236" i="8"/>
  <c r="B236" i="8"/>
  <c r="C237" i="8"/>
  <c r="K234" i="8"/>
  <c r="I237" i="8"/>
  <c r="H237" i="8" s="1"/>
  <c r="J236" i="8"/>
  <c r="D237" i="8" l="1"/>
  <c r="C238" i="8"/>
  <c r="B237" i="8"/>
  <c r="E235" i="8"/>
  <c r="K235" i="8"/>
  <c r="I238" i="8"/>
  <c r="H238" i="8" s="1"/>
  <c r="J237" i="8"/>
  <c r="E236" i="8" l="1"/>
  <c r="B238" i="8"/>
  <c r="C239" i="8"/>
  <c r="D238" i="8"/>
  <c r="I239" i="8"/>
  <c r="H239" i="8" s="1"/>
  <c r="J238" i="8"/>
  <c r="K237" i="8" s="1"/>
  <c r="K236" i="8"/>
  <c r="E237" i="8" l="1"/>
  <c r="C240" i="8"/>
  <c r="D239" i="8"/>
  <c r="B239" i="8"/>
  <c r="I240" i="8"/>
  <c r="H240" i="8" s="1"/>
  <c r="J239" i="8"/>
  <c r="E238" i="8" l="1"/>
  <c r="B240" i="8"/>
  <c r="D240" i="8"/>
  <c r="C241" i="8"/>
  <c r="K238" i="8"/>
  <c r="I241" i="8"/>
  <c r="H241" i="8" s="1"/>
  <c r="J240" i="8"/>
  <c r="E239" i="8" l="1"/>
  <c r="C242" i="8"/>
  <c r="D241" i="8"/>
  <c r="B241" i="8"/>
  <c r="I242" i="8"/>
  <c r="H242" i="8" s="1"/>
  <c r="J241" i="8"/>
  <c r="K239" i="8"/>
  <c r="E240" i="8" l="1"/>
  <c r="C243" i="8"/>
  <c r="D242" i="8"/>
  <c r="B242" i="8"/>
  <c r="I243" i="8"/>
  <c r="H243" i="8" s="1"/>
  <c r="J242" i="8"/>
  <c r="K240" i="8"/>
  <c r="E241" i="8" l="1"/>
  <c r="K241" i="8"/>
  <c r="B243" i="8"/>
  <c r="D243" i="8"/>
  <c r="E242" i="8" s="1"/>
  <c r="C244" i="8"/>
  <c r="I244" i="8"/>
  <c r="H244" i="8" s="1"/>
  <c r="J243" i="8"/>
  <c r="K242" i="8" l="1"/>
  <c r="B244" i="8"/>
  <c r="C245" i="8"/>
  <c r="D244" i="8"/>
  <c r="I245" i="8"/>
  <c r="H245" i="8" s="1"/>
  <c r="J244" i="8"/>
  <c r="C246" i="8" l="1"/>
  <c r="D245" i="8"/>
  <c r="B245" i="8"/>
  <c r="E243" i="8"/>
  <c r="I246" i="8"/>
  <c r="H246" i="8" s="1"/>
  <c r="J245" i="8"/>
  <c r="K244" i="8" s="1"/>
  <c r="K243" i="8"/>
  <c r="E244" i="8" l="1"/>
  <c r="B246" i="8"/>
  <c r="D246" i="8"/>
  <c r="C247" i="8"/>
  <c r="I247" i="8"/>
  <c r="H247" i="8" s="1"/>
  <c r="J246" i="8"/>
  <c r="B247" i="8" l="1"/>
  <c r="D247" i="8"/>
  <c r="C248" i="8"/>
  <c r="E245" i="8"/>
  <c r="I248" i="8"/>
  <c r="H248" i="8" s="1"/>
  <c r="J247" i="8"/>
  <c r="K245" i="8"/>
  <c r="E246" i="8" l="1"/>
  <c r="B248" i="8"/>
  <c r="D248" i="8"/>
  <c r="C249" i="8"/>
  <c r="K246" i="8"/>
  <c r="I249" i="8"/>
  <c r="H249" i="8" s="1"/>
  <c r="J248" i="8"/>
  <c r="E247" i="8" l="1"/>
  <c r="B249" i="8"/>
  <c r="C250" i="8"/>
  <c r="D249" i="8"/>
  <c r="I250" i="8"/>
  <c r="H250" i="8" s="1"/>
  <c r="J249" i="8"/>
  <c r="K247" i="8"/>
  <c r="E248" i="8" l="1"/>
  <c r="B250" i="8"/>
  <c r="C251" i="8"/>
  <c r="D250" i="8"/>
  <c r="K248" i="8"/>
  <c r="I251" i="8"/>
  <c r="H251" i="8" s="1"/>
  <c r="J250" i="8"/>
  <c r="B251" i="8" l="1"/>
  <c r="D251" i="8"/>
  <c r="C252" i="8"/>
  <c r="K249" i="8"/>
  <c r="E249" i="8"/>
  <c r="I252" i="8"/>
  <c r="H252" i="8" s="1"/>
  <c r="J251" i="8"/>
  <c r="E250" i="8" l="1"/>
  <c r="B252" i="8"/>
  <c r="D252" i="8"/>
  <c r="C253" i="8"/>
  <c r="I253" i="8"/>
  <c r="H253" i="8" s="1"/>
  <c r="J252" i="8"/>
  <c r="K250" i="8"/>
  <c r="E251" i="8" l="1"/>
  <c r="D253" i="8"/>
  <c r="B253" i="8"/>
  <c r="C254" i="8"/>
  <c r="K251" i="8"/>
  <c r="I254" i="8"/>
  <c r="H254" i="8" s="1"/>
  <c r="J253" i="8"/>
  <c r="B254" i="8" l="1"/>
  <c r="C255" i="8"/>
  <c r="D254" i="8"/>
  <c r="E252" i="8"/>
  <c r="I255" i="8"/>
  <c r="H255" i="8" s="1"/>
  <c r="J254" i="8"/>
  <c r="K253" i="8" s="1"/>
  <c r="K252" i="8"/>
  <c r="E253" i="8" l="1"/>
  <c r="B255" i="8"/>
  <c r="D255" i="8"/>
  <c r="C256" i="8"/>
  <c r="I256" i="8"/>
  <c r="H256" i="8" s="1"/>
  <c r="J255" i="8"/>
  <c r="K254" i="8" s="1"/>
  <c r="E254" i="8" l="1"/>
  <c r="B256" i="8"/>
  <c r="C257" i="8"/>
  <c r="D256" i="8"/>
  <c r="I257" i="8"/>
  <c r="H257" i="8" s="1"/>
  <c r="J256" i="8"/>
  <c r="E255" i="8" l="1"/>
  <c r="C258" i="8"/>
  <c r="D257" i="8"/>
  <c r="B257" i="8"/>
  <c r="I258" i="8"/>
  <c r="H258" i="8" s="1"/>
  <c r="J257" i="8"/>
  <c r="K255" i="8"/>
  <c r="E256" i="8" l="1"/>
  <c r="B258" i="8"/>
  <c r="D258" i="8"/>
  <c r="C259" i="8"/>
  <c r="I259" i="8"/>
  <c r="H259" i="8" s="1"/>
  <c r="J258" i="8"/>
  <c r="K256" i="8"/>
  <c r="E257" i="8" l="1"/>
  <c r="C260" i="8"/>
  <c r="D259" i="8"/>
  <c r="B259" i="8"/>
  <c r="I260" i="8"/>
  <c r="H260" i="8" s="1"/>
  <c r="J259" i="8"/>
  <c r="K258" i="8" s="1"/>
  <c r="K257" i="8"/>
  <c r="E258" i="8" l="1"/>
  <c r="B260" i="8"/>
  <c r="D260" i="8"/>
  <c r="C261" i="8"/>
  <c r="I261" i="8"/>
  <c r="H261" i="8" s="1"/>
  <c r="J260" i="8"/>
  <c r="E259" i="8" l="1"/>
  <c r="C262" i="8"/>
  <c r="D261" i="8"/>
  <c r="B261" i="8"/>
  <c r="K259" i="8"/>
  <c r="I262" i="8"/>
  <c r="H262" i="8" s="1"/>
  <c r="J261" i="8"/>
  <c r="E260" i="8" l="1"/>
  <c r="B262" i="8"/>
  <c r="D262" i="8"/>
  <c r="C263" i="8"/>
  <c r="I263" i="8"/>
  <c r="H263" i="8" s="1"/>
  <c r="J262" i="8"/>
  <c r="K261" i="8" s="1"/>
  <c r="K260" i="8"/>
  <c r="B263" i="8" l="1"/>
  <c r="C264" i="8"/>
  <c r="D263" i="8"/>
  <c r="E261" i="8"/>
  <c r="I264" i="8"/>
  <c r="H264" i="8" s="1"/>
  <c r="J263" i="8"/>
  <c r="E262" i="8" l="1"/>
  <c r="B264" i="8"/>
  <c r="D264" i="8"/>
  <c r="C265" i="8"/>
  <c r="I265" i="8"/>
  <c r="H265" i="8" s="1"/>
  <c r="J264" i="8"/>
  <c r="K262" i="8"/>
  <c r="E263" i="8" l="1"/>
  <c r="B265" i="8"/>
  <c r="C266" i="8"/>
  <c r="D265" i="8"/>
  <c r="I266" i="8"/>
  <c r="H266" i="8" s="1"/>
  <c r="J265" i="8"/>
  <c r="K264" i="8" s="1"/>
  <c r="K263" i="8"/>
  <c r="E264" i="8" l="1"/>
  <c r="C267" i="8"/>
  <c r="D266" i="8"/>
  <c r="B266" i="8"/>
  <c r="I267" i="8"/>
  <c r="H267" i="8" s="1"/>
  <c r="J266" i="8"/>
  <c r="E265" i="8" l="1"/>
  <c r="B267" i="8"/>
  <c r="C268" i="8"/>
  <c r="D267" i="8"/>
  <c r="K265" i="8"/>
  <c r="I268" i="8"/>
  <c r="H268" i="8" s="1"/>
  <c r="J267" i="8"/>
  <c r="E266" i="8" l="1"/>
  <c r="C269" i="8"/>
  <c r="D268" i="8"/>
  <c r="B268" i="8"/>
  <c r="I269" i="8"/>
  <c r="H269" i="8" s="1"/>
  <c r="J268" i="8"/>
  <c r="K267" i="8" s="1"/>
  <c r="K266" i="8"/>
  <c r="E267" i="8" l="1"/>
  <c r="D269" i="8"/>
  <c r="B269" i="8"/>
  <c r="C270" i="8"/>
  <c r="I270" i="8"/>
  <c r="H270" i="8" s="1"/>
  <c r="J269" i="8"/>
  <c r="C271" i="8" l="1"/>
  <c r="B270" i="8"/>
  <c r="D270" i="8"/>
  <c r="K268" i="8"/>
  <c r="E268" i="8"/>
  <c r="I271" i="8"/>
  <c r="H271" i="8" s="1"/>
  <c r="J270" i="8"/>
  <c r="D271" i="8" l="1"/>
  <c r="B271" i="8"/>
  <c r="C272" i="8"/>
  <c r="E269" i="8"/>
  <c r="I272" i="8"/>
  <c r="H272" i="8" s="1"/>
  <c r="J271" i="8"/>
  <c r="K269" i="8"/>
  <c r="E270" i="8" l="1"/>
  <c r="B272" i="8"/>
  <c r="C273" i="8"/>
  <c r="D272" i="8"/>
  <c r="I273" i="8"/>
  <c r="H273" i="8" s="1"/>
  <c r="J272" i="8"/>
  <c r="K270" i="8"/>
  <c r="E271" i="8" l="1"/>
  <c r="B273" i="8"/>
  <c r="D273" i="8"/>
  <c r="C274" i="8"/>
  <c r="I274" i="8"/>
  <c r="H274" i="8" s="1"/>
  <c r="J273" i="8"/>
  <c r="K271" i="8"/>
  <c r="E272" i="8" l="1"/>
  <c r="D274" i="8"/>
  <c r="B274" i="8"/>
  <c r="C275" i="8"/>
  <c r="I275" i="8"/>
  <c r="H275" i="8" s="1"/>
  <c r="J274" i="8"/>
  <c r="K272" i="8"/>
  <c r="C276" i="8" l="1"/>
  <c r="D275" i="8"/>
  <c r="B275" i="8"/>
  <c r="E273" i="8"/>
  <c r="K273" i="8"/>
  <c r="I276" i="8"/>
  <c r="H276" i="8" s="1"/>
  <c r="J275" i="8"/>
  <c r="E274" i="8" l="1"/>
  <c r="B276" i="8"/>
  <c r="D276" i="8"/>
  <c r="C277" i="8"/>
  <c r="I277" i="8"/>
  <c r="H277" i="8" s="1"/>
  <c r="J276" i="8"/>
  <c r="K274" i="8"/>
  <c r="E275" i="8" l="1"/>
  <c r="B277" i="8"/>
  <c r="C278" i="8"/>
  <c r="D277" i="8"/>
  <c r="K275" i="8"/>
  <c r="I278" i="8"/>
  <c r="H278" i="8" s="1"/>
  <c r="J277" i="8"/>
  <c r="E276" i="8" l="1"/>
  <c r="B278" i="8"/>
  <c r="C279" i="8"/>
  <c r="D278" i="8"/>
  <c r="K276" i="8"/>
  <c r="I279" i="8"/>
  <c r="H279" i="8" s="1"/>
  <c r="J278" i="8"/>
  <c r="K277" i="8" l="1"/>
  <c r="B279" i="8"/>
  <c r="C280" i="8"/>
  <c r="D279" i="8"/>
  <c r="E277" i="8"/>
  <c r="I280" i="8"/>
  <c r="H280" i="8" s="1"/>
  <c r="J279" i="8"/>
  <c r="C281" i="8" l="1"/>
  <c r="B280" i="8"/>
  <c r="D280" i="8"/>
  <c r="E278" i="8"/>
  <c r="K278" i="8"/>
  <c r="I281" i="8"/>
  <c r="H281" i="8" s="1"/>
  <c r="J280" i="8"/>
  <c r="K279" i="8" s="1"/>
  <c r="C282" i="8" l="1"/>
  <c r="D281" i="8"/>
  <c r="B281" i="8"/>
  <c r="E279" i="8"/>
  <c r="I282" i="8"/>
  <c r="H282" i="8" s="1"/>
  <c r="J281" i="8"/>
  <c r="K280" i="8" s="1"/>
  <c r="D282" i="8" l="1"/>
  <c r="B282" i="8"/>
  <c r="C283" i="8"/>
  <c r="E280" i="8"/>
  <c r="I283" i="8"/>
  <c r="H283" i="8" s="1"/>
  <c r="J282" i="8"/>
  <c r="K281" i="8" s="1"/>
  <c r="E281" i="8" l="1"/>
  <c r="D283" i="8"/>
  <c r="B283" i="8"/>
  <c r="C284" i="8"/>
  <c r="I284" i="8"/>
  <c r="H284" i="8" s="1"/>
  <c r="J283" i="8"/>
  <c r="K282" i="8" l="1"/>
  <c r="E282" i="8"/>
  <c r="D284" i="8"/>
  <c r="C285" i="8"/>
  <c r="B284" i="8"/>
  <c r="I285" i="8"/>
  <c r="H285" i="8" s="1"/>
  <c r="J284" i="8"/>
  <c r="E283" i="8" l="1"/>
  <c r="B285" i="8"/>
  <c r="C286" i="8"/>
  <c r="D285" i="8"/>
  <c r="K283" i="8"/>
  <c r="I286" i="8"/>
  <c r="H286" i="8" s="1"/>
  <c r="J285" i="8"/>
  <c r="E284" i="8" l="1"/>
  <c r="D286" i="8"/>
  <c r="C287" i="8"/>
  <c r="B286" i="8"/>
  <c r="I287" i="8"/>
  <c r="H287" i="8" s="1"/>
  <c r="J286" i="8"/>
  <c r="K284" i="8"/>
  <c r="E285" i="8" l="1"/>
  <c r="C288" i="8"/>
  <c r="D287" i="8"/>
  <c r="B287" i="8"/>
  <c r="K285" i="8"/>
  <c r="I288" i="8"/>
  <c r="H288" i="8" s="1"/>
  <c r="J287" i="8"/>
  <c r="E286" i="8" l="1"/>
  <c r="D288" i="8"/>
  <c r="B288" i="8"/>
  <c r="C289" i="8"/>
  <c r="I289" i="8"/>
  <c r="H289" i="8" s="1"/>
  <c r="J288" i="8"/>
  <c r="K287" i="8" s="1"/>
  <c r="K286" i="8"/>
  <c r="E287" i="8" l="1"/>
  <c r="B289" i="8"/>
  <c r="C290" i="8"/>
  <c r="D289" i="8"/>
  <c r="I290" i="8"/>
  <c r="H290" i="8" s="1"/>
  <c r="J289" i="8"/>
  <c r="E288" i="8" l="1"/>
  <c r="C291" i="8"/>
  <c r="D290" i="8"/>
  <c r="B290" i="8"/>
  <c r="K288" i="8"/>
  <c r="I291" i="8"/>
  <c r="H291" i="8" s="1"/>
  <c r="J290" i="8"/>
  <c r="B291" i="8" l="1"/>
  <c r="D291" i="8"/>
  <c r="C292" i="8"/>
  <c r="E289" i="8"/>
  <c r="K289" i="8"/>
  <c r="I292" i="8"/>
  <c r="H292" i="8" s="1"/>
  <c r="J291" i="8"/>
  <c r="E290" i="8" l="1"/>
  <c r="K290" i="8"/>
  <c r="B292" i="8"/>
  <c r="D292" i="8"/>
  <c r="C293" i="8"/>
  <c r="I293" i="8"/>
  <c r="H293" i="8" s="1"/>
  <c r="J292" i="8"/>
  <c r="E291" i="8" l="1"/>
  <c r="B293" i="8"/>
  <c r="D293" i="8"/>
  <c r="C294" i="8"/>
  <c r="K291" i="8"/>
  <c r="I294" i="8"/>
  <c r="H294" i="8" s="1"/>
  <c r="J293" i="8"/>
  <c r="B294" i="8" l="1"/>
  <c r="C295" i="8"/>
  <c r="D294" i="8"/>
  <c r="E292" i="8"/>
  <c r="I295" i="8"/>
  <c r="H295" i="8" s="1"/>
  <c r="J294" i="8"/>
  <c r="K292" i="8"/>
  <c r="E293" i="8" l="1"/>
  <c r="D295" i="8"/>
  <c r="C296" i="8"/>
  <c r="B295" i="8"/>
  <c r="I296" i="8"/>
  <c r="H296" i="8" s="1"/>
  <c r="J295" i="8"/>
  <c r="K293" i="8"/>
  <c r="E294" i="8" l="1"/>
  <c r="B296" i="8"/>
  <c r="D296" i="8"/>
  <c r="C297" i="8"/>
  <c r="I297" i="8"/>
  <c r="H297" i="8" s="1"/>
  <c r="J296" i="8"/>
  <c r="K294" i="8"/>
  <c r="E295" i="8" l="1"/>
  <c r="B297" i="8"/>
  <c r="C298" i="8"/>
  <c r="D297" i="8"/>
  <c r="K295" i="8"/>
  <c r="I298" i="8"/>
  <c r="H298" i="8" s="1"/>
  <c r="J297" i="8"/>
  <c r="E296" i="8" l="1"/>
  <c r="B298" i="8"/>
  <c r="D298" i="8"/>
  <c r="C299" i="8"/>
  <c r="K296" i="8"/>
  <c r="I299" i="8"/>
  <c r="H299" i="8" s="1"/>
  <c r="J298" i="8"/>
  <c r="C300" i="8" l="1"/>
  <c r="B299" i="8"/>
  <c r="D299" i="8"/>
  <c r="K297" i="8"/>
  <c r="E297" i="8"/>
  <c r="I300" i="8"/>
  <c r="H300" i="8" s="1"/>
  <c r="J299" i="8"/>
  <c r="K298" i="8" l="1"/>
  <c r="E298" i="8"/>
  <c r="C301" i="8"/>
  <c r="D300" i="8"/>
  <c r="B300" i="8"/>
  <c r="I301" i="8"/>
  <c r="H301" i="8" s="1"/>
  <c r="J300" i="8"/>
  <c r="K299" i="8" s="1"/>
  <c r="E299" i="8" l="1"/>
  <c r="B301" i="8"/>
  <c r="C302" i="8"/>
  <c r="D301" i="8"/>
  <c r="I302" i="8"/>
  <c r="H302" i="8" s="1"/>
  <c r="J301" i="8"/>
  <c r="C303" i="8" l="1"/>
  <c r="D302" i="8"/>
  <c r="B302" i="8"/>
  <c r="E300" i="8"/>
  <c r="I303" i="8"/>
  <c r="H303" i="8" s="1"/>
  <c r="J302" i="8"/>
  <c r="K300" i="8"/>
  <c r="E301" i="8" l="1"/>
  <c r="B303" i="8"/>
  <c r="D303" i="8"/>
  <c r="C304" i="8"/>
  <c r="I304" i="8"/>
  <c r="H304" i="8" s="1"/>
  <c r="J303" i="8"/>
  <c r="K301" i="8"/>
  <c r="E302" i="8" l="1"/>
  <c r="D304" i="8"/>
  <c r="B304" i="8"/>
  <c r="C305" i="8"/>
  <c r="I305" i="8"/>
  <c r="H305" i="8" s="1"/>
  <c r="J304" i="8"/>
  <c r="K302" i="8"/>
  <c r="D305" i="8" l="1"/>
  <c r="B305" i="8"/>
  <c r="C306" i="8"/>
  <c r="E303" i="8"/>
  <c r="I306" i="8"/>
  <c r="H306" i="8" s="1"/>
  <c r="J305" i="8"/>
  <c r="K303" i="8"/>
  <c r="E304" i="8" l="1"/>
  <c r="B306" i="8"/>
  <c r="C307" i="8"/>
  <c r="D306" i="8"/>
  <c r="K304" i="8"/>
  <c r="I307" i="8"/>
  <c r="H307" i="8" s="1"/>
  <c r="J306" i="8"/>
  <c r="K305" i="8" s="1"/>
  <c r="E305" i="8" l="1"/>
  <c r="D307" i="8"/>
  <c r="B307" i="8"/>
  <c r="C308" i="8"/>
  <c r="I308" i="8"/>
  <c r="H308" i="8" s="1"/>
  <c r="J307" i="8"/>
  <c r="K306" i="8" s="1"/>
  <c r="E306" i="8" l="1"/>
  <c r="D308" i="8"/>
  <c r="B308" i="8"/>
  <c r="C309" i="8"/>
  <c r="I309" i="8"/>
  <c r="H309" i="8" s="1"/>
  <c r="J308" i="8"/>
  <c r="E307" i="8" l="1"/>
  <c r="D309" i="8"/>
  <c r="B309" i="8"/>
  <c r="C310" i="8"/>
  <c r="K307" i="8"/>
  <c r="I310" i="8"/>
  <c r="H310" i="8" s="1"/>
  <c r="J309" i="8"/>
  <c r="B310" i="8" l="1"/>
  <c r="D310" i="8"/>
  <c r="C311" i="8"/>
  <c r="E308" i="8"/>
  <c r="I311" i="8"/>
  <c r="H311" i="8" s="1"/>
  <c r="J310" i="8"/>
  <c r="K309" i="8" s="1"/>
  <c r="K308" i="8"/>
  <c r="E309" i="8" l="1"/>
  <c r="B311" i="8"/>
  <c r="D311" i="8"/>
  <c r="C312" i="8"/>
  <c r="I312" i="8"/>
  <c r="H312" i="8" s="1"/>
  <c r="J311" i="8"/>
  <c r="K310" i="8" s="1"/>
  <c r="B312" i="8" l="1"/>
  <c r="D312" i="8"/>
  <c r="C313" i="8"/>
  <c r="E310" i="8"/>
  <c r="I313" i="8"/>
  <c r="H313" i="8" s="1"/>
  <c r="J312" i="8"/>
  <c r="K311" i="8" s="1"/>
  <c r="E311" i="8" l="1"/>
  <c r="C314" i="8"/>
  <c r="D313" i="8"/>
  <c r="B313" i="8"/>
  <c r="I314" i="8"/>
  <c r="H314" i="8" s="1"/>
  <c r="J313" i="8"/>
  <c r="K312" i="8" s="1"/>
  <c r="E312" i="8" l="1"/>
  <c r="D314" i="8"/>
  <c r="B314" i="8"/>
  <c r="C315" i="8"/>
  <c r="I315" i="8"/>
  <c r="H315" i="8" s="1"/>
  <c r="J314" i="8"/>
  <c r="E313" i="8" l="1"/>
  <c r="C316" i="8"/>
  <c r="D315" i="8"/>
  <c r="B315" i="8"/>
  <c r="I316" i="8"/>
  <c r="H316" i="8" s="1"/>
  <c r="J315" i="8"/>
  <c r="K313" i="8"/>
  <c r="E314" i="8" l="1"/>
  <c r="C317" i="8"/>
  <c r="B316" i="8"/>
  <c r="D316" i="8"/>
  <c r="I317" i="8"/>
  <c r="H317" i="8" s="1"/>
  <c r="J316" i="8"/>
  <c r="K314" i="8"/>
  <c r="D317" i="8" l="1"/>
  <c r="C318" i="8"/>
  <c r="B317" i="8"/>
  <c r="E315" i="8"/>
  <c r="I318" i="8"/>
  <c r="H318" i="8" s="1"/>
  <c r="J317" i="8"/>
  <c r="K316" i="8" s="1"/>
  <c r="K315" i="8"/>
  <c r="B318" i="8" l="1"/>
  <c r="C319" i="8"/>
  <c r="D318" i="8"/>
  <c r="E316" i="8"/>
  <c r="I319" i="8"/>
  <c r="H319" i="8" s="1"/>
  <c r="J318" i="8"/>
  <c r="E317" i="8" l="1"/>
  <c r="C320" i="8"/>
  <c r="D319" i="8"/>
  <c r="B319" i="8"/>
  <c r="I320" i="8"/>
  <c r="H320" i="8" s="1"/>
  <c r="J319" i="8"/>
  <c r="K317" i="8"/>
  <c r="E318" i="8" l="1"/>
  <c r="D320" i="8"/>
  <c r="B320" i="8"/>
  <c r="C321" i="8"/>
  <c r="I321" i="8"/>
  <c r="H321" i="8" s="1"/>
  <c r="J320" i="8"/>
  <c r="K318" i="8"/>
  <c r="E319" i="8" l="1"/>
  <c r="B321" i="8"/>
  <c r="C322" i="8"/>
  <c r="D321" i="8"/>
  <c r="I322" i="8"/>
  <c r="H322" i="8" s="1"/>
  <c r="J321" i="8"/>
  <c r="K320" i="8" s="1"/>
  <c r="K319" i="8"/>
  <c r="E320" i="8" l="1"/>
  <c r="B322" i="8"/>
  <c r="C323" i="8"/>
  <c r="D322" i="8"/>
  <c r="I323" i="8"/>
  <c r="H323" i="8" s="1"/>
  <c r="J322" i="8"/>
  <c r="E321" i="8" l="1"/>
  <c r="C324" i="8"/>
  <c r="B323" i="8"/>
  <c r="D323" i="8"/>
  <c r="I324" i="8"/>
  <c r="H324" i="8" s="1"/>
  <c r="J323" i="8"/>
  <c r="K321" i="8"/>
  <c r="E322" i="8" l="1"/>
  <c r="C325" i="8"/>
  <c r="B324" i="8"/>
  <c r="D324" i="8"/>
  <c r="I325" i="8"/>
  <c r="H325" i="8" s="1"/>
  <c r="J324" i="8"/>
  <c r="K322" i="8"/>
  <c r="E323" i="8" l="1"/>
  <c r="B325" i="8"/>
  <c r="C326" i="8"/>
  <c r="D325" i="8"/>
  <c r="I326" i="8"/>
  <c r="H326" i="8" s="1"/>
  <c r="J325" i="8"/>
  <c r="K324" i="8" s="1"/>
  <c r="K323" i="8"/>
  <c r="B326" i="8" l="1"/>
  <c r="D326" i="8"/>
  <c r="C327" i="8"/>
  <c r="E324" i="8"/>
  <c r="I327" i="8"/>
  <c r="H327" i="8" s="1"/>
  <c r="J326" i="8"/>
  <c r="E325" i="8" l="1"/>
  <c r="K325" i="8"/>
  <c r="C328" i="8"/>
  <c r="D327" i="8"/>
  <c r="B327" i="8"/>
  <c r="I328" i="8"/>
  <c r="H328" i="8" s="1"/>
  <c r="J327" i="8"/>
  <c r="K326" i="8" s="1"/>
  <c r="B328" i="8" l="1"/>
  <c r="D328" i="8"/>
  <c r="C329" i="8"/>
  <c r="E326" i="8"/>
  <c r="I329" i="8"/>
  <c r="H329" i="8" s="1"/>
  <c r="J328" i="8"/>
  <c r="D329" i="8" l="1"/>
  <c r="C330" i="8"/>
  <c r="B329" i="8"/>
  <c r="E327" i="8"/>
  <c r="I330" i="8"/>
  <c r="H330" i="8" s="1"/>
  <c r="J329" i="8"/>
  <c r="K327" i="8"/>
  <c r="B330" i="8" l="1"/>
  <c r="D330" i="8"/>
  <c r="C331" i="8"/>
  <c r="E328" i="8"/>
  <c r="I331" i="8"/>
  <c r="H331" i="8" s="1"/>
  <c r="J330" i="8"/>
  <c r="K329" i="8" s="1"/>
  <c r="K328" i="8"/>
  <c r="B331" i="8" l="1"/>
  <c r="C332" i="8"/>
  <c r="D331" i="8"/>
  <c r="E329" i="8"/>
  <c r="I332" i="8"/>
  <c r="H332" i="8" s="1"/>
  <c r="J331" i="8"/>
  <c r="E330" i="8" l="1"/>
  <c r="D332" i="8"/>
  <c r="B332" i="8"/>
  <c r="C333" i="8"/>
  <c r="I333" i="8"/>
  <c r="H333" i="8" s="1"/>
  <c r="J332" i="8"/>
  <c r="K330" i="8"/>
  <c r="E331" i="8" l="1"/>
  <c r="B333" i="8"/>
  <c r="C334" i="8"/>
  <c r="D333" i="8"/>
  <c r="E332" i="8" s="1"/>
  <c r="I334" i="8"/>
  <c r="H334" i="8" s="1"/>
  <c r="J333" i="8"/>
  <c r="K332" i="8" s="1"/>
  <c r="K331" i="8"/>
  <c r="D334" i="8" l="1"/>
  <c r="B334" i="8"/>
  <c r="C335" i="8"/>
  <c r="I335" i="8"/>
  <c r="H335" i="8" s="1"/>
  <c r="J334" i="8"/>
  <c r="K333" i="8" s="1"/>
  <c r="B335" i="8" l="1"/>
  <c r="C336" i="8"/>
  <c r="D335" i="8"/>
  <c r="E333" i="8"/>
  <c r="I336" i="8"/>
  <c r="H336" i="8" s="1"/>
  <c r="J335" i="8"/>
  <c r="E334" i="8" l="1"/>
  <c r="C337" i="8"/>
  <c r="B336" i="8"/>
  <c r="D336" i="8"/>
  <c r="I337" i="8"/>
  <c r="H337" i="8" s="1"/>
  <c r="J336" i="8"/>
  <c r="K334" i="8"/>
  <c r="E335" i="8" l="1"/>
  <c r="C338" i="8"/>
  <c r="D337" i="8"/>
  <c r="B337" i="8"/>
  <c r="I338" i="8"/>
  <c r="H338" i="8" s="1"/>
  <c r="J337" i="8"/>
  <c r="K335" i="8"/>
  <c r="E336" i="8" l="1"/>
  <c r="C339" i="8"/>
  <c r="D338" i="8"/>
  <c r="B338" i="8"/>
  <c r="K336" i="8"/>
  <c r="I339" i="8"/>
  <c r="H339" i="8" s="1"/>
  <c r="J338" i="8"/>
  <c r="E337" i="8" l="1"/>
  <c r="B339" i="8"/>
  <c r="C340" i="8"/>
  <c r="D339" i="8"/>
  <c r="I340" i="8"/>
  <c r="H340" i="8" s="1"/>
  <c r="J339" i="8"/>
  <c r="K337" i="8"/>
  <c r="E338" i="8" l="1"/>
  <c r="K338" i="8"/>
  <c r="B340" i="8"/>
  <c r="D340" i="8"/>
  <c r="C341" i="8"/>
  <c r="I341" i="8"/>
  <c r="H341" i="8" s="1"/>
  <c r="J340" i="8"/>
  <c r="E339" i="8" l="1"/>
  <c r="C342" i="8"/>
  <c r="D341" i="8"/>
  <c r="B341" i="8"/>
  <c r="I342" i="8"/>
  <c r="H342" i="8" s="1"/>
  <c r="J341" i="8"/>
  <c r="K339" i="8"/>
  <c r="K340" i="8" l="1"/>
  <c r="E340" i="8"/>
  <c r="C343" i="8"/>
  <c r="D342" i="8"/>
  <c r="B342" i="8"/>
  <c r="I343" i="8"/>
  <c r="H343" i="8" s="1"/>
  <c r="J342" i="8"/>
  <c r="E341" i="8" l="1"/>
  <c r="B343" i="8"/>
  <c r="C344" i="8"/>
  <c r="D343" i="8"/>
  <c r="I344" i="8"/>
  <c r="H344" i="8" s="1"/>
  <c r="J343" i="8"/>
  <c r="K341" i="8"/>
  <c r="C345" i="8" l="1"/>
  <c r="B344" i="8"/>
  <c r="D344" i="8"/>
  <c r="E342" i="8"/>
  <c r="I345" i="8"/>
  <c r="H345" i="8" s="1"/>
  <c r="J344" i="8"/>
  <c r="K343" i="8" s="1"/>
  <c r="K342" i="8"/>
  <c r="E343" i="8" l="1"/>
  <c r="C346" i="8"/>
  <c r="B345" i="8"/>
  <c r="D345" i="8"/>
  <c r="I346" i="8"/>
  <c r="H346" i="8" s="1"/>
  <c r="J345" i="8"/>
  <c r="E344" i="8" l="1"/>
  <c r="D346" i="8"/>
  <c r="C347" i="8"/>
  <c r="B346" i="8"/>
  <c r="I347" i="8"/>
  <c r="H347" i="8" s="1"/>
  <c r="J346" i="8"/>
  <c r="K345" i="8" s="1"/>
  <c r="K344" i="8"/>
  <c r="E345" i="8" l="1"/>
  <c r="B347" i="8"/>
  <c r="D347" i="8"/>
  <c r="C348" i="8"/>
  <c r="I348" i="8"/>
  <c r="H348" i="8" s="1"/>
  <c r="J347" i="8"/>
  <c r="B348" i="8" l="1"/>
  <c r="C349" i="8"/>
  <c r="D348" i="8"/>
  <c r="E346" i="8"/>
  <c r="I349" i="8"/>
  <c r="H349" i="8" s="1"/>
  <c r="J348" i="8"/>
  <c r="K346" i="8"/>
  <c r="E347" i="8" l="1"/>
  <c r="D349" i="8"/>
  <c r="B349" i="8"/>
  <c r="C350" i="8"/>
  <c r="K347" i="8"/>
  <c r="I350" i="8"/>
  <c r="H350" i="8" s="1"/>
  <c r="J349" i="8"/>
  <c r="K348" i="8" s="1"/>
  <c r="C351" i="8" l="1"/>
  <c r="D350" i="8"/>
  <c r="B350" i="8"/>
  <c r="E348" i="8"/>
  <c r="I351" i="8"/>
  <c r="H351" i="8" s="1"/>
  <c r="J350" i="8"/>
  <c r="E349" i="8" l="1"/>
  <c r="B351" i="8"/>
  <c r="D351" i="8"/>
  <c r="C352" i="8"/>
  <c r="I352" i="8"/>
  <c r="H352" i="8" s="1"/>
  <c r="J351" i="8"/>
  <c r="K349" i="8"/>
  <c r="E350" i="8" l="1"/>
  <c r="D352" i="8"/>
  <c r="C353" i="8"/>
  <c r="B352" i="8"/>
  <c r="K350" i="8"/>
  <c r="I353" i="8"/>
  <c r="H353" i="8" s="1"/>
  <c r="J352" i="8"/>
  <c r="C354" i="8" l="1"/>
  <c r="D353" i="8"/>
  <c r="B353" i="8"/>
  <c r="E351" i="8"/>
  <c r="I354" i="8"/>
  <c r="H354" i="8" s="1"/>
  <c r="J353" i="8"/>
  <c r="K351" i="8"/>
  <c r="E352" i="8" l="1"/>
  <c r="B354" i="8"/>
  <c r="D354" i="8"/>
  <c r="C355" i="8"/>
  <c r="I355" i="8"/>
  <c r="H355" i="8" s="1"/>
  <c r="J354" i="8"/>
  <c r="K352" i="8"/>
  <c r="E353" i="8" l="1"/>
  <c r="B355" i="8"/>
  <c r="C356" i="8"/>
  <c r="D355" i="8"/>
  <c r="I356" i="8"/>
  <c r="H356" i="8" s="1"/>
  <c r="J355" i="8"/>
  <c r="K353" i="8"/>
  <c r="D356" i="8" l="1"/>
  <c r="B356" i="8"/>
  <c r="C357" i="8"/>
  <c r="K354" i="8"/>
  <c r="E354" i="8"/>
  <c r="I357" i="8"/>
  <c r="H357" i="8" s="1"/>
  <c r="J356" i="8"/>
  <c r="C358" i="8" l="1"/>
  <c r="D357" i="8"/>
  <c r="B357" i="8"/>
  <c r="K355" i="8"/>
  <c r="E355" i="8"/>
  <c r="I358" i="8"/>
  <c r="H358" i="8" s="1"/>
  <c r="J357" i="8"/>
  <c r="E356" i="8" l="1"/>
  <c r="B358" i="8"/>
  <c r="D358" i="8"/>
  <c r="C359" i="8"/>
  <c r="I359" i="8"/>
  <c r="H359" i="8" s="1"/>
  <c r="J358" i="8"/>
  <c r="K356" i="8"/>
  <c r="C360" i="8" l="1"/>
  <c r="B359" i="8"/>
  <c r="D359" i="8"/>
  <c r="E357" i="8"/>
  <c r="I360" i="8"/>
  <c r="H360" i="8" s="1"/>
  <c r="J359" i="8"/>
  <c r="K357" i="8"/>
  <c r="E358" i="8" l="1"/>
  <c r="B360" i="8"/>
  <c r="C361" i="8"/>
  <c r="D360" i="8"/>
  <c r="I361" i="8"/>
  <c r="H361" i="8" s="1"/>
  <c r="J360" i="8"/>
  <c r="K358" i="8"/>
  <c r="D361" i="8" l="1"/>
  <c r="C362" i="8"/>
  <c r="B361" i="8"/>
  <c r="E359" i="8"/>
  <c r="I362" i="8"/>
  <c r="H362" i="8" s="1"/>
  <c r="J361" i="8"/>
  <c r="K360" i="8" s="1"/>
  <c r="K359" i="8"/>
  <c r="E360" i="8" l="1"/>
  <c r="B362" i="8"/>
  <c r="C363" i="8"/>
  <c r="D362" i="8"/>
  <c r="I363" i="8"/>
  <c r="H363" i="8" s="1"/>
  <c r="J362" i="8"/>
  <c r="C364" i="8" l="1"/>
  <c r="D363" i="8"/>
  <c r="B363" i="8"/>
  <c r="E361" i="8"/>
  <c r="I364" i="8"/>
  <c r="H364" i="8" s="1"/>
  <c r="J363" i="8"/>
  <c r="K361" i="8"/>
  <c r="E362" i="8" l="1"/>
  <c r="D364" i="8"/>
  <c r="B364" i="8"/>
  <c r="C365" i="8"/>
  <c r="K362" i="8"/>
  <c r="I365" i="8"/>
  <c r="H365" i="8" s="1"/>
  <c r="J364" i="8"/>
  <c r="B365" i="8" l="1"/>
  <c r="D365" i="8"/>
  <c r="C366" i="8"/>
  <c r="E363" i="8"/>
  <c r="I366" i="8"/>
  <c r="H366" i="8" s="1"/>
  <c r="J365" i="8"/>
  <c r="K363" i="8"/>
  <c r="C367" i="8" l="1"/>
  <c r="D366" i="8"/>
  <c r="B366" i="8"/>
  <c r="K364" i="8"/>
  <c r="E364" i="8"/>
  <c r="I367" i="8"/>
  <c r="H367" i="8" s="1"/>
  <c r="J366" i="8"/>
  <c r="E365" i="8" l="1"/>
  <c r="C368" i="8"/>
  <c r="D367" i="8"/>
  <c r="B367" i="8"/>
  <c r="I368" i="8"/>
  <c r="H368" i="8" s="1"/>
  <c r="J367" i="8"/>
  <c r="K365" i="8"/>
  <c r="E366" i="8" l="1"/>
  <c r="B368" i="8"/>
  <c r="C369" i="8"/>
  <c r="D368" i="8"/>
  <c r="E367" i="8" s="1"/>
  <c r="I369" i="8"/>
  <c r="H369" i="8" s="1"/>
  <c r="J368" i="8"/>
  <c r="K367" i="8" s="1"/>
  <c r="K366" i="8"/>
  <c r="D369" i="8" l="1"/>
  <c r="C370" i="8"/>
  <c r="B369" i="8"/>
  <c r="I370" i="8"/>
  <c r="H370" i="8" s="1"/>
  <c r="J369" i="8"/>
  <c r="D370" i="8" l="1"/>
  <c r="C371" i="8"/>
  <c r="B370" i="8"/>
  <c r="E368" i="8"/>
  <c r="I371" i="8"/>
  <c r="H371" i="8" s="1"/>
  <c r="J370" i="8"/>
  <c r="K368" i="8"/>
  <c r="K369" i="8" l="1"/>
  <c r="E369" i="8"/>
  <c r="D371" i="8"/>
  <c r="C372" i="8"/>
  <c r="B371" i="8"/>
  <c r="I372" i="8"/>
  <c r="H372" i="8" s="1"/>
  <c r="J371" i="8"/>
  <c r="E370" i="8" l="1"/>
  <c r="B372" i="8"/>
  <c r="C373" i="8"/>
  <c r="D372" i="8"/>
  <c r="I373" i="8"/>
  <c r="H373" i="8" s="1"/>
  <c r="J372" i="8"/>
  <c r="K371" i="8" s="1"/>
  <c r="K370" i="8"/>
  <c r="E371" i="8" l="1"/>
  <c r="C374" i="8"/>
  <c r="D373" i="8"/>
  <c r="B373" i="8"/>
  <c r="I374" i="8"/>
  <c r="H374" i="8" s="1"/>
  <c r="J373" i="8"/>
  <c r="E372" i="8" l="1"/>
  <c r="C375" i="8"/>
  <c r="D374" i="8"/>
  <c r="B374" i="8"/>
  <c r="I375" i="8"/>
  <c r="H375" i="8" s="1"/>
  <c r="J374" i="8"/>
  <c r="K372" i="8"/>
  <c r="E373" i="8" l="1"/>
  <c r="C376" i="8"/>
  <c r="B375" i="8"/>
  <c r="D375" i="8"/>
  <c r="E374" i="8" s="1"/>
  <c r="I376" i="8"/>
  <c r="H376" i="8" s="1"/>
  <c r="J375" i="8"/>
  <c r="K373" i="8"/>
  <c r="B376" i="8" l="1"/>
  <c r="D376" i="8"/>
  <c r="C377" i="8"/>
  <c r="I377" i="8"/>
  <c r="H377" i="8" s="1"/>
  <c r="J376" i="8"/>
  <c r="K374" i="8"/>
  <c r="B377" i="8" l="1"/>
  <c r="C378" i="8"/>
  <c r="D377" i="8"/>
  <c r="E375" i="8"/>
  <c r="I378" i="8"/>
  <c r="H378" i="8" s="1"/>
  <c r="J377" i="8"/>
  <c r="K376" i="8" s="1"/>
  <c r="K375" i="8"/>
  <c r="E376" i="8" l="1"/>
  <c r="B378" i="8"/>
  <c r="D378" i="8"/>
  <c r="C379" i="8"/>
  <c r="I379" i="8"/>
  <c r="H379" i="8" s="1"/>
  <c r="J378" i="8"/>
  <c r="B379" i="8" l="1"/>
  <c r="C380" i="8"/>
  <c r="D379" i="8"/>
  <c r="E377" i="8"/>
  <c r="I380" i="8"/>
  <c r="H380" i="8" s="1"/>
  <c r="J379" i="8"/>
  <c r="K377" i="8"/>
  <c r="B380" i="8" l="1"/>
  <c r="C381" i="8"/>
  <c r="D380" i="8"/>
  <c r="E378" i="8"/>
  <c r="I381" i="8"/>
  <c r="H381" i="8" s="1"/>
  <c r="J380" i="8"/>
  <c r="K378" i="8"/>
  <c r="E379" i="8" l="1"/>
  <c r="K379" i="8"/>
  <c r="B381" i="8"/>
  <c r="C382" i="8"/>
  <c r="D381" i="8"/>
  <c r="E380" i="8" s="1"/>
  <c r="I382" i="8"/>
  <c r="H382" i="8" s="1"/>
  <c r="J381" i="8"/>
  <c r="K380" i="8" l="1"/>
  <c r="B382" i="8"/>
  <c r="D382" i="8"/>
  <c r="C383" i="8"/>
  <c r="I383" i="8"/>
  <c r="H383" i="8" s="1"/>
  <c r="J382" i="8"/>
  <c r="E381" i="8" l="1"/>
  <c r="B383" i="8"/>
  <c r="C384" i="8"/>
  <c r="D383" i="8"/>
  <c r="I384" i="8"/>
  <c r="H384" i="8" s="1"/>
  <c r="J383" i="8"/>
  <c r="K381" i="8"/>
  <c r="E382" i="8" l="1"/>
  <c r="B384" i="8"/>
  <c r="C385" i="8"/>
  <c r="D384" i="8"/>
  <c r="K382" i="8"/>
  <c r="I385" i="8"/>
  <c r="H385" i="8" s="1"/>
  <c r="J384" i="8"/>
  <c r="E383" i="8" l="1"/>
  <c r="B385" i="8"/>
  <c r="D385" i="8"/>
  <c r="C386" i="8"/>
  <c r="I386" i="8"/>
  <c r="H386" i="8" s="1"/>
  <c r="J385" i="8"/>
  <c r="K384" i="8" s="1"/>
  <c r="K383" i="8"/>
  <c r="E384" i="8" l="1"/>
  <c r="D386" i="8"/>
  <c r="B386" i="8"/>
  <c r="C387" i="8"/>
  <c r="I387" i="8"/>
  <c r="H387" i="8" s="1"/>
  <c r="J386" i="8"/>
  <c r="K385" i="8" l="1"/>
  <c r="B387" i="8"/>
  <c r="C388" i="8"/>
  <c r="D387" i="8"/>
  <c r="E385" i="8"/>
  <c r="I388" i="8"/>
  <c r="H388" i="8" s="1"/>
  <c r="J387" i="8"/>
  <c r="E386" i="8" l="1"/>
  <c r="B388" i="8"/>
  <c r="C389" i="8"/>
  <c r="D388" i="8"/>
  <c r="K386" i="8"/>
  <c r="I389" i="8"/>
  <c r="H389" i="8" s="1"/>
  <c r="J388" i="8"/>
  <c r="C390" i="8" l="1"/>
  <c r="D389" i="8"/>
  <c r="B389" i="8"/>
  <c r="E387" i="8"/>
  <c r="I390" i="8"/>
  <c r="H390" i="8" s="1"/>
  <c r="J389" i="8"/>
  <c r="K387" i="8"/>
  <c r="K388" i="8" l="1"/>
  <c r="E388" i="8"/>
  <c r="B390" i="8"/>
  <c r="C391" i="8"/>
  <c r="D390" i="8"/>
  <c r="I391" i="8"/>
  <c r="H391" i="8" s="1"/>
  <c r="J390" i="8"/>
  <c r="K389" i="8" s="1"/>
  <c r="B391" i="8" l="1"/>
  <c r="C392" i="8"/>
  <c r="D391" i="8"/>
  <c r="E389" i="8"/>
  <c r="I392" i="8"/>
  <c r="H392" i="8" s="1"/>
  <c r="J391" i="8"/>
  <c r="B392" i="8" l="1"/>
  <c r="C393" i="8"/>
  <c r="D392" i="8"/>
  <c r="E390" i="8"/>
  <c r="K390" i="8"/>
  <c r="I393" i="8"/>
  <c r="H393" i="8" s="1"/>
  <c r="J392" i="8"/>
  <c r="C394" i="8" l="1"/>
  <c r="D393" i="8"/>
  <c r="B393" i="8"/>
  <c r="E391" i="8"/>
  <c r="I394" i="8"/>
  <c r="H394" i="8" s="1"/>
  <c r="J393" i="8"/>
  <c r="K391" i="8"/>
  <c r="D394" i="8" l="1"/>
  <c r="B394" i="8"/>
  <c r="C395" i="8"/>
  <c r="E392" i="8"/>
  <c r="K392" i="8"/>
  <c r="I395" i="8"/>
  <c r="H395" i="8" s="1"/>
  <c r="J394" i="8"/>
  <c r="E393" i="8" l="1"/>
  <c r="B395" i="8"/>
  <c r="C396" i="8"/>
  <c r="D395" i="8"/>
  <c r="E394" i="8" s="1"/>
  <c r="K393" i="8"/>
  <c r="I396" i="8"/>
  <c r="H396" i="8" s="1"/>
  <c r="J395" i="8"/>
  <c r="K394" i="8" s="1"/>
  <c r="B396" i="8" l="1"/>
  <c r="C397" i="8"/>
  <c r="D396" i="8"/>
  <c r="I397" i="8"/>
  <c r="H397" i="8" s="1"/>
  <c r="J396" i="8"/>
  <c r="E395" i="8" l="1"/>
  <c r="B397" i="8"/>
  <c r="C398" i="8"/>
  <c r="D397" i="8"/>
  <c r="I398" i="8"/>
  <c r="H398" i="8" s="1"/>
  <c r="J397" i="8"/>
  <c r="K395" i="8"/>
  <c r="K396" i="8" l="1"/>
  <c r="B398" i="8"/>
  <c r="D398" i="8"/>
  <c r="C399" i="8"/>
  <c r="E396" i="8"/>
  <c r="I399" i="8"/>
  <c r="H399" i="8" s="1"/>
  <c r="J398" i="8"/>
  <c r="K397" i="8" s="1"/>
  <c r="E397" i="8" l="1"/>
  <c r="B399" i="8"/>
  <c r="C400" i="8"/>
  <c r="D399" i="8"/>
  <c r="E398" i="8" s="1"/>
  <c r="I400" i="8"/>
  <c r="H400" i="8" s="1"/>
  <c r="J399" i="8"/>
  <c r="B400" i="8" l="1"/>
  <c r="C401" i="8"/>
  <c r="D400" i="8"/>
  <c r="I401" i="8"/>
  <c r="H401" i="8" s="1"/>
  <c r="J400" i="8"/>
  <c r="K399" i="8" s="1"/>
  <c r="K398" i="8"/>
  <c r="E399" i="8" l="1"/>
  <c r="D401" i="8"/>
  <c r="C402" i="8"/>
  <c r="B401" i="8"/>
  <c r="I402" i="8"/>
  <c r="H402" i="8" s="1"/>
  <c r="J401" i="8"/>
  <c r="K400" i="8" l="1"/>
  <c r="E400" i="8"/>
  <c r="C403" i="8"/>
  <c r="D402" i="8"/>
  <c r="B402" i="8"/>
  <c r="I403" i="8"/>
  <c r="H403" i="8" s="1"/>
  <c r="J402" i="8"/>
  <c r="E401" i="8" l="1"/>
  <c r="K401" i="8"/>
  <c r="C404" i="8"/>
  <c r="D403" i="8"/>
  <c r="B403" i="8"/>
  <c r="I404" i="8"/>
  <c r="H404" i="8" s="1"/>
  <c r="J403" i="8"/>
  <c r="K402" i="8" s="1"/>
  <c r="E402" i="8" l="1"/>
  <c r="B404" i="8"/>
  <c r="C405" i="8"/>
  <c r="D404" i="8"/>
  <c r="I405" i="8"/>
  <c r="H405" i="8" s="1"/>
  <c r="J404" i="8"/>
  <c r="C406" i="8" l="1"/>
  <c r="D405" i="8"/>
  <c r="B405" i="8"/>
  <c r="E403" i="8"/>
  <c r="I406" i="8"/>
  <c r="H406" i="8" s="1"/>
  <c r="J405" i="8"/>
  <c r="K403" i="8"/>
  <c r="E404" i="8" l="1"/>
  <c r="B406" i="8"/>
  <c r="D406" i="8"/>
  <c r="C407" i="8"/>
  <c r="I407" i="8"/>
  <c r="H407" i="8" s="1"/>
  <c r="J406" i="8"/>
  <c r="K405" i="8" s="1"/>
  <c r="K404" i="8"/>
  <c r="E405" i="8" l="1"/>
  <c r="C408" i="8"/>
  <c r="D407" i="8"/>
  <c r="B407" i="8"/>
  <c r="I408" i="8"/>
  <c r="H408" i="8" s="1"/>
  <c r="J407" i="8"/>
  <c r="E406" i="8" l="1"/>
  <c r="C409" i="8"/>
  <c r="B408" i="8"/>
  <c r="D408" i="8"/>
  <c r="K406" i="8"/>
  <c r="I409" i="8"/>
  <c r="H409" i="8" s="1"/>
  <c r="J408" i="8"/>
  <c r="E407" i="8" l="1"/>
  <c r="B409" i="8"/>
  <c r="D409" i="8"/>
  <c r="C410" i="8"/>
  <c r="I410" i="8"/>
  <c r="H410" i="8" s="1"/>
  <c r="J409" i="8"/>
  <c r="K408" i="8" s="1"/>
  <c r="K407" i="8"/>
  <c r="E408" i="8" l="1"/>
  <c r="D410" i="8"/>
  <c r="C411" i="8"/>
  <c r="B410" i="8"/>
  <c r="I411" i="8"/>
  <c r="H411" i="8" s="1"/>
  <c r="J410" i="8"/>
  <c r="K409" i="8" l="1"/>
  <c r="C412" i="8"/>
  <c r="D411" i="8"/>
  <c r="B411" i="8"/>
  <c r="E409" i="8"/>
  <c r="I412" i="8"/>
  <c r="H412" i="8" s="1"/>
  <c r="J411" i="8"/>
  <c r="E410" i="8" l="1"/>
  <c r="K410" i="8"/>
  <c r="B412" i="8"/>
  <c r="C413" i="8"/>
  <c r="D412" i="8"/>
  <c r="I413" i="8"/>
  <c r="H413" i="8" s="1"/>
  <c r="J412" i="8"/>
  <c r="K411" i="8" s="1"/>
  <c r="D413" i="8" l="1"/>
  <c r="B413" i="8"/>
  <c r="C414" i="8"/>
  <c r="E411" i="8"/>
  <c r="I414" i="8"/>
  <c r="H414" i="8" s="1"/>
  <c r="J413" i="8"/>
  <c r="B414" i="8" l="1"/>
  <c r="D414" i="8"/>
  <c r="C415" i="8"/>
  <c r="E412" i="8"/>
  <c r="K412" i="8"/>
  <c r="I415" i="8"/>
  <c r="H415" i="8" s="1"/>
  <c r="J414" i="8"/>
  <c r="E413" i="8" l="1"/>
  <c r="B415" i="8"/>
  <c r="C416" i="8"/>
  <c r="D415" i="8"/>
  <c r="I416" i="8"/>
  <c r="H416" i="8" s="1"/>
  <c r="J415" i="8"/>
  <c r="K414" i="8" s="1"/>
  <c r="K413" i="8"/>
  <c r="E414" i="8" l="1"/>
  <c r="D416" i="8"/>
  <c r="B416" i="8"/>
  <c r="C417" i="8"/>
  <c r="I417" i="8"/>
  <c r="H417" i="8" s="1"/>
  <c r="J416" i="8"/>
  <c r="K415" i="8" s="1"/>
  <c r="E415" i="8" l="1"/>
  <c r="B417" i="8"/>
  <c r="C418" i="8"/>
  <c r="D417" i="8"/>
  <c r="I418" i="8"/>
  <c r="H418" i="8" s="1"/>
  <c r="J417" i="8"/>
  <c r="E416" i="8" l="1"/>
  <c r="C419" i="8"/>
  <c r="D418" i="8"/>
  <c r="B418" i="8"/>
  <c r="I419" i="8"/>
  <c r="H419" i="8" s="1"/>
  <c r="J418" i="8"/>
  <c r="K416" i="8"/>
  <c r="D419" i="8" l="1"/>
  <c r="B419" i="8"/>
  <c r="C420" i="8"/>
  <c r="E417" i="8"/>
  <c r="I420" i="8"/>
  <c r="H420" i="8" s="1"/>
  <c r="J419" i="8"/>
  <c r="K417" i="8"/>
  <c r="E418" i="8" l="1"/>
  <c r="C421" i="8"/>
  <c r="B420" i="8"/>
  <c r="D420" i="8"/>
  <c r="I421" i="8"/>
  <c r="H421" i="8" s="1"/>
  <c r="J420" i="8"/>
  <c r="K418" i="8"/>
  <c r="E419" i="8" l="1"/>
  <c r="D421" i="8"/>
  <c r="C422" i="8"/>
  <c r="B421" i="8"/>
  <c r="I422" i="8"/>
  <c r="H422" i="8" s="1"/>
  <c r="J421" i="8"/>
  <c r="K419" i="8"/>
  <c r="E420" i="8" l="1"/>
  <c r="B422" i="8"/>
  <c r="C423" i="8"/>
  <c r="D422" i="8"/>
  <c r="I423" i="8"/>
  <c r="H423" i="8" s="1"/>
  <c r="J422" i="8"/>
  <c r="K421" i="8" s="1"/>
  <c r="K420" i="8"/>
  <c r="E421" i="8" l="1"/>
  <c r="C424" i="8"/>
  <c r="D423" i="8"/>
  <c r="B423" i="8"/>
  <c r="I424" i="8"/>
  <c r="H424" i="8" s="1"/>
  <c r="J423" i="8"/>
  <c r="E422" i="8" l="1"/>
  <c r="D424" i="8"/>
  <c r="B424" i="8"/>
  <c r="C425" i="8"/>
  <c r="I425" i="8"/>
  <c r="H425" i="8" s="1"/>
  <c r="J424" i="8"/>
  <c r="K422" i="8"/>
  <c r="E423" i="8" l="1"/>
  <c r="B425" i="8"/>
  <c r="C426" i="8"/>
  <c r="D425" i="8"/>
  <c r="K423" i="8"/>
  <c r="I426" i="8"/>
  <c r="H426" i="8" s="1"/>
  <c r="J425" i="8"/>
  <c r="E424" i="8" l="1"/>
  <c r="B426" i="8"/>
  <c r="C427" i="8"/>
  <c r="D426" i="8"/>
  <c r="K424" i="8"/>
  <c r="I427" i="8"/>
  <c r="H427" i="8" s="1"/>
  <c r="J426" i="8"/>
  <c r="E425" i="8" l="1"/>
  <c r="B427" i="8"/>
  <c r="D427" i="8"/>
  <c r="C428" i="8"/>
  <c r="I428" i="8"/>
  <c r="H428" i="8" s="1"/>
  <c r="J427" i="8"/>
  <c r="K425" i="8"/>
  <c r="K426" i="8" l="1"/>
  <c r="C429" i="8"/>
  <c r="D428" i="8"/>
  <c r="B428" i="8"/>
  <c r="E426" i="8"/>
  <c r="I429" i="8"/>
  <c r="H429" i="8" s="1"/>
  <c r="J428" i="8"/>
  <c r="K427" i="8" s="1"/>
  <c r="E427" i="8" l="1"/>
  <c r="B429" i="8"/>
  <c r="C430" i="8"/>
  <c r="D429" i="8"/>
  <c r="I430" i="8"/>
  <c r="H430" i="8" s="1"/>
  <c r="J429" i="8"/>
  <c r="E428" i="8" l="1"/>
  <c r="D430" i="8"/>
  <c r="C431" i="8"/>
  <c r="B430" i="8"/>
  <c r="K428" i="8"/>
  <c r="I431" i="8"/>
  <c r="H431" i="8" s="1"/>
  <c r="J430" i="8"/>
  <c r="K429" i="8" s="1"/>
  <c r="E429" i="8" l="1"/>
  <c r="B431" i="8"/>
  <c r="C432" i="8"/>
  <c r="D431" i="8"/>
  <c r="I432" i="8"/>
  <c r="H432" i="8" s="1"/>
  <c r="J431" i="8"/>
  <c r="K430" i="8" l="1"/>
  <c r="B432" i="8"/>
  <c r="C433" i="8"/>
  <c r="D432" i="8"/>
  <c r="E430" i="8"/>
  <c r="I433" i="8"/>
  <c r="H433" i="8" s="1"/>
  <c r="J432" i="8"/>
  <c r="K431" i="8" s="1"/>
  <c r="C434" i="8" l="1"/>
  <c r="D433" i="8"/>
  <c r="B433" i="8"/>
  <c r="E431" i="8"/>
  <c r="I434" i="8"/>
  <c r="H434" i="8" s="1"/>
  <c r="J433" i="8"/>
  <c r="K432" i="8" s="1"/>
  <c r="E432" i="8" l="1"/>
  <c r="D434" i="8"/>
  <c r="C435" i="8"/>
  <c r="B434" i="8"/>
  <c r="I435" i="8"/>
  <c r="H435" i="8" s="1"/>
  <c r="J434" i="8"/>
  <c r="D435" i="8" l="1"/>
  <c r="B435" i="8"/>
  <c r="C436" i="8"/>
  <c r="K433" i="8"/>
  <c r="E433" i="8"/>
  <c r="I436" i="8"/>
  <c r="H436" i="8" s="1"/>
  <c r="J435" i="8"/>
  <c r="E434" i="8" l="1"/>
  <c r="B436" i="8"/>
  <c r="D436" i="8"/>
  <c r="C437" i="8"/>
  <c r="I437" i="8"/>
  <c r="H437" i="8" s="1"/>
  <c r="J436" i="8"/>
  <c r="K434" i="8"/>
  <c r="E435" i="8" l="1"/>
  <c r="B437" i="8"/>
  <c r="C438" i="8"/>
  <c r="D437" i="8"/>
  <c r="I438" i="8"/>
  <c r="H438" i="8" s="1"/>
  <c r="J437" i="8"/>
  <c r="K435" i="8"/>
  <c r="E436" i="8" l="1"/>
  <c r="C439" i="8"/>
  <c r="D438" i="8"/>
  <c r="B438" i="8"/>
  <c r="I439" i="8"/>
  <c r="H439" i="8" s="1"/>
  <c r="J438" i="8"/>
  <c r="K436" i="8"/>
  <c r="D439" i="8" l="1"/>
  <c r="B439" i="8"/>
  <c r="C440" i="8"/>
  <c r="E437" i="8"/>
  <c r="I440" i="8"/>
  <c r="H440" i="8" s="1"/>
  <c r="J439" i="8"/>
  <c r="K438" i="8" s="1"/>
  <c r="K437" i="8"/>
  <c r="E438" i="8" l="1"/>
  <c r="B440" i="8"/>
  <c r="C441" i="8"/>
  <c r="D440" i="8"/>
  <c r="E439" i="8" s="1"/>
  <c r="I441" i="8"/>
  <c r="H441" i="8" s="1"/>
  <c r="J440" i="8"/>
  <c r="D441" i="8" l="1"/>
  <c r="B441" i="8"/>
  <c r="C442" i="8"/>
  <c r="K439" i="8"/>
  <c r="I442" i="8"/>
  <c r="H442" i="8" s="1"/>
  <c r="J441" i="8"/>
  <c r="K440" i="8" s="1"/>
  <c r="B442" i="8" l="1"/>
  <c r="C443" i="8"/>
  <c r="D442" i="8"/>
  <c r="E440" i="8"/>
  <c r="I443" i="8"/>
  <c r="H443" i="8" s="1"/>
  <c r="J442" i="8"/>
  <c r="K441" i="8" s="1"/>
  <c r="B443" i="8" l="1"/>
  <c r="C444" i="8"/>
  <c r="D443" i="8"/>
  <c r="E441" i="8"/>
  <c r="I444" i="8"/>
  <c r="H444" i="8" s="1"/>
  <c r="J443" i="8"/>
  <c r="E442" i="8" l="1"/>
  <c r="C445" i="8"/>
  <c r="B444" i="8"/>
  <c r="D444" i="8"/>
  <c r="K442" i="8"/>
  <c r="I445" i="8"/>
  <c r="H445" i="8" s="1"/>
  <c r="J444" i="8"/>
  <c r="E443" i="8" l="1"/>
  <c r="C446" i="8"/>
  <c r="B445" i="8"/>
  <c r="D445" i="8"/>
  <c r="E444" i="8" s="1"/>
  <c r="K443" i="8"/>
  <c r="I446" i="8"/>
  <c r="H446" i="8" s="1"/>
  <c r="J445" i="8"/>
  <c r="D446" i="8" l="1"/>
  <c r="C447" i="8"/>
  <c r="B446" i="8"/>
  <c r="I447" i="8"/>
  <c r="H447" i="8" s="1"/>
  <c r="J446" i="8"/>
  <c r="K444" i="8"/>
  <c r="E445" i="8" l="1"/>
  <c r="B447" i="8"/>
  <c r="C448" i="8"/>
  <c r="D447" i="8"/>
  <c r="K445" i="8"/>
  <c r="I448" i="8"/>
  <c r="H448" i="8" s="1"/>
  <c r="J447" i="8"/>
  <c r="E446" i="8" l="1"/>
  <c r="D448" i="8"/>
  <c r="B448" i="8"/>
  <c r="C449" i="8"/>
  <c r="I449" i="8"/>
  <c r="H449" i="8" s="1"/>
  <c r="J448" i="8"/>
  <c r="K447" i="8" s="1"/>
  <c r="K446" i="8"/>
  <c r="E447" i="8" l="1"/>
  <c r="B449" i="8"/>
  <c r="D449" i="8"/>
  <c r="C450" i="8"/>
  <c r="I450" i="8"/>
  <c r="H450" i="8" s="1"/>
  <c r="J449" i="8"/>
  <c r="C451" i="8" l="1"/>
  <c r="B450" i="8"/>
  <c r="D450" i="8"/>
  <c r="E448" i="8"/>
  <c r="I451" i="8"/>
  <c r="H451" i="8" s="1"/>
  <c r="J450" i="8"/>
  <c r="K448" i="8"/>
  <c r="E449" i="8" l="1"/>
  <c r="B451" i="8"/>
  <c r="C452" i="8"/>
  <c r="D451" i="8"/>
  <c r="K449" i="8"/>
  <c r="I452" i="8"/>
  <c r="H452" i="8" s="1"/>
  <c r="J451" i="8"/>
  <c r="E450" i="8" l="1"/>
  <c r="B452" i="8"/>
  <c r="C453" i="8"/>
  <c r="D452" i="8"/>
  <c r="K450" i="8"/>
  <c r="I453" i="8"/>
  <c r="H453" i="8" s="1"/>
  <c r="J452" i="8"/>
  <c r="K451" i="8" s="1"/>
  <c r="B453" i="8" l="1"/>
  <c r="C454" i="8"/>
  <c r="D453" i="8"/>
  <c r="E451" i="8"/>
  <c r="I454" i="8"/>
  <c r="H454" i="8" s="1"/>
  <c r="J453" i="8"/>
  <c r="K452" i="8" s="1"/>
  <c r="E452" i="8" l="1"/>
  <c r="B454" i="8"/>
  <c r="C455" i="8"/>
  <c r="D454" i="8"/>
  <c r="I455" i="8"/>
  <c r="H455" i="8" s="1"/>
  <c r="J454" i="8"/>
  <c r="K453" i="8" s="1"/>
  <c r="E453" i="8" l="1"/>
  <c r="C456" i="8"/>
  <c r="D455" i="8"/>
  <c r="B455" i="8"/>
  <c r="I456" i="8"/>
  <c r="H456" i="8" s="1"/>
  <c r="J455" i="8"/>
  <c r="B456" i="8" l="1"/>
  <c r="C457" i="8"/>
  <c r="D456" i="8"/>
  <c r="E454" i="8"/>
  <c r="K454" i="8"/>
  <c r="I457" i="8"/>
  <c r="H457" i="8" s="1"/>
  <c r="J456" i="8"/>
  <c r="D457" i="8" l="1"/>
  <c r="B457" i="8"/>
  <c r="C458" i="8"/>
  <c r="E455" i="8"/>
  <c r="I458" i="8"/>
  <c r="H458" i="8" s="1"/>
  <c r="J457" i="8"/>
  <c r="K456" i="8" s="1"/>
  <c r="K455" i="8"/>
  <c r="E456" i="8" l="1"/>
  <c r="B458" i="8"/>
  <c r="D458" i="8"/>
  <c r="C459" i="8"/>
  <c r="I459" i="8"/>
  <c r="H459" i="8" s="1"/>
  <c r="J458" i="8"/>
  <c r="C460" i="8" l="1"/>
  <c r="B459" i="8"/>
  <c r="D459" i="8"/>
  <c r="E457" i="8"/>
  <c r="I460" i="8"/>
  <c r="H460" i="8" s="1"/>
  <c r="J459" i="8"/>
  <c r="K457" i="8"/>
  <c r="E458" i="8" l="1"/>
  <c r="D460" i="8"/>
  <c r="C461" i="8"/>
  <c r="B460" i="8"/>
  <c r="K458" i="8"/>
  <c r="I461" i="8"/>
  <c r="H461" i="8" s="1"/>
  <c r="J460" i="8"/>
  <c r="E459" i="8" l="1"/>
  <c r="K459" i="8"/>
  <c r="B461" i="8"/>
  <c r="C462" i="8"/>
  <c r="D461" i="8"/>
  <c r="I462" i="8"/>
  <c r="H462" i="8" s="1"/>
  <c r="J461" i="8"/>
  <c r="B462" i="8" l="1"/>
  <c r="C463" i="8"/>
  <c r="D462" i="8"/>
  <c r="E460" i="8"/>
  <c r="K460" i="8"/>
  <c r="I463" i="8"/>
  <c r="H463" i="8" s="1"/>
  <c r="J462" i="8"/>
  <c r="E461" i="8" l="1"/>
  <c r="B463" i="8"/>
  <c r="C464" i="8"/>
  <c r="D463" i="8"/>
  <c r="I464" i="8"/>
  <c r="H464" i="8" s="1"/>
  <c r="J463" i="8"/>
  <c r="K461" i="8"/>
  <c r="B464" i="8" l="1"/>
  <c r="C465" i="8"/>
  <c r="D464" i="8"/>
  <c r="E462" i="8"/>
  <c r="I465" i="8"/>
  <c r="H465" i="8" s="1"/>
  <c r="J464" i="8"/>
  <c r="K462" i="8"/>
  <c r="D465" i="8" l="1"/>
  <c r="C466" i="8"/>
  <c r="B465" i="8"/>
  <c r="E463" i="8"/>
  <c r="K463" i="8"/>
  <c r="I466" i="8"/>
  <c r="H466" i="8" s="1"/>
  <c r="J465" i="8"/>
  <c r="E464" i="8" l="1"/>
  <c r="B466" i="8"/>
  <c r="D466" i="8"/>
  <c r="C467" i="8"/>
  <c r="I467" i="8"/>
  <c r="H467" i="8" s="1"/>
  <c r="J466" i="8"/>
  <c r="K464" i="8"/>
  <c r="B467" i="8" l="1"/>
  <c r="D467" i="8"/>
  <c r="C468" i="8"/>
  <c r="E465" i="8"/>
  <c r="I468" i="8"/>
  <c r="H468" i="8" s="1"/>
  <c r="J467" i="8"/>
  <c r="K465" i="8"/>
  <c r="E466" i="8" l="1"/>
  <c r="B468" i="8"/>
  <c r="C469" i="8"/>
  <c r="D468" i="8"/>
  <c r="K466" i="8"/>
  <c r="I469" i="8"/>
  <c r="H469" i="8" s="1"/>
  <c r="J468" i="8"/>
  <c r="E467" i="8" l="1"/>
  <c r="D469" i="8"/>
  <c r="B469" i="8"/>
  <c r="C470" i="8"/>
  <c r="I470" i="8"/>
  <c r="H470" i="8" s="1"/>
  <c r="J469" i="8"/>
  <c r="K467" i="8"/>
  <c r="K468" i="8" l="1"/>
  <c r="E468" i="8"/>
  <c r="D470" i="8"/>
  <c r="B470" i="8"/>
  <c r="C471" i="8"/>
  <c r="I471" i="8"/>
  <c r="H471" i="8" s="1"/>
  <c r="J470" i="8"/>
  <c r="C472" i="8" l="1"/>
  <c r="B471" i="8"/>
  <c r="D471" i="8"/>
  <c r="E469" i="8"/>
  <c r="K469" i="8"/>
  <c r="I472" i="8"/>
  <c r="H472" i="8" s="1"/>
  <c r="J471" i="8"/>
  <c r="E470" i="8" l="1"/>
  <c r="B472" i="8"/>
  <c r="C473" i="8"/>
  <c r="D472" i="8"/>
  <c r="I473" i="8"/>
  <c r="H473" i="8" s="1"/>
  <c r="J472" i="8"/>
  <c r="K470" i="8"/>
  <c r="K471" i="8" l="1"/>
  <c r="E471" i="8"/>
  <c r="B473" i="8"/>
  <c r="D473" i="8"/>
  <c r="C474" i="8"/>
  <c r="I474" i="8"/>
  <c r="H474" i="8" s="1"/>
  <c r="J473" i="8"/>
  <c r="B474" i="8" l="1"/>
  <c r="C475" i="8"/>
  <c r="D474" i="8"/>
  <c r="E472" i="8"/>
  <c r="K472" i="8"/>
  <c r="I475" i="8"/>
  <c r="H475" i="8" s="1"/>
  <c r="J474" i="8"/>
  <c r="E473" i="8" l="1"/>
  <c r="C476" i="8"/>
  <c r="B475" i="8"/>
  <c r="D475" i="8"/>
  <c r="I476" i="8"/>
  <c r="H476" i="8" s="1"/>
  <c r="J475" i="8"/>
  <c r="K473" i="8"/>
  <c r="K474" i="8" l="1"/>
  <c r="D476" i="8"/>
  <c r="C477" i="8"/>
  <c r="B476" i="8"/>
  <c r="E474" i="8"/>
  <c r="I477" i="8"/>
  <c r="H477" i="8" s="1"/>
  <c r="J476" i="8"/>
  <c r="K475" i="8" s="1"/>
  <c r="B477" i="8" l="1"/>
  <c r="D477" i="8"/>
  <c r="C478" i="8"/>
  <c r="E475" i="8"/>
  <c r="I478" i="8"/>
  <c r="H478" i="8" s="1"/>
  <c r="J477" i="8"/>
  <c r="K476" i="8" l="1"/>
  <c r="C479" i="8"/>
  <c r="D478" i="8"/>
  <c r="B478" i="8"/>
  <c r="E476" i="8"/>
  <c r="I479" i="8"/>
  <c r="H479" i="8" s="1"/>
  <c r="J478" i="8"/>
  <c r="K477" i="8" s="1"/>
  <c r="E477" i="8" l="1"/>
  <c r="D479" i="8"/>
  <c r="B479" i="8"/>
  <c r="C480" i="8"/>
  <c r="I480" i="8"/>
  <c r="H480" i="8" s="1"/>
  <c r="J479" i="8"/>
  <c r="K478" i="8" s="1"/>
  <c r="C481" i="8" l="1"/>
  <c r="D480" i="8"/>
  <c r="B480" i="8"/>
  <c r="E478" i="8"/>
  <c r="I481" i="8"/>
  <c r="H481" i="8" s="1"/>
  <c r="J480" i="8"/>
  <c r="E479" i="8" l="1"/>
  <c r="B481" i="8"/>
  <c r="D481" i="8"/>
  <c r="C482" i="8"/>
  <c r="K479" i="8"/>
  <c r="I482" i="8"/>
  <c r="H482" i="8" s="1"/>
  <c r="J481" i="8"/>
  <c r="C483" i="8" l="1"/>
  <c r="D482" i="8"/>
  <c r="B482" i="8"/>
  <c r="E480" i="8"/>
  <c r="K480" i="8"/>
  <c r="I483" i="8"/>
  <c r="H483" i="8" s="1"/>
  <c r="J482" i="8"/>
  <c r="E481" i="8" l="1"/>
  <c r="B483" i="8"/>
  <c r="C484" i="8"/>
  <c r="D483" i="8"/>
  <c r="I484" i="8"/>
  <c r="H484" i="8" s="1"/>
  <c r="J483" i="8"/>
  <c r="K481" i="8"/>
  <c r="C485" i="8" l="1"/>
  <c r="D484" i="8"/>
  <c r="B484" i="8"/>
  <c r="E482" i="8"/>
  <c r="K482" i="8"/>
  <c r="I485" i="8"/>
  <c r="H485" i="8" s="1"/>
  <c r="J484" i="8"/>
  <c r="E483" i="8" l="1"/>
  <c r="C486" i="8"/>
  <c r="D485" i="8"/>
  <c r="B485" i="8"/>
  <c r="I486" i="8"/>
  <c r="H486" i="8" s="1"/>
  <c r="J485" i="8"/>
  <c r="K483" i="8"/>
  <c r="E484" i="8" l="1"/>
  <c r="D486" i="8"/>
  <c r="B486" i="8"/>
  <c r="C487" i="8"/>
  <c r="I487" i="8"/>
  <c r="H487" i="8" s="1"/>
  <c r="J486" i="8"/>
  <c r="K484" i="8"/>
  <c r="K485" i="8" l="1"/>
  <c r="E485" i="8"/>
  <c r="D487" i="8"/>
  <c r="C488" i="8"/>
  <c r="B487" i="8"/>
  <c r="I488" i="8"/>
  <c r="H488" i="8" s="1"/>
  <c r="J487" i="8"/>
  <c r="D488" i="8" l="1"/>
  <c r="C489" i="8"/>
  <c r="B488" i="8"/>
  <c r="E486" i="8"/>
  <c r="I489" i="8"/>
  <c r="H489" i="8" s="1"/>
  <c r="J488" i="8"/>
  <c r="K486" i="8"/>
  <c r="E487" i="8" l="1"/>
  <c r="C490" i="8"/>
  <c r="D489" i="8"/>
  <c r="B489" i="8"/>
  <c r="I490" i="8"/>
  <c r="H490" i="8" s="1"/>
  <c r="J489" i="8"/>
  <c r="K487" i="8"/>
  <c r="E488" i="8" l="1"/>
  <c r="K488" i="8"/>
  <c r="C491" i="8"/>
  <c r="D490" i="8"/>
  <c r="B490" i="8"/>
  <c r="I491" i="8"/>
  <c r="H491" i="8" s="1"/>
  <c r="J490" i="8"/>
  <c r="D491" i="8" l="1"/>
  <c r="C492" i="8"/>
  <c r="B491" i="8"/>
  <c r="E489" i="8"/>
  <c r="I492" i="8"/>
  <c r="H492" i="8" s="1"/>
  <c r="J491" i="8"/>
  <c r="K489" i="8"/>
  <c r="B492" i="8" l="1"/>
  <c r="C493" i="8"/>
  <c r="D492" i="8"/>
  <c r="E490" i="8"/>
  <c r="I493" i="8"/>
  <c r="H493" i="8" s="1"/>
  <c r="J492" i="8"/>
  <c r="K491" i="8" s="1"/>
  <c r="K490" i="8"/>
  <c r="E491" i="8" l="1"/>
  <c r="C494" i="8"/>
  <c r="B493" i="8"/>
  <c r="D493" i="8"/>
  <c r="I494" i="8"/>
  <c r="H494" i="8" s="1"/>
  <c r="J493" i="8"/>
  <c r="E492" i="8" l="1"/>
  <c r="B494" i="8"/>
  <c r="C495" i="8"/>
  <c r="D494" i="8"/>
  <c r="I495" i="8"/>
  <c r="H495" i="8" s="1"/>
  <c r="J494" i="8"/>
  <c r="K492" i="8"/>
  <c r="K493" i="8" l="1"/>
  <c r="B495" i="8"/>
  <c r="D495" i="8"/>
  <c r="C496" i="8"/>
  <c r="E493" i="8"/>
  <c r="I496" i="8"/>
  <c r="H496" i="8" s="1"/>
  <c r="J495" i="8"/>
  <c r="B496" i="8" l="1"/>
  <c r="C497" i="8"/>
  <c r="D496" i="8"/>
  <c r="E494" i="8"/>
  <c r="K494" i="8"/>
  <c r="I497" i="8"/>
  <c r="H497" i="8" s="1"/>
  <c r="J496" i="8"/>
  <c r="E495" i="8" l="1"/>
  <c r="B497" i="8"/>
  <c r="C498" i="8"/>
  <c r="D497" i="8"/>
  <c r="I498" i="8"/>
  <c r="H498" i="8" s="1"/>
  <c r="J497" i="8"/>
  <c r="K496" i="8" s="1"/>
  <c r="K495" i="8"/>
  <c r="E496" i="8" l="1"/>
  <c r="B498" i="8"/>
  <c r="D498" i="8"/>
  <c r="C499" i="8"/>
  <c r="I499" i="8"/>
  <c r="H499" i="8" s="1"/>
  <c r="J498" i="8"/>
  <c r="E497" i="8" l="1"/>
  <c r="B499" i="8"/>
  <c r="C500" i="8"/>
  <c r="D499" i="8"/>
  <c r="K497" i="8"/>
  <c r="I500" i="8"/>
  <c r="H500" i="8" s="1"/>
  <c r="J499" i="8"/>
  <c r="E498" i="8" l="1"/>
  <c r="C501" i="8"/>
  <c r="B500" i="8"/>
  <c r="D500" i="8"/>
  <c r="I501" i="8"/>
  <c r="H501" i="8" s="1"/>
  <c r="J500" i="8"/>
  <c r="K498" i="8"/>
  <c r="E499" i="8" l="1"/>
  <c r="C502" i="8"/>
  <c r="B501" i="8"/>
  <c r="D501" i="8"/>
  <c r="I502" i="8"/>
  <c r="H502" i="8" s="1"/>
  <c r="J501" i="8"/>
  <c r="K500" i="8" s="1"/>
  <c r="K499" i="8"/>
  <c r="E500" i="8" l="1"/>
  <c r="C503" i="8"/>
  <c r="B502" i="8"/>
  <c r="D502" i="8"/>
  <c r="I503" i="8"/>
  <c r="H503" i="8" s="1"/>
  <c r="J502" i="8"/>
  <c r="E501" i="8" l="1"/>
  <c r="C504" i="8"/>
  <c r="D503" i="8"/>
  <c r="B503" i="8"/>
  <c r="I504" i="8"/>
  <c r="H504" i="8" s="1"/>
  <c r="J503" i="8"/>
  <c r="K501" i="8"/>
  <c r="E502" i="8" l="1"/>
  <c r="B504" i="8"/>
  <c r="D504" i="8"/>
  <c r="C505" i="8"/>
  <c r="I505" i="8"/>
  <c r="H505" i="8" s="1"/>
  <c r="J504" i="8"/>
  <c r="K502" i="8"/>
  <c r="E503" i="8" l="1"/>
  <c r="C506" i="8"/>
  <c r="B505" i="8"/>
  <c r="D505" i="8"/>
  <c r="K503" i="8"/>
  <c r="I506" i="8"/>
  <c r="H506" i="8" s="1"/>
  <c r="J505" i="8"/>
  <c r="E504" i="8" l="1"/>
  <c r="D506" i="8"/>
  <c r="B506" i="8"/>
  <c r="C507" i="8"/>
  <c r="K504" i="8"/>
  <c r="I507" i="8"/>
  <c r="H507" i="8" s="1"/>
  <c r="J506" i="8"/>
  <c r="K505" i="8" s="1"/>
  <c r="C508" i="8" l="1"/>
  <c r="D507" i="8"/>
  <c r="B507" i="8"/>
  <c r="E505" i="8"/>
  <c r="I508" i="8"/>
  <c r="H508" i="8" s="1"/>
  <c r="J507" i="8"/>
  <c r="B508" i="8" l="1"/>
  <c r="C509" i="8"/>
  <c r="D508" i="8"/>
  <c r="E506" i="8"/>
  <c r="I509" i="8"/>
  <c r="H509" i="8" s="1"/>
  <c r="J508" i="8"/>
  <c r="K506" i="8"/>
  <c r="C510" i="8" l="1"/>
  <c r="B509" i="8"/>
  <c r="D509" i="8"/>
  <c r="E507" i="8"/>
  <c r="I510" i="8"/>
  <c r="H510" i="8" s="1"/>
  <c r="J509" i="8"/>
  <c r="K508" i="8" s="1"/>
  <c r="K507" i="8"/>
  <c r="E508" i="8" l="1"/>
  <c r="B510" i="8"/>
  <c r="C511" i="8"/>
  <c r="D510" i="8"/>
  <c r="I511" i="8"/>
  <c r="H511" i="8" s="1"/>
  <c r="J510" i="8"/>
  <c r="K509" i="8" s="1"/>
  <c r="B511" i="8" l="1"/>
  <c r="C512" i="8"/>
  <c r="D511" i="8"/>
  <c r="E509" i="8"/>
  <c r="I512" i="8"/>
  <c r="H512" i="8" s="1"/>
  <c r="J511" i="8"/>
  <c r="B512" i="8" l="1"/>
  <c r="C513" i="8"/>
  <c r="D512" i="8"/>
  <c r="E510" i="8"/>
  <c r="I513" i="8"/>
  <c r="H513" i="8" s="1"/>
  <c r="J512" i="8"/>
  <c r="K510" i="8"/>
  <c r="E511" i="8" l="1"/>
  <c r="D513" i="8"/>
  <c r="C514" i="8"/>
  <c r="B513" i="8"/>
  <c r="K511" i="8"/>
  <c r="I514" i="8"/>
  <c r="H514" i="8" s="1"/>
  <c r="J513" i="8"/>
  <c r="D514" i="8" l="1"/>
  <c r="C515" i="8"/>
  <c r="B514" i="8"/>
  <c r="E512" i="8"/>
  <c r="I515" i="8"/>
  <c r="H515" i="8" s="1"/>
  <c r="J514" i="8"/>
  <c r="K512" i="8"/>
  <c r="E513" i="8" l="1"/>
  <c r="K513" i="8"/>
  <c r="C516" i="8"/>
  <c r="B515" i="8"/>
  <c r="D515" i="8"/>
  <c r="I516" i="8"/>
  <c r="H516" i="8" s="1"/>
  <c r="J515" i="8"/>
  <c r="K514" i="8" s="1"/>
  <c r="E514" i="8" l="1"/>
  <c r="B516" i="8"/>
  <c r="D516" i="8"/>
  <c r="C517" i="8"/>
  <c r="I517" i="8"/>
  <c r="H517" i="8" s="1"/>
  <c r="J516" i="8"/>
  <c r="E515" i="8" l="1"/>
  <c r="B517" i="8"/>
  <c r="D517" i="8"/>
  <c r="C518" i="8"/>
  <c r="I518" i="8"/>
  <c r="H518" i="8" s="1"/>
  <c r="J517" i="8"/>
  <c r="K515" i="8"/>
  <c r="E516" i="8" l="1"/>
  <c r="C519" i="8"/>
  <c r="B518" i="8"/>
  <c r="D518" i="8"/>
  <c r="I519" i="8"/>
  <c r="H519" i="8" s="1"/>
  <c r="J518" i="8"/>
  <c r="K516" i="8"/>
  <c r="E517" i="8" l="1"/>
  <c r="C520" i="8"/>
  <c r="B519" i="8"/>
  <c r="D519" i="8"/>
  <c r="I520" i="8"/>
  <c r="H520" i="8" s="1"/>
  <c r="J519" i="8"/>
  <c r="K517" i="8"/>
  <c r="K518" i="8" l="1"/>
  <c r="E518" i="8"/>
  <c r="B520" i="8"/>
  <c r="D520" i="8"/>
  <c r="C521" i="8"/>
  <c r="I521" i="8"/>
  <c r="H521" i="8" s="1"/>
  <c r="J520" i="8"/>
  <c r="E519" i="8" l="1"/>
  <c r="K519" i="8"/>
  <c r="C522" i="8"/>
  <c r="B521" i="8"/>
  <c r="D521" i="8"/>
  <c r="I522" i="8"/>
  <c r="H522" i="8" s="1"/>
  <c r="J521" i="8"/>
  <c r="E520" i="8" l="1"/>
  <c r="B522" i="8"/>
  <c r="C523" i="8"/>
  <c r="D522" i="8"/>
  <c r="I523" i="8"/>
  <c r="H523" i="8" s="1"/>
  <c r="J522" i="8"/>
  <c r="K520" i="8"/>
  <c r="K521" i="8" l="1"/>
  <c r="E521" i="8"/>
  <c r="D523" i="8"/>
  <c r="B523" i="8"/>
  <c r="C524" i="8"/>
  <c r="I524" i="8"/>
  <c r="H524" i="8" s="1"/>
  <c r="J523" i="8"/>
  <c r="K522" i="8" l="1"/>
  <c r="B524" i="8"/>
  <c r="C525" i="8"/>
  <c r="D524" i="8"/>
  <c r="E522" i="8"/>
  <c r="I525" i="8"/>
  <c r="H525" i="8" s="1"/>
  <c r="J524" i="8"/>
  <c r="E523" i="8" l="1"/>
  <c r="K523" i="8"/>
  <c r="C526" i="8"/>
  <c r="D525" i="8"/>
  <c r="B525" i="8"/>
  <c r="I526" i="8"/>
  <c r="H526" i="8" s="1"/>
  <c r="J525" i="8"/>
  <c r="E524" i="8" l="1"/>
  <c r="B526" i="8"/>
  <c r="C527" i="8"/>
  <c r="D526" i="8"/>
  <c r="K524" i="8"/>
  <c r="I527" i="8"/>
  <c r="H527" i="8" s="1"/>
  <c r="J526" i="8"/>
  <c r="B527" i="8" l="1"/>
  <c r="C528" i="8"/>
  <c r="D527" i="8"/>
  <c r="E525" i="8"/>
  <c r="K525" i="8"/>
  <c r="I528" i="8"/>
  <c r="H528" i="8" s="1"/>
  <c r="J527" i="8"/>
  <c r="K526" i="8" l="1"/>
  <c r="E526" i="8"/>
  <c r="D528" i="8"/>
  <c r="B528" i="8"/>
  <c r="C529" i="8"/>
  <c r="I529" i="8"/>
  <c r="H529" i="8" s="1"/>
  <c r="J528" i="8"/>
  <c r="D529" i="8" l="1"/>
  <c r="B529" i="8"/>
  <c r="C530" i="8"/>
  <c r="E527" i="8"/>
  <c r="K527" i="8"/>
  <c r="I530" i="8"/>
  <c r="H530" i="8" s="1"/>
  <c r="J529" i="8"/>
  <c r="E528" i="8" l="1"/>
  <c r="D530" i="8"/>
  <c r="B530" i="8"/>
  <c r="C531" i="8"/>
  <c r="K528" i="8"/>
  <c r="I531" i="8"/>
  <c r="H531" i="8" s="1"/>
  <c r="J530" i="8"/>
  <c r="K529" i="8" s="1"/>
  <c r="C532" i="8" l="1"/>
  <c r="B531" i="8"/>
  <c r="D531" i="8"/>
  <c r="E529" i="8"/>
  <c r="I532" i="8"/>
  <c r="H532" i="8" s="1"/>
  <c r="J531" i="8"/>
  <c r="E530" i="8" l="1"/>
  <c r="K530" i="8"/>
  <c r="D532" i="8"/>
  <c r="B532" i="8"/>
  <c r="C533" i="8"/>
  <c r="I533" i="8"/>
  <c r="H533" i="8" s="1"/>
  <c r="J532" i="8"/>
  <c r="K531" i="8" l="1"/>
  <c r="E531" i="8"/>
  <c r="C534" i="8"/>
  <c r="B533" i="8"/>
  <c r="D533" i="8"/>
  <c r="I534" i="8"/>
  <c r="H534" i="8" s="1"/>
  <c r="J533" i="8"/>
  <c r="E532" i="8" l="1"/>
  <c r="B534" i="8"/>
  <c r="D534" i="8"/>
  <c r="C535" i="8"/>
  <c r="I535" i="8"/>
  <c r="H535" i="8" s="1"/>
  <c r="J534" i="8"/>
  <c r="K532" i="8"/>
  <c r="D535" i="8" l="1"/>
  <c r="C536" i="8"/>
  <c r="B535" i="8"/>
  <c r="E533" i="8"/>
  <c r="I536" i="8"/>
  <c r="H536" i="8" s="1"/>
  <c r="J535" i="8"/>
  <c r="K534" i="8" s="1"/>
  <c r="K533" i="8"/>
  <c r="E534" i="8" l="1"/>
  <c r="B536" i="8"/>
  <c r="D536" i="8"/>
  <c r="C537" i="8"/>
  <c r="I537" i="8"/>
  <c r="H537" i="8" s="1"/>
  <c r="J536" i="8"/>
  <c r="E535" i="8" l="1"/>
  <c r="C538" i="8"/>
  <c r="D537" i="8"/>
  <c r="B537" i="8"/>
  <c r="I538" i="8"/>
  <c r="H538" i="8" s="1"/>
  <c r="J537" i="8"/>
  <c r="K535" i="8"/>
  <c r="E536" i="8" l="1"/>
  <c r="D538" i="8"/>
  <c r="B538" i="8"/>
  <c r="C539" i="8"/>
  <c r="I539" i="8"/>
  <c r="H539" i="8" s="1"/>
  <c r="J538" i="8"/>
  <c r="K536" i="8"/>
  <c r="B539" i="8" l="1"/>
  <c r="C540" i="8"/>
  <c r="D539" i="8"/>
  <c r="K537" i="8"/>
  <c r="E537" i="8"/>
  <c r="I540" i="8"/>
  <c r="H540" i="8" s="1"/>
  <c r="J539" i="8"/>
  <c r="B540" i="8" l="1"/>
  <c r="D540" i="8"/>
  <c r="C541" i="8"/>
  <c r="E538" i="8"/>
  <c r="I541" i="8"/>
  <c r="H541" i="8" s="1"/>
  <c r="J540" i="8"/>
  <c r="K539" i="8" s="1"/>
  <c r="K538" i="8"/>
  <c r="B541" i="8" l="1"/>
  <c r="C542" i="8"/>
  <c r="D541" i="8"/>
  <c r="E539" i="8"/>
  <c r="I542" i="8"/>
  <c r="H542" i="8" s="1"/>
  <c r="J541" i="8"/>
  <c r="D542" i="8" l="1"/>
  <c r="B542" i="8"/>
  <c r="C543" i="8"/>
  <c r="E540" i="8"/>
  <c r="K540" i="8"/>
  <c r="I543" i="8"/>
  <c r="H543" i="8" s="1"/>
  <c r="J542" i="8"/>
  <c r="E541" i="8" l="1"/>
  <c r="B543" i="8"/>
  <c r="D543" i="8"/>
  <c r="C544" i="8"/>
  <c r="I544" i="8"/>
  <c r="H544" i="8" s="1"/>
  <c r="J543" i="8"/>
  <c r="K541" i="8"/>
  <c r="E542" i="8" l="1"/>
  <c r="D544" i="8"/>
  <c r="C545" i="8"/>
  <c r="B544" i="8"/>
  <c r="I545" i="8"/>
  <c r="H545" i="8" s="1"/>
  <c r="J544" i="8"/>
  <c r="K542" i="8"/>
  <c r="E543" i="8" l="1"/>
  <c r="B545" i="8"/>
  <c r="D545" i="8"/>
  <c r="C546" i="8"/>
  <c r="I546" i="8"/>
  <c r="H546" i="8" s="1"/>
  <c r="J545" i="8"/>
  <c r="K543" i="8"/>
  <c r="K544" i="8" l="1"/>
  <c r="B546" i="8"/>
  <c r="D546" i="8"/>
  <c r="C547" i="8"/>
  <c r="E544" i="8"/>
  <c r="I547" i="8"/>
  <c r="H547" i="8" s="1"/>
  <c r="J546" i="8"/>
  <c r="E545" i="8" l="1"/>
  <c r="B547" i="8"/>
  <c r="C548" i="8"/>
  <c r="D547" i="8"/>
  <c r="K545" i="8"/>
  <c r="I548" i="8"/>
  <c r="H548" i="8" s="1"/>
  <c r="J547" i="8"/>
  <c r="E546" i="8" l="1"/>
  <c r="B548" i="8"/>
  <c r="C549" i="8"/>
  <c r="D548" i="8"/>
  <c r="K546" i="8"/>
  <c r="I549" i="8"/>
  <c r="H549" i="8" s="1"/>
  <c r="J548" i="8"/>
  <c r="E547" i="8" l="1"/>
  <c r="K547" i="8"/>
  <c r="C550" i="8"/>
  <c r="B549" i="8"/>
  <c r="D549" i="8"/>
  <c r="I550" i="8"/>
  <c r="H550" i="8" s="1"/>
  <c r="J549" i="8"/>
  <c r="E548" i="8" l="1"/>
  <c r="B550" i="8"/>
  <c r="D550" i="8"/>
  <c r="C551" i="8"/>
  <c r="I551" i="8"/>
  <c r="H551" i="8" s="1"/>
  <c r="J550" i="8"/>
  <c r="K548" i="8"/>
  <c r="K549" i="8" l="1"/>
  <c r="B551" i="8"/>
  <c r="C552" i="8"/>
  <c r="D551" i="8"/>
  <c r="E549" i="8"/>
  <c r="I552" i="8"/>
  <c r="H552" i="8" s="1"/>
  <c r="J551" i="8"/>
  <c r="K550" i="8" l="1"/>
  <c r="E550" i="8"/>
  <c r="B552" i="8"/>
  <c r="D552" i="8"/>
  <c r="C553" i="8"/>
  <c r="I553" i="8"/>
  <c r="H553" i="8" s="1"/>
  <c r="J552" i="8"/>
  <c r="E551" i="8" l="1"/>
  <c r="K551" i="8"/>
  <c r="C554" i="8"/>
  <c r="D553" i="8"/>
  <c r="B553" i="8"/>
  <c r="I554" i="8"/>
  <c r="H554" i="8" s="1"/>
  <c r="J553" i="8"/>
  <c r="D554" i="8" l="1"/>
  <c r="C555" i="8"/>
  <c r="B554" i="8"/>
  <c r="E552" i="8"/>
  <c r="I555" i="8"/>
  <c r="H555" i="8" s="1"/>
  <c r="J554" i="8"/>
  <c r="K552" i="8"/>
  <c r="E553" i="8" l="1"/>
  <c r="C556" i="8"/>
  <c r="B555" i="8"/>
  <c r="D555" i="8"/>
  <c r="I556" i="8"/>
  <c r="H556" i="8" s="1"/>
  <c r="J555" i="8"/>
  <c r="K553" i="8"/>
  <c r="E554" i="8" l="1"/>
  <c r="B556" i="8"/>
  <c r="C557" i="8"/>
  <c r="D556" i="8"/>
  <c r="I557" i="8"/>
  <c r="H557" i="8" s="1"/>
  <c r="J556" i="8"/>
  <c r="K554" i="8"/>
  <c r="K555" i="8" l="1"/>
  <c r="B557" i="8"/>
  <c r="C558" i="8"/>
  <c r="D557" i="8"/>
  <c r="E555" i="8"/>
  <c r="I558" i="8"/>
  <c r="H558" i="8" s="1"/>
  <c r="J557" i="8"/>
  <c r="E556" i="8" l="1"/>
  <c r="D558" i="8"/>
  <c r="B558" i="8"/>
  <c r="C559" i="8"/>
  <c r="I559" i="8"/>
  <c r="H559" i="8" s="1"/>
  <c r="J558" i="8"/>
  <c r="K556" i="8"/>
  <c r="E557" i="8" l="1"/>
  <c r="C560" i="8"/>
  <c r="D559" i="8"/>
  <c r="B559" i="8"/>
  <c r="K557" i="8"/>
  <c r="I560" i="8"/>
  <c r="H560" i="8" s="1"/>
  <c r="J559" i="8"/>
  <c r="E558" i="8" l="1"/>
  <c r="D560" i="8"/>
  <c r="C561" i="8"/>
  <c r="B560" i="8"/>
  <c r="I561" i="8"/>
  <c r="H561" i="8" s="1"/>
  <c r="J560" i="8"/>
  <c r="K558" i="8"/>
  <c r="E559" i="8" l="1"/>
  <c r="C562" i="8"/>
  <c r="B561" i="8"/>
  <c r="D561" i="8"/>
  <c r="K559" i="8"/>
  <c r="I562" i="8"/>
  <c r="H562" i="8" s="1"/>
  <c r="J561" i="8"/>
  <c r="K560" i="8" s="1"/>
  <c r="E560" i="8" l="1"/>
  <c r="C563" i="8"/>
  <c r="D562" i="8"/>
  <c r="B562" i="8"/>
  <c r="I563" i="8"/>
  <c r="H563" i="8" s="1"/>
  <c r="J562" i="8"/>
  <c r="E561" i="8" l="1"/>
  <c r="B563" i="8"/>
  <c r="D563" i="8"/>
  <c r="C564" i="8"/>
  <c r="I564" i="8"/>
  <c r="H564" i="8" s="1"/>
  <c r="J563" i="8"/>
  <c r="K562" i="8" s="1"/>
  <c r="K561" i="8"/>
  <c r="E562" i="8" l="1"/>
  <c r="B564" i="8"/>
  <c r="C565" i="8"/>
  <c r="D564" i="8"/>
  <c r="I565" i="8"/>
  <c r="H565" i="8" s="1"/>
  <c r="J564" i="8"/>
  <c r="K563" i="8" s="1"/>
  <c r="D565" i="8" l="1"/>
  <c r="C566" i="8"/>
  <c r="B565" i="8"/>
  <c r="E563" i="8"/>
  <c r="I566" i="8"/>
  <c r="H566" i="8" s="1"/>
  <c r="J565" i="8"/>
  <c r="E564" i="8" l="1"/>
  <c r="D566" i="8"/>
  <c r="B566" i="8"/>
  <c r="C567" i="8"/>
  <c r="I567" i="8"/>
  <c r="H567" i="8" s="1"/>
  <c r="J566" i="8"/>
  <c r="K564" i="8"/>
  <c r="C568" i="8" l="1"/>
  <c r="D567" i="8"/>
  <c r="B567" i="8"/>
  <c r="E565" i="8"/>
  <c r="I568" i="8"/>
  <c r="H568" i="8" s="1"/>
  <c r="J567" i="8"/>
  <c r="K565" i="8"/>
  <c r="K566" i="8" l="1"/>
  <c r="E566" i="8"/>
  <c r="D568" i="8"/>
  <c r="C569" i="8"/>
  <c r="B568" i="8"/>
  <c r="I569" i="8"/>
  <c r="H569" i="8" s="1"/>
  <c r="J568" i="8"/>
  <c r="B569" i="8" l="1"/>
  <c r="D569" i="8"/>
  <c r="C570" i="8"/>
  <c r="E567" i="8"/>
  <c r="K567" i="8"/>
  <c r="I570" i="8"/>
  <c r="H570" i="8" s="1"/>
  <c r="J569" i="8"/>
  <c r="E568" i="8" l="1"/>
  <c r="B570" i="8"/>
  <c r="C571" i="8"/>
  <c r="D570" i="8"/>
  <c r="E569" i="8" s="1"/>
  <c r="K568" i="8"/>
  <c r="I571" i="8"/>
  <c r="H571" i="8" s="1"/>
  <c r="J570" i="8"/>
  <c r="B571" i="8" l="1"/>
  <c r="D571" i="8"/>
  <c r="C572" i="8"/>
  <c r="K569" i="8"/>
  <c r="I572" i="8"/>
  <c r="H572" i="8" s="1"/>
  <c r="J571" i="8"/>
  <c r="B572" i="8" l="1"/>
  <c r="D572" i="8"/>
  <c r="C573" i="8"/>
  <c r="K570" i="8"/>
  <c r="E570" i="8"/>
  <c r="I573" i="8"/>
  <c r="H573" i="8" s="1"/>
  <c r="J572" i="8"/>
  <c r="E571" i="8" l="1"/>
  <c r="B573" i="8"/>
  <c r="D573" i="8"/>
  <c r="C574" i="8"/>
  <c r="K571" i="8"/>
  <c r="I574" i="8"/>
  <c r="H574" i="8" s="1"/>
  <c r="J573" i="8"/>
  <c r="B574" i="8" l="1"/>
  <c r="C575" i="8"/>
  <c r="D574" i="8"/>
  <c r="E572" i="8"/>
  <c r="I575" i="8"/>
  <c r="H575" i="8" s="1"/>
  <c r="J574" i="8"/>
  <c r="K572" i="8"/>
  <c r="E573" i="8" l="1"/>
  <c r="B575" i="8"/>
  <c r="C576" i="8"/>
  <c r="D575" i="8"/>
  <c r="K573" i="8"/>
  <c r="I576" i="8"/>
  <c r="H576" i="8" s="1"/>
  <c r="J575" i="8"/>
  <c r="D576" i="8" l="1"/>
  <c r="B576" i="8"/>
  <c r="C577" i="8"/>
  <c r="E574" i="8"/>
  <c r="I577" i="8"/>
  <c r="H577" i="8" s="1"/>
  <c r="J576" i="8"/>
  <c r="K574" i="8"/>
  <c r="E575" i="8" l="1"/>
  <c r="C578" i="8"/>
  <c r="D577" i="8"/>
  <c r="B577" i="8"/>
  <c r="I578" i="8"/>
  <c r="H578" i="8" s="1"/>
  <c r="J577" i="8"/>
  <c r="K576" i="8" s="1"/>
  <c r="K575" i="8"/>
  <c r="E576" i="8" l="1"/>
  <c r="D578" i="8"/>
  <c r="C579" i="8"/>
  <c r="B578" i="8"/>
  <c r="I579" i="8"/>
  <c r="H579" i="8" s="1"/>
  <c r="J578" i="8"/>
  <c r="E577" i="8" l="1"/>
  <c r="C580" i="8"/>
  <c r="B579" i="8"/>
  <c r="D579" i="8"/>
  <c r="I580" i="8"/>
  <c r="H580" i="8" s="1"/>
  <c r="J579" i="8"/>
  <c r="K577" i="8"/>
  <c r="E578" i="8" l="1"/>
  <c r="D580" i="8"/>
  <c r="C581" i="8"/>
  <c r="B580" i="8"/>
  <c r="I581" i="8"/>
  <c r="H581" i="8" s="1"/>
  <c r="J580" i="8"/>
  <c r="K578" i="8"/>
  <c r="E579" i="8" l="1"/>
  <c r="C582" i="8"/>
  <c r="D581" i="8"/>
  <c r="B581" i="8"/>
  <c r="I582" i="8"/>
  <c r="H582" i="8" s="1"/>
  <c r="J581" i="8"/>
  <c r="K579" i="8"/>
  <c r="E580" i="8" l="1"/>
  <c r="K580" i="8"/>
  <c r="C583" i="8"/>
  <c r="B582" i="8"/>
  <c r="D582" i="8"/>
  <c r="I583" i="8"/>
  <c r="H583" i="8" s="1"/>
  <c r="J582" i="8"/>
  <c r="K581" i="8" l="1"/>
  <c r="C584" i="8"/>
  <c r="D583" i="8"/>
  <c r="B583" i="8"/>
  <c r="E581" i="8"/>
  <c r="I584" i="8"/>
  <c r="H584" i="8" s="1"/>
  <c r="J583" i="8"/>
  <c r="B584" i="8" l="1"/>
  <c r="D584" i="8"/>
  <c r="C585" i="8"/>
  <c r="E582" i="8"/>
  <c r="I585" i="8"/>
  <c r="H585" i="8" s="1"/>
  <c r="J584" i="8"/>
  <c r="K582" i="8"/>
  <c r="B585" i="8" l="1"/>
  <c r="D585" i="8"/>
  <c r="C586" i="8"/>
  <c r="E583" i="8"/>
  <c r="I586" i="8"/>
  <c r="H586" i="8" s="1"/>
  <c r="J585" i="8"/>
  <c r="K584" i="8" s="1"/>
  <c r="K583" i="8"/>
  <c r="E584" i="8" l="1"/>
  <c r="B586" i="8"/>
  <c r="C587" i="8"/>
  <c r="D586" i="8"/>
  <c r="I587" i="8"/>
  <c r="H587" i="8" s="1"/>
  <c r="J586" i="8"/>
  <c r="D587" i="8" l="1"/>
  <c r="B587" i="8"/>
  <c r="C588" i="8"/>
  <c r="E585" i="8"/>
  <c r="I588" i="8"/>
  <c r="H588" i="8" s="1"/>
  <c r="J587" i="8"/>
  <c r="K585" i="8"/>
  <c r="E586" i="8" l="1"/>
  <c r="B588" i="8"/>
  <c r="C589" i="8"/>
  <c r="D588" i="8"/>
  <c r="I589" i="8"/>
  <c r="H589" i="8" s="1"/>
  <c r="J588" i="8"/>
  <c r="K586" i="8"/>
  <c r="B589" i="8" l="1"/>
  <c r="D589" i="8"/>
  <c r="C590" i="8"/>
  <c r="E587" i="8"/>
  <c r="K587" i="8"/>
  <c r="I590" i="8"/>
  <c r="H590" i="8" s="1"/>
  <c r="J589" i="8"/>
  <c r="E588" i="8" l="1"/>
  <c r="C591" i="8"/>
  <c r="D590" i="8"/>
  <c r="B590" i="8"/>
  <c r="I591" i="8"/>
  <c r="H591" i="8" s="1"/>
  <c r="J590" i="8"/>
  <c r="K589" i="8" s="1"/>
  <c r="K588" i="8"/>
  <c r="E589" i="8" l="1"/>
  <c r="B591" i="8"/>
  <c r="C592" i="8"/>
  <c r="D591" i="8"/>
  <c r="I592" i="8"/>
  <c r="H592" i="8" s="1"/>
  <c r="J591" i="8"/>
  <c r="B592" i="8" l="1"/>
  <c r="D592" i="8"/>
  <c r="C593" i="8"/>
  <c r="E590" i="8"/>
  <c r="K590" i="8"/>
  <c r="I593" i="8"/>
  <c r="H593" i="8" s="1"/>
  <c r="J592" i="8"/>
  <c r="E591" i="8" l="1"/>
  <c r="D593" i="8"/>
  <c r="B593" i="8"/>
  <c r="C594" i="8"/>
  <c r="K591" i="8"/>
  <c r="I594" i="8"/>
  <c r="H594" i="8" s="1"/>
  <c r="J593" i="8"/>
  <c r="E592" i="8" l="1"/>
  <c r="D594" i="8"/>
  <c r="C595" i="8"/>
  <c r="B594" i="8"/>
  <c r="I595" i="8"/>
  <c r="H595" i="8" s="1"/>
  <c r="J594" i="8"/>
  <c r="K592" i="8"/>
  <c r="K593" i="8" l="1"/>
  <c r="D595" i="8"/>
  <c r="B595" i="8"/>
  <c r="C596" i="8"/>
  <c r="E593" i="8"/>
  <c r="I596" i="8"/>
  <c r="H596" i="8" s="1"/>
  <c r="J595" i="8"/>
  <c r="E594" i="8" l="1"/>
  <c r="B596" i="8"/>
  <c r="C597" i="8"/>
  <c r="D596" i="8"/>
  <c r="K594" i="8"/>
  <c r="I597" i="8"/>
  <c r="H597" i="8" s="1"/>
  <c r="J596" i="8"/>
  <c r="E595" i="8" l="1"/>
  <c r="D597" i="8"/>
  <c r="B597" i="8"/>
  <c r="C598" i="8"/>
  <c r="I598" i="8"/>
  <c r="H598" i="8" s="1"/>
  <c r="J597" i="8"/>
  <c r="K595" i="8"/>
  <c r="E596" i="8" l="1"/>
  <c r="C599" i="8"/>
  <c r="D598" i="8"/>
  <c r="B598" i="8"/>
  <c r="I599" i="8"/>
  <c r="H599" i="8" s="1"/>
  <c r="J598" i="8"/>
  <c r="K596" i="8"/>
  <c r="E597" i="8" l="1"/>
  <c r="B599" i="8"/>
  <c r="C600" i="8"/>
  <c r="D599" i="8"/>
  <c r="I600" i="8"/>
  <c r="H600" i="8" s="1"/>
  <c r="J599" i="8"/>
  <c r="K598" i="8" s="1"/>
  <c r="K597" i="8"/>
  <c r="C601" i="8" l="1"/>
  <c r="B600" i="8"/>
  <c r="D600" i="8"/>
  <c r="E598" i="8"/>
  <c r="I601" i="8"/>
  <c r="H601" i="8" s="1"/>
  <c r="J600" i="8"/>
  <c r="B601" i="8" l="1"/>
  <c r="D601" i="8"/>
  <c r="C602" i="8"/>
  <c r="E599" i="8"/>
  <c r="I602" i="8"/>
  <c r="H602" i="8" s="1"/>
  <c r="J601" i="8"/>
  <c r="K599" i="8"/>
  <c r="E600" i="8" l="1"/>
  <c r="D602" i="8"/>
  <c r="C603" i="8"/>
  <c r="B602" i="8"/>
  <c r="I603" i="8"/>
  <c r="H603" i="8" s="1"/>
  <c r="J602" i="8"/>
  <c r="K600" i="8"/>
  <c r="B603" i="8" l="1"/>
  <c r="D603" i="8"/>
  <c r="C604" i="8"/>
  <c r="E601" i="8"/>
  <c r="I604" i="8"/>
  <c r="H604" i="8" s="1"/>
  <c r="J603" i="8"/>
  <c r="K601" i="8"/>
  <c r="E602" i="8" l="1"/>
  <c r="D604" i="8"/>
  <c r="B604" i="8"/>
  <c r="C605" i="8"/>
  <c r="I605" i="8"/>
  <c r="H605" i="8" s="1"/>
  <c r="J604" i="8"/>
  <c r="K602" i="8"/>
  <c r="B605" i="8" l="1"/>
  <c r="C606" i="8"/>
  <c r="D605" i="8"/>
  <c r="E603" i="8"/>
  <c r="I606" i="8"/>
  <c r="H606" i="8" s="1"/>
  <c r="J605" i="8"/>
  <c r="K603" i="8"/>
  <c r="E604" i="8" l="1"/>
  <c r="C607" i="8"/>
  <c r="D606" i="8"/>
  <c r="B606" i="8"/>
  <c r="K604" i="8"/>
  <c r="I607" i="8"/>
  <c r="H607" i="8" s="1"/>
  <c r="J606" i="8"/>
  <c r="B607" i="8" l="1"/>
  <c r="D607" i="8"/>
  <c r="C608" i="8"/>
  <c r="E605" i="8"/>
  <c r="K605" i="8"/>
  <c r="I608" i="8"/>
  <c r="H608" i="8" s="1"/>
  <c r="J607" i="8"/>
  <c r="E606" i="8" l="1"/>
  <c r="D608" i="8"/>
  <c r="C609" i="8"/>
  <c r="B608" i="8"/>
  <c r="I609" i="8"/>
  <c r="H609" i="8" s="1"/>
  <c r="J608" i="8"/>
  <c r="K607" i="8" s="1"/>
  <c r="K606" i="8"/>
  <c r="B609" i="8" l="1"/>
  <c r="C610" i="8"/>
  <c r="D609" i="8"/>
  <c r="E607" i="8"/>
  <c r="I610" i="8"/>
  <c r="H610" i="8" s="1"/>
  <c r="J609" i="8"/>
  <c r="E608" i="8" l="1"/>
  <c r="B610" i="8"/>
  <c r="C611" i="8"/>
  <c r="D610" i="8"/>
  <c r="I611" i="8"/>
  <c r="H611" i="8" s="1"/>
  <c r="J610" i="8"/>
  <c r="K608" i="8"/>
  <c r="E609" i="8" l="1"/>
  <c r="D611" i="8"/>
  <c r="B611" i="8"/>
  <c r="C612" i="8"/>
  <c r="I612" i="8"/>
  <c r="H612" i="8" s="1"/>
  <c r="J611" i="8"/>
  <c r="K609" i="8"/>
  <c r="B612" i="8" l="1"/>
  <c r="C613" i="8"/>
  <c r="D612" i="8"/>
  <c r="E610" i="8"/>
  <c r="I613" i="8"/>
  <c r="H613" i="8" s="1"/>
  <c r="J612" i="8"/>
  <c r="K610" i="8"/>
  <c r="E611" i="8" l="1"/>
  <c r="C614" i="8"/>
  <c r="B613" i="8"/>
  <c r="D613" i="8"/>
  <c r="K611" i="8"/>
  <c r="I614" i="8"/>
  <c r="H614" i="8" s="1"/>
  <c r="J613" i="8"/>
  <c r="E612" i="8" l="1"/>
  <c r="C615" i="8"/>
  <c r="D614" i="8"/>
  <c r="B614" i="8"/>
  <c r="I615" i="8"/>
  <c r="H615" i="8" s="1"/>
  <c r="J614" i="8"/>
  <c r="K612" i="8"/>
  <c r="K613" i="8" l="1"/>
  <c r="E613" i="8"/>
  <c r="B615" i="8"/>
  <c r="C616" i="8"/>
  <c r="D615" i="8"/>
  <c r="I616" i="8"/>
  <c r="H616" i="8" s="1"/>
  <c r="J615" i="8"/>
  <c r="C617" i="8" l="1"/>
  <c r="B616" i="8"/>
  <c r="D616" i="8"/>
  <c r="E614" i="8"/>
  <c r="K614" i="8"/>
  <c r="I617" i="8"/>
  <c r="H617" i="8" s="1"/>
  <c r="J616" i="8"/>
  <c r="D617" i="8" l="1"/>
  <c r="C618" i="8"/>
  <c r="B617" i="8"/>
  <c r="K615" i="8"/>
  <c r="E615" i="8"/>
  <c r="I618" i="8"/>
  <c r="H618" i="8" s="1"/>
  <c r="J617" i="8"/>
  <c r="D618" i="8" l="1"/>
  <c r="B618" i="8"/>
  <c r="C619" i="8"/>
  <c r="E616" i="8"/>
  <c r="I619" i="8"/>
  <c r="H619" i="8" s="1"/>
  <c r="J618" i="8"/>
  <c r="K616" i="8"/>
  <c r="E617" i="8" l="1"/>
  <c r="D619" i="8"/>
  <c r="C620" i="8"/>
  <c r="B619" i="8"/>
  <c r="I620" i="8"/>
  <c r="H620" i="8" s="1"/>
  <c r="J619" i="8"/>
  <c r="K618" i="8" s="1"/>
  <c r="K617" i="8"/>
  <c r="E618" i="8" l="1"/>
  <c r="B620" i="8"/>
  <c r="D620" i="8"/>
  <c r="C621" i="8"/>
  <c r="I621" i="8"/>
  <c r="H621" i="8" s="1"/>
  <c r="J620" i="8"/>
  <c r="E619" i="8" l="1"/>
  <c r="K619" i="8"/>
  <c r="B621" i="8"/>
  <c r="C622" i="8"/>
  <c r="D621" i="8"/>
  <c r="I622" i="8"/>
  <c r="H622" i="8" s="1"/>
  <c r="J621" i="8"/>
  <c r="K620" i="8" s="1"/>
  <c r="E620" i="8" l="1"/>
  <c r="C623" i="8"/>
  <c r="D622" i="8"/>
  <c r="B622" i="8"/>
  <c r="I623" i="8"/>
  <c r="H623" i="8" s="1"/>
  <c r="J622" i="8"/>
  <c r="K621" i="8" s="1"/>
  <c r="E621" i="8" l="1"/>
  <c r="B623" i="8"/>
  <c r="C624" i="8"/>
  <c r="D623" i="8"/>
  <c r="I624" i="8"/>
  <c r="H624" i="8" s="1"/>
  <c r="J623" i="8"/>
  <c r="E622" i="8" l="1"/>
  <c r="B624" i="8"/>
  <c r="D624" i="8"/>
  <c r="C625" i="8"/>
  <c r="I625" i="8"/>
  <c r="H625" i="8" s="1"/>
  <c r="J624" i="8"/>
  <c r="K623" i="8" s="1"/>
  <c r="K622" i="8"/>
  <c r="E623" i="8" l="1"/>
  <c r="D625" i="8"/>
  <c r="C626" i="8"/>
  <c r="B625" i="8"/>
  <c r="I626" i="8"/>
  <c r="H626" i="8" s="1"/>
  <c r="J625" i="8"/>
  <c r="E624" i="8" l="1"/>
  <c r="B626" i="8"/>
  <c r="D626" i="8"/>
  <c r="E625" i="8" s="1"/>
  <c r="C627" i="8"/>
  <c r="K624" i="8"/>
  <c r="I627" i="8"/>
  <c r="H627" i="8" s="1"/>
  <c r="J626" i="8"/>
  <c r="K625" i="8" s="1"/>
  <c r="B627" i="8" l="1"/>
  <c r="C628" i="8"/>
  <c r="D627" i="8"/>
  <c r="I628" i="8"/>
  <c r="H628" i="8" s="1"/>
  <c r="J627" i="8"/>
  <c r="E626" i="8" l="1"/>
  <c r="B628" i="8"/>
  <c r="C629" i="8"/>
  <c r="D628" i="8"/>
  <c r="I629" i="8"/>
  <c r="H629" i="8" s="1"/>
  <c r="J628" i="8"/>
  <c r="K626" i="8"/>
  <c r="E627" i="8" l="1"/>
  <c r="D629" i="8"/>
  <c r="C630" i="8"/>
  <c r="B629" i="8"/>
  <c r="I630" i="8"/>
  <c r="H630" i="8" s="1"/>
  <c r="J629" i="8"/>
  <c r="K627" i="8"/>
  <c r="C631" i="8" l="1"/>
  <c r="D630" i="8"/>
  <c r="B630" i="8"/>
  <c r="K628" i="8"/>
  <c r="E628" i="8"/>
  <c r="I631" i="8"/>
  <c r="H631" i="8" s="1"/>
  <c r="J630" i="8"/>
  <c r="E629" i="8" l="1"/>
  <c r="B631" i="8"/>
  <c r="C632" i="8"/>
  <c r="D631" i="8"/>
  <c r="I632" i="8"/>
  <c r="H632" i="8" s="1"/>
  <c r="J631" i="8"/>
  <c r="K629" i="8"/>
  <c r="B632" i="8" l="1"/>
  <c r="C633" i="8"/>
  <c r="D632" i="8"/>
  <c r="E630" i="8"/>
  <c r="I633" i="8"/>
  <c r="H633" i="8" s="1"/>
  <c r="J632" i="8"/>
  <c r="K630" i="8"/>
  <c r="B633" i="8" l="1"/>
  <c r="C634" i="8"/>
  <c r="D633" i="8"/>
  <c r="E631" i="8"/>
  <c r="K631" i="8"/>
  <c r="I634" i="8"/>
  <c r="H634" i="8" s="1"/>
  <c r="J633" i="8"/>
  <c r="B634" i="8" l="1"/>
  <c r="D634" i="8"/>
  <c r="C635" i="8"/>
  <c r="E632" i="8"/>
  <c r="I635" i="8"/>
  <c r="H635" i="8" s="1"/>
  <c r="J634" i="8"/>
  <c r="K632" i="8"/>
  <c r="C636" i="8" l="1"/>
  <c r="B635" i="8"/>
  <c r="D635" i="8"/>
  <c r="E633" i="8"/>
  <c r="I636" i="8"/>
  <c r="H636" i="8" s="1"/>
  <c r="J635" i="8"/>
  <c r="K634" i="8" s="1"/>
  <c r="K633" i="8"/>
  <c r="B636" i="8" l="1"/>
  <c r="D636" i="8"/>
  <c r="C637" i="8"/>
  <c r="E634" i="8"/>
  <c r="I637" i="8"/>
  <c r="H637" i="8" s="1"/>
  <c r="J636" i="8"/>
  <c r="E635" i="8" l="1"/>
  <c r="D637" i="8"/>
  <c r="B637" i="8"/>
  <c r="C638" i="8"/>
  <c r="I638" i="8"/>
  <c r="H638" i="8" s="1"/>
  <c r="J637" i="8"/>
  <c r="K636" i="8" s="1"/>
  <c r="K635" i="8"/>
  <c r="B638" i="8" l="1"/>
  <c r="C639" i="8"/>
  <c r="D638" i="8"/>
  <c r="E636" i="8"/>
  <c r="I639" i="8"/>
  <c r="H639" i="8" s="1"/>
  <c r="J638" i="8"/>
  <c r="E637" i="8" l="1"/>
  <c r="B639" i="8"/>
  <c r="C640" i="8"/>
  <c r="D639" i="8"/>
  <c r="K637" i="8"/>
  <c r="I640" i="8"/>
  <c r="H640" i="8" s="1"/>
  <c r="J639" i="8"/>
  <c r="K638" i="8" s="1"/>
  <c r="D640" i="8" l="1"/>
  <c r="C641" i="8"/>
  <c r="B640" i="8"/>
  <c r="E638" i="8"/>
  <c r="I641" i="8"/>
  <c r="H641" i="8" s="1"/>
  <c r="J640" i="8"/>
  <c r="B641" i="8" l="1"/>
  <c r="D641" i="8"/>
  <c r="C642" i="8"/>
  <c r="E639" i="8"/>
  <c r="I642" i="8"/>
  <c r="H642" i="8" s="1"/>
  <c r="J641" i="8"/>
  <c r="K639" i="8"/>
  <c r="E640" i="8" l="1"/>
  <c r="B642" i="8"/>
  <c r="D642" i="8"/>
  <c r="C643" i="8"/>
  <c r="I643" i="8"/>
  <c r="H643" i="8" s="1"/>
  <c r="J642" i="8"/>
  <c r="K641" i="8" s="1"/>
  <c r="K640" i="8"/>
  <c r="E641" i="8" l="1"/>
  <c r="B643" i="8"/>
  <c r="D643" i="8"/>
  <c r="C644" i="8"/>
  <c r="I644" i="8"/>
  <c r="H644" i="8" s="1"/>
  <c r="J643" i="8"/>
  <c r="C645" i="8" l="1"/>
  <c r="B644" i="8"/>
  <c r="D644" i="8"/>
  <c r="E643" i="8" s="1"/>
  <c r="E642" i="8"/>
  <c r="K642" i="8"/>
  <c r="I645" i="8"/>
  <c r="H645" i="8" s="1"/>
  <c r="J644" i="8"/>
  <c r="B645" i="8" l="1"/>
  <c r="C646" i="8"/>
  <c r="D645" i="8"/>
  <c r="I646" i="8"/>
  <c r="H646" i="8" s="1"/>
  <c r="J645" i="8"/>
  <c r="K643" i="8"/>
  <c r="E644" i="8" l="1"/>
  <c r="C647" i="8"/>
  <c r="D646" i="8"/>
  <c r="B646" i="8"/>
  <c r="K644" i="8"/>
  <c r="I647" i="8"/>
  <c r="H647" i="8" s="1"/>
  <c r="J646" i="8"/>
  <c r="K645" i="8" l="1"/>
  <c r="E645" i="8"/>
  <c r="C648" i="8"/>
  <c r="B647" i="8"/>
  <c r="D647" i="8"/>
  <c r="I648" i="8"/>
  <c r="H648" i="8" s="1"/>
  <c r="J647" i="8"/>
  <c r="E646" i="8" l="1"/>
  <c r="C649" i="8"/>
  <c r="D648" i="8"/>
  <c r="B648" i="8"/>
  <c r="I649" i="8"/>
  <c r="H649" i="8" s="1"/>
  <c r="J648" i="8"/>
  <c r="K647" i="8" s="1"/>
  <c r="K646" i="8"/>
  <c r="E647" i="8" l="1"/>
  <c r="D649" i="8"/>
  <c r="C650" i="8"/>
  <c r="B649" i="8"/>
  <c r="I650" i="8"/>
  <c r="H650" i="8" s="1"/>
  <c r="J649" i="8"/>
  <c r="C651" i="8" l="1"/>
  <c r="B650" i="8"/>
  <c r="D650" i="8"/>
  <c r="E648" i="8"/>
  <c r="K648" i="8"/>
  <c r="I651" i="8"/>
  <c r="H651" i="8" s="1"/>
  <c r="J650" i="8"/>
  <c r="E649" i="8" l="1"/>
  <c r="D651" i="8"/>
  <c r="C652" i="8"/>
  <c r="B651" i="8"/>
  <c r="I652" i="8"/>
  <c r="H652" i="8" s="1"/>
  <c r="J651" i="8"/>
  <c r="K649" i="8"/>
  <c r="D652" i="8" l="1"/>
  <c r="B652" i="8"/>
  <c r="C653" i="8"/>
  <c r="E650" i="8"/>
  <c r="I653" i="8"/>
  <c r="H653" i="8" s="1"/>
  <c r="J652" i="8"/>
  <c r="K650" i="8"/>
  <c r="E651" i="8" l="1"/>
  <c r="D653" i="8"/>
  <c r="B653" i="8"/>
  <c r="C654" i="8"/>
  <c r="I654" i="8"/>
  <c r="H654" i="8" s="1"/>
  <c r="J653" i="8"/>
  <c r="K652" i="8" s="1"/>
  <c r="K651" i="8"/>
  <c r="E652" i="8" l="1"/>
  <c r="D654" i="8"/>
  <c r="B654" i="8"/>
  <c r="C655" i="8"/>
  <c r="I655" i="8"/>
  <c r="H655" i="8" s="1"/>
  <c r="J654" i="8"/>
  <c r="E653" i="8" l="1"/>
  <c r="B655" i="8"/>
  <c r="D655" i="8"/>
  <c r="C656" i="8"/>
  <c r="K653" i="8"/>
  <c r="I656" i="8"/>
  <c r="H656" i="8" s="1"/>
  <c r="J655" i="8"/>
  <c r="E654" i="8" l="1"/>
  <c r="B656" i="8"/>
  <c r="C657" i="8"/>
  <c r="D656" i="8"/>
  <c r="I657" i="8"/>
  <c r="H657" i="8" s="1"/>
  <c r="J656" i="8"/>
  <c r="K655" i="8" s="1"/>
  <c r="K654" i="8"/>
  <c r="E655" i="8" l="1"/>
  <c r="C658" i="8"/>
  <c r="B657" i="8"/>
  <c r="D657" i="8"/>
  <c r="I658" i="8"/>
  <c r="H658" i="8" s="1"/>
  <c r="J657" i="8"/>
  <c r="E656" i="8" l="1"/>
  <c r="K656" i="8"/>
  <c r="B658" i="8"/>
  <c r="D658" i="8"/>
  <c r="E657" i="8" s="1"/>
  <c r="C659" i="8"/>
  <c r="I659" i="8"/>
  <c r="H659" i="8" s="1"/>
  <c r="J658" i="8"/>
  <c r="B659" i="8" l="1"/>
  <c r="C660" i="8"/>
  <c r="D659" i="8"/>
  <c r="K657" i="8"/>
  <c r="I660" i="8"/>
  <c r="H660" i="8" s="1"/>
  <c r="J659" i="8"/>
  <c r="D660" i="8" l="1"/>
  <c r="B660" i="8"/>
  <c r="C661" i="8"/>
  <c r="K658" i="8"/>
  <c r="E658" i="8"/>
  <c r="I661" i="8"/>
  <c r="H661" i="8" s="1"/>
  <c r="J660" i="8"/>
  <c r="K659" i="8" s="1"/>
  <c r="C662" i="8" l="1"/>
  <c r="B661" i="8"/>
  <c r="D661" i="8"/>
  <c r="E659" i="8"/>
  <c r="I662" i="8"/>
  <c r="H662" i="8" s="1"/>
  <c r="J661" i="8"/>
  <c r="E660" i="8" l="1"/>
  <c r="C663" i="8"/>
  <c r="B662" i="8"/>
  <c r="D662" i="8"/>
  <c r="I663" i="8"/>
  <c r="H663" i="8" s="1"/>
  <c r="J662" i="8"/>
  <c r="K660" i="8"/>
  <c r="K661" i="8" l="1"/>
  <c r="E661" i="8"/>
  <c r="C664" i="8"/>
  <c r="D663" i="8"/>
  <c r="B663" i="8"/>
  <c r="I664" i="8"/>
  <c r="H664" i="8" s="1"/>
  <c r="J663" i="8"/>
  <c r="B664" i="8" l="1"/>
  <c r="D664" i="8"/>
  <c r="C665" i="8"/>
  <c r="E662" i="8"/>
  <c r="I665" i="8"/>
  <c r="H665" i="8" s="1"/>
  <c r="J664" i="8"/>
  <c r="K663" i="8" s="1"/>
  <c r="K662" i="8"/>
  <c r="E663" i="8" l="1"/>
  <c r="D665" i="8"/>
  <c r="C666" i="8"/>
  <c r="B665" i="8"/>
  <c r="I666" i="8"/>
  <c r="H666" i="8" s="1"/>
  <c r="J665" i="8"/>
  <c r="C667" i="8" l="1"/>
  <c r="D666" i="8"/>
  <c r="B666" i="8"/>
  <c r="E664" i="8"/>
  <c r="K664" i="8"/>
  <c r="I667" i="8"/>
  <c r="H667" i="8" s="1"/>
  <c r="J666" i="8"/>
  <c r="E665" i="8" l="1"/>
  <c r="B667" i="8"/>
  <c r="C668" i="8"/>
  <c r="D667" i="8"/>
  <c r="I668" i="8"/>
  <c r="H668" i="8" s="1"/>
  <c r="J667" i="8"/>
  <c r="K665" i="8"/>
  <c r="B668" i="8" l="1"/>
  <c r="C669" i="8"/>
  <c r="D668" i="8"/>
  <c r="E666" i="8"/>
  <c r="I669" i="8"/>
  <c r="H669" i="8" s="1"/>
  <c r="J668" i="8"/>
  <c r="K666" i="8"/>
  <c r="B669" i="8" l="1"/>
  <c r="C670" i="8"/>
  <c r="D669" i="8"/>
  <c r="E667" i="8"/>
  <c r="I670" i="8"/>
  <c r="H670" i="8" s="1"/>
  <c r="J669" i="8"/>
  <c r="K668" i="8" s="1"/>
  <c r="K667" i="8"/>
  <c r="E668" i="8" l="1"/>
  <c r="B670" i="8"/>
  <c r="C671" i="8"/>
  <c r="D670" i="8"/>
  <c r="E669" i="8" s="1"/>
  <c r="I671" i="8"/>
  <c r="H671" i="8" s="1"/>
  <c r="J670" i="8"/>
  <c r="C672" i="8" l="1"/>
  <c r="D671" i="8"/>
  <c r="B671" i="8"/>
  <c r="I672" i="8"/>
  <c r="H672" i="8" s="1"/>
  <c r="J671" i="8"/>
  <c r="K669" i="8"/>
  <c r="E670" i="8" l="1"/>
  <c r="D672" i="8"/>
  <c r="B672" i="8"/>
  <c r="C673" i="8"/>
  <c r="I673" i="8"/>
  <c r="H673" i="8" s="1"/>
  <c r="J672" i="8"/>
  <c r="K670" i="8"/>
  <c r="E671" i="8" l="1"/>
  <c r="K671" i="8"/>
  <c r="C674" i="8"/>
  <c r="D673" i="8"/>
  <c r="B673" i="8"/>
  <c r="I674" i="8"/>
  <c r="H674" i="8" s="1"/>
  <c r="J673" i="8"/>
  <c r="B674" i="8" l="1"/>
  <c r="D674" i="8"/>
  <c r="C675" i="8"/>
  <c r="E672" i="8"/>
  <c r="I675" i="8"/>
  <c r="H675" i="8" s="1"/>
  <c r="J674" i="8"/>
  <c r="K672" i="8"/>
  <c r="K673" i="8" l="1"/>
  <c r="D675" i="8"/>
  <c r="B675" i="8"/>
  <c r="C676" i="8"/>
  <c r="E673" i="8"/>
  <c r="I676" i="8"/>
  <c r="H676" i="8" s="1"/>
  <c r="J675" i="8"/>
  <c r="E674" i="8" l="1"/>
  <c r="B676" i="8"/>
  <c r="D676" i="8"/>
  <c r="C677" i="8"/>
  <c r="K674" i="8"/>
  <c r="I677" i="8"/>
  <c r="H677" i="8" s="1"/>
  <c r="J676" i="8"/>
  <c r="K675" i="8" s="1"/>
  <c r="E675" i="8" l="1"/>
  <c r="C678" i="8"/>
  <c r="D677" i="8"/>
  <c r="B677" i="8"/>
  <c r="I678" i="8"/>
  <c r="H678" i="8" s="1"/>
  <c r="J677" i="8"/>
  <c r="K676" i="8" l="1"/>
  <c r="E676" i="8"/>
  <c r="B678" i="8"/>
  <c r="D678" i="8"/>
  <c r="C679" i="8"/>
  <c r="I679" i="8"/>
  <c r="H679" i="8" s="1"/>
  <c r="J678" i="8"/>
  <c r="E677" i="8" l="1"/>
  <c r="B679" i="8"/>
  <c r="C680" i="8"/>
  <c r="D679" i="8"/>
  <c r="I680" i="8"/>
  <c r="H680" i="8" s="1"/>
  <c r="J679" i="8"/>
  <c r="K678" i="8" s="1"/>
  <c r="K677" i="8"/>
  <c r="E678" i="8" l="1"/>
  <c r="D680" i="8"/>
  <c r="B680" i="8"/>
  <c r="C681" i="8"/>
  <c r="I681" i="8"/>
  <c r="H681" i="8" s="1"/>
  <c r="J680" i="8"/>
  <c r="D681" i="8" l="1"/>
  <c r="B681" i="8"/>
  <c r="C682" i="8"/>
  <c r="E679" i="8"/>
  <c r="I682" i="8"/>
  <c r="H682" i="8" s="1"/>
  <c r="J681" i="8"/>
  <c r="K679" i="8"/>
  <c r="D682" i="8" l="1"/>
  <c r="C683" i="8"/>
  <c r="B682" i="8"/>
  <c r="E680" i="8"/>
  <c r="I683" i="8"/>
  <c r="H683" i="8" s="1"/>
  <c r="J682" i="8"/>
  <c r="K681" i="8" s="1"/>
  <c r="K680" i="8"/>
  <c r="E681" i="8" l="1"/>
  <c r="C684" i="8"/>
  <c r="D683" i="8"/>
  <c r="B683" i="8"/>
  <c r="I684" i="8"/>
  <c r="H684" i="8" s="1"/>
  <c r="J683" i="8"/>
  <c r="E682" i="8" l="1"/>
  <c r="K682" i="8"/>
  <c r="C685" i="8"/>
  <c r="D684" i="8"/>
  <c r="B684" i="8"/>
  <c r="I685" i="8"/>
  <c r="H685" i="8" s="1"/>
  <c r="J684" i="8"/>
  <c r="E683" i="8" l="1"/>
  <c r="B685" i="8"/>
  <c r="D685" i="8"/>
  <c r="C686" i="8"/>
  <c r="K683" i="8"/>
  <c r="I686" i="8"/>
  <c r="H686" i="8" s="1"/>
  <c r="J685" i="8"/>
  <c r="K684" i="8" l="1"/>
  <c r="C687" i="8"/>
  <c r="B686" i="8"/>
  <c r="D686" i="8"/>
  <c r="E685" i="8" s="1"/>
  <c r="E684" i="8"/>
  <c r="I687" i="8"/>
  <c r="H687" i="8" s="1"/>
  <c r="J686" i="8"/>
  <c r="K685" i="8" l="1"/>
  <c r="C688" i="8"/>
  <c r="B687" i="8"/>
  <c r="D687" i="8"/>
  <c r="I688" i="8"/>
  <c r="H688" i="8" s="1"/>
  <c r="J687" i="8"/>
  <c r="B688" i="8" l="1"/>
  <c r="C689" i="8"/>
  <c r="D688" i="8"/>
  <c r="E686" i="8"/>
  <c r="K686" i="8"/>
  <c r="I689" i="8"/>
  <c r="H689" i="8" s="1"/>
  <c r="J688" i="8"/>
  <c r="K687" i="8" s="1"/>
  <c r="C690" i="8" l="1"/>
  <c r="D689" i="8"/>
  <c r="B689" i="8"/>
  <c r="E687" i="8"/>
  <c r="I690" i="8"/>
  <c r="H690" i="8" s="1"/>
  <c r="J689" i="8"/>
  <c r="E688" i="8" l="1"/>
  <c r="B690" i="8"/>
  <c r="D690" i="8"/>
  <c r="C691" i="8"/>
  <c r="I691" i="8"/>
  <c r="H691" i="8" s="1"/>
  <c r="J690" i="8"/>
  <c r="K688" i="8"/>
  <c r="E689" i="8" l="1"/>
  <c r="C692" i="8"/>
  <c r="D691" i="8"/>
  <c r="B691" i="8"/>
  <c r="I692" i="8"/>
  <c r="H692" i="8" s="1"/>
  <c r="J691" i="8"/>
  <c r="K689" i="8"/>
  <c r="E690" i="8" l="1"/>
  <c r="B692" i="8"/>
  <c r="D692" i="8"/>
  <c r="C693" i="8"/>
  <c r="I693" i="8"/>
  <c r="H693" i="8" s="1"/>
  <c r="J692" i="8"/>
  <c r="K690" i="8"/>
  <c r="B693" i="8" l="1"/>
  <c r="C694" i="8"/>
  <c r="D693" i="8"/>
  <c r="E691" i="8"/>
  <c r="I694" i="8"/>
  <c r="H694" i="8" s="1"/>
  <c r="J693" i="8"/>
  <c r="K691" i="8"/>
  <c r="E692" i="8" l="1"/>
  <c r="C695" i="8"/>
  <c r="D694" i="8"/>
  <c r="B694" i="8"/>
  <c r="I695" i="8"/>
  <c r="H695" i="8" s="1"/>
  <c r="J694" i="8"/>
  <c r="K693" i="8" s="1"/>
  <c r="K692" i="8"/>
  <c r="E693" i="8" l="1"/>
  <c r="B695" i="8"/>
  <c r="C696" i="8"/>
  <c r="D695" i="8"/>
  <c r="E694" i="8" s="1"/>
  <c r="I696" i="8"/>
  <c r="H696" i="8" s="1"/>
  <c r="J695" i="8"/>
  <c r="D696" i="8" l="1"/>
  <c r="C697" i="8"/>
  <c r="B696" i="8"/>
  <c r="I697" i="8"/>
  <c r="H697" i="8" s="1"/>
  <c r="J696" i="8"/>
  <c r="K694" i="8"/>
  <c r="E695" i="8" l="1"/>
  <c r="B697" i="8"/>
  <c r="C698" i="8"/>
  <c r="D697" i="8"/>
  <c r="I698" i="8"/>
  <c r="H698" i="8" s="1"/>
  <c r="J697" i="8"/>
  <c r="K695" i="8"/>
  <c r="E696" i="8" l="1"/>
  <c r="B698" i="8"/>
  <c r="C699" i="8"/>
  <c r="D698" i="8"/>
  <c r="K696" i="8"/>
  <c r="I699" i="8"/>
  <c r="H699" i="8" s="1"/>
  <c r="J698" i="8"/>
  <c r="B699" i="8" l="1"/>
  <c r="D699" i="8"/>
  <c r="C700" i="8"/>
  <c r="E697" i="8"/>
  <c r="I700" i="8"/>
  <c r="H700" i="8" s="1"/>
  <c r="J699" i="8"/>
  <c r="K697" i="8"/>
  <c r="E698" i="8" l="1"/>
  <c r="B700" i="8"/>
  <c r="D700" i="8"/>
  <c r="C701" i="8"/>
  <c r="I701" i="8"/>
  <c r="H701" i="8" s="1"/>
  <c r="J700" i="8"/>
  <c r="K699" i="8" s="1"/>
  <c r="K698" i="8"/>
  <c r="B701" i="8" l="1"/>
  <c r="C702" i="8"/>
  <c r="D701" i="8"/>
  <c r="E699" i="8"/>
  <c r="I702" i="8"/>
  <c r="H702" i="8" s="1"/>
  <c r="J701" i="8"/>
  <c r="K700" i="8" l="1"/>
  <c r="E700" i="8"/>
  <c r="C703" i="8"/>
  <c r="D702" i="8"/>
  <c r="B702" i="8"/>
  <c r="I703" i="8"/>
  <c r="H703" i="8" s="1"/>
  <c r="J702" i="8"/>
  <c r="E701" i="8" l="1"/>
  <c r="D703" i="8"/>
  <c r="C704" i="8"/>
  <c r="B703" i="8"/>
  <c r="I704" i="8"/>
  <c r="H704" i="8" s="1"/>
  <c r="J703" i="8"/>
  <c r="K702" i="8" s="1"/>
  <c r="K701" i="8"/>
  <c r="D704" i="8" l="1"/>
  <c r="C705" i="8"/>
  <c r="B704" i="8"/>
  <c r="E702" i="8"/>
  <c r="I705" i="8"/>
  <c r="H705" i="8" s="1"/>
  <c r="J704" i="8"/>
  <c r="E703" i="8" l="1"/>
  <c r="K703" i="8"/>
  <c r="B705" i="8"/>
  <c r="D705" i="8"/>
  <c r="C706" i="8"/>
  <c r="I706" i="8"/>
  <c r="H706" i="8" s="1"/>
  <c r="J705" i="8"/>
  <c r="E704" i="8" l="1"/>
  <c r="C707" i="8"/>
  <c r="D706" i="8"/>
  <c r="B706" i="8"/>
  <c r="I707" i="8"/>
  <c r="H707" i="8" s="1"/>
  <c r="J706" i="8"/>
  <c r="K704" i="8"/>
  <c r="E705" i="8" l="1"/>
  <c r="D707" i="8"/>
  <c r="C708" i="8"/>
  <c r="B707" i="8"/>
  <c r="I708" i="8"/>
  <c r="H708" i="8" s="1"/>
  <c r="J707" i="8"/>
  <c r="K705" i="8"/>
  <c r="E706" i="8" l="1"/>
  <c r="B708" i="8"/>
  <c r="C709" i="8"/>
  <c r="D708" i="8"/>
  <c r="I709" i="8"/>
  <c r="H709" i="8" s="1"/>
  <c r="J708" i="8"/>
  <c r="K706" i="8"/>
  <c r="E707" i="8" l="1"/>
  <c r="B709" i="8"/>
  <c r="D709" i="8"/>
  <c r="C710" i="8"/>
  <c r="K707" i="8"/>
  <c r="I710" i="8"/>
  <c r="H710" i="8" s="1"/>
  <c r="J709" i="8"/>
  <c r="E708" i="8" l="1"/>
  <c r="B710" i="8"/>
  <c r="C711" i="8"/>
  <c r="D710" i="8"/>
  <c r="K708" i="8"/>
  <c r="I711" i="8"/>
  <c r="H711" i="8" s="1"/>
  <c r="J710" i="8"/>
  <c r="E709" i="8" l="1"/>
  <c r="C712" i="8"/>
  <c r="B711" i="8"/>
  <c r="D711" i="8"/>
  <c r="E710" i="8" s="1"/>
  <c r="I712" i="8"/>
  <c r="H712" i="8" s="1"/>
  <c r="J711" i="8"/>
  <c r="K709" i="8"/>
  <c r="B712" i="8" l="1"/>
  <c r="D712" i="8"/>
  <c r="C713" i="8"/>
  <c r="I713" i="8"/>
  <c r="H713" i="8" s="1"/>
  <c r="J712" i="8"/>
  <c r="K710" i="8"/>
  <c r="K711" i="8" l="1"/>
  <c r="E711" i="8"/>
  <c r="D713" i="8"/>
  <c r="B713" i="8"/>
  <c r="C714" i="8"/>
  <c r="I714" i="8"/>
  <c r="H714" i="8" s="1"/>
  <c r="J713" i="8"/>
  <c r="K712" i="8" s="1"/>
  <c r="E712" i="8" l="1"/>
  <c r="C715" i="8"/>
  <c r="D714" i="8"/>
  <c r="B714" i="8"/>
  <c r="I715" i="8"/>
  <c r="H715" i="8" s="1"/>
  <c r="J714" i="8"/>
  <c r="E713" i="8" l="1"/>
  <c r="C716" i="8"/>
  <c r="D715" i="8"/>
  <c r="B715" i="8"/>
  <c r="K713" i="8"/>
  <c r="I716" i="8"/>
  <c r="H716" i="8" s="1"/>
  <c r="J715" i="8"/>
  <c r="E714" i="8" l="1"/>
  <c r="C717" i="8"/>
  <c r="D716" i="8"/>
  <c r="B716" i="8"/>
  <c r="I717" i="8"/>
  <c r="H717" i="8" s="1"/>
  <c r="J716" i="8"/>
  <c r="K714" i="8"/>
  <c r="E715" i="8" l="1"/>
  <c r="B717" i="8"/>
  <c r="C718" i="8"/>
  <c r="D717" i="8"/>
  <c r="I718" i="8"/>
  <c r="H718" i="8" s="1"/>
  <c r="J717" i="8"/>
  <c r="K715" i="8"/>
  <c r="E716" i="8" l="1"/>
  <c r="C719" i="8"/>
  <c r="B718" i="8"/>
  <c r="D718" i="8"/>
  <c r="I719" i="8"/>
  <c r="H719" i="8" s="1"/>
  <c r="J718" i="8"/>
  <c r="K716" i="8"/>
  <c r="E717" i="8" l="1"/>
  <c r="B719" i="8"/>
  <c r="D719" i="8"/>
  <c r="C720" i="8"/>
  <c r="I720" i="8"/>
  <c r="H720" i="8" s="1"/>
  <c r="J719" i="8"/>
  <c r="K717" i="8"/>
  <c r="E718" i="8" l="1"/>
  <c r="D720" i="8"/>
  <c r="C721" i="8"/>
  <c r="B720" i="8"/>
  <c r="I721" i="8"/>
  <c r="H721" i="8" s="1"/>
  <c r="J720" i="8"/>
  <c r="K718" i="8"/>
  <c r="B721" i="8" l="1"/>
  <c r="D721" i="8"/>
  <c r="C722" i="8"/>
  <c r="E719" i="8"/>
  <c r="I722" i="8"/>
  <c r="H722" i="8" s="1"/>
  <c r="J721" i="8"/>
  <c r="K720" i="8" s="1"/>
  <c r="K719" i="8"/>
  <c r="C723" i="8" l="1"/>
  <c r="B722" i="8"/>
  <c r="D722" i="8"/>
  <c r="E720" i="8"/>
  <c r="I723" i="8"/>
  <c r="H723" i="8" s="1"/>
  <c r="J722" i="8"/>
  <c r="K721" i="8" s="1"/>
  <c r="E721" i="8" l="1"/>
  <c r="D723" i="8"/>
  <c r="C724" i="8"/>
  <c r="B723" i="8"/>
  <c r="I724" i="8"/>
  <c r="H724" i="8" s="1"/>
  <c r="J723" i="8"/>
  <c r="C725" i="8" l="1"/>
  <c r="B724" i="8"/>
  <c r="D724" i="8"/>
  <c r="E722" i="8"/>
  <c r="I725" i="8"/>
  <c r="H725" i="8" s="1"/>
  <c r="J724" i="8"/>
  <c r="K722" i="8"/>
  <c r="D725" i="8" l="1"/>
  <c r="C726" i="8"/>
  <c r="B725" i="8"/>
  <c r="E723" i="8"/>
  <c r="I726" i="8"/>
  <c r="H726" i="8" s="1"/>
  <c r="J725" i="8"/>
  <c r="K723" i="8"/>
  <c r="B726" i="8" l="1"/>
  <c r="C727" i="8"/>
  <c r="D726" i="8"/>
  <c r="E724" i="8"/>
  <c r="K724" i="8"/>
  <c r="I727" i="8"/>
  <c r="H727" i="8" s="1"/>
  <c r="J726" i="8"/>
  <c r="E725" i="8" l="1"/>
  <c r="D727" i="8"/>
  <c r="C728" i="8"/>
  <c r="B727" i="8"/>
  <c r="I728" i="8"/>
  <c r="H728" i="8" s="1"/>
  <c r="J727" i="8"/>
  <c r="K725" i="8"/>
  <c r="D728" i="8" l="1"/>
  <c r="C729" i="8"/>
  <c r="B728" i="8"/>
  <c r="K726" i="8"/>
  <c r="E726" i="8"/>
  <c r="I729" i="8"/>
  <c r="H729" i="8" s="1"/>
  <c r="J728" i="8"/>
  <c r="E727" i="8" l="1"/>
  <c r="B729" i="8"/>
  <c r="D729" i="8"/>
  <c r="C730" i="8"/>
  <c r="K727" i="8"/>
  <c r="I730" i="8"/>
  <c r="H730" i="8" s="1"/>
  <c r="J729" i="8"/>
  <c r="D730" i="8" l="1"/>
  <c r="C731" i="8"/>
  <c r="B730" i="8"/>
  <c r="E728" i="8"/>
  <c r="I731" i="8"/>
  <c r="H731" i="8" s="1"/>
  <c r="J730" i="8"/>
  <c r="K728" i="8"/>
  <c r="E729" i="8" l="1"/>
  <c r="D731" i="8"/>
  <c r="B731" i="8"/>
  <c r="C732" i="8"/>
  <c r="K729" i="8"/>
  <c r="I732" i="8"/>
  <c r="H732" i="8" s="1"/>
  <c r="J731" i="8"/>
  <c r="E730" i="8" l="1"/>
  <c r="C733" i="8"/>
  <c r="B732" i="8"/>
  <c r="D732" i="8"/>
  <c r="K730" i="8"/>
  <c r="I733" i="8"/>
  <c r="H733" i="8" s="1"/>
  <c r="J732" i="8"/>
  <c r="E731" i="8" l="1"/>
  <c r="C734" i="8"/>
  <c r="B733" i="8"/>
  <c r="D733" i="8"/>
  <c r="E732" i="8" s="1"/>
  <c r="I734" i="8"/>
  <c r="H734" i="8" s="1"/>
  <c r="J733" i="8"/>
  <c r="K732" i="8" s="1"/>
  <c r="K731" i="8"/>
  <c r="D734" i="8" l="1"/>
  <c r="B734" i="8"/>
  <c r="C735" i="8"/>
  <c r="I735" i="8"/>
  <c r="H735" i="8" s="1"/>
  <c r="J734" i="8"/>
  <c r="C736" i="8" l="1"/>
  <c r="D735" i="8"/>
  <c r="B735" i="8"/>
  <c r="E733" i="8"/>
  <c r="I736" i="8"/>
  <c r="H736" i="8" s="1"/>
  <c r="J735" i="8"/>
  <c r="K733" i="8"/>
  <c r="E734" i="8" l="1"/>
  <c r="C737" i="8"/>
  <c r="D736" i="8"/>
  <c r="B736" i="8"/>
  <c r="I737" i="8"/>
  <c r="H737" i="8" s="1"/>
  <c r="J736" i="8"/>
  <c r="K734" i="8"/>
  <c r="E735" i="8" l="1"/>
  <c r="B737" i="8"/>
  <c r="C738" i="8"/>
  <c r="D737" i="8"/>
  <c r="I738" i="8"/>
  <c r="H738" i="8" s="1"/>
  <c r="J737" i="8"/>
  <c r="K735" i="8"/>
  <c r="E736" i="8" l="1"/>
  <c r="D738" i="8"/>
  <c r="B738" i="8"/>
  <c r="C739" i="8"/>
  <c r="K736" i="8"/>
  <c r="I739" i="8"/>
  <c r="H739" i="8" s="1"/>
  <c r="J738" i="8"/>
  <c r="K737" i="8" s="1"/>
  <c r="E737" i="8" l="1"/>
  <c r="B739" i="8"/>
  <c r="D739" i="8"/>
  <c r="C740" i="8"/>
  <c r="I740" i="8"/>
  <c r="H740" i="8" s="1"/>
  <c r="J739" i="8"/>
  <c r="E738" i="8" l="1"/>
  <c r="D740" i="8"/>
  <c r="C741" i="8"/>
  <c r="B740" i="8"/>
  <c r="I741" i="8"/>
  <c r="H741" i="8" s="1"/>
  <c r="J740" i="8"/>
  <c r="K738" i="8"/>
  <c r="C742" i="8" l="1"/>
  <c r="B741" i="8"/>
  <c r="D741" i="8"/>
  <c r="E739" i="8"/>
  <c r="I742" i="8"/>
  <c r="H742" i="8" s="1"/>
  <c r="J741" i="8"/>
  <c r="K740" i="8" s="1"/>
  <c r="K739" i="8"/>
  <c r="E740" i="8" l="1"/>
  <c r="B742" i="8"/>
  <c r="D742" i="8"/>
  <c r="C743" i="8"/>
  <c r="I743" i="8"/>
  <c r="H743" i="8" s="1"/>
  <c r="J742" i="8"/>
  <c r="E741" i="8" l="1"/>
  <c r="C744" i="8"/>
  <c r="B743" i="8"/>
  <c r="D743" i="8"/>
  <c r="I744" i="8"/>
  <c r="H744" i="8" s="1"/>
  <c r="J743" i="8"/>
  <c r="K741" i="8"/>
  <c r="E742" i="8" l="1"/>
  <c r="C745" i="8"/>
  <c r="D744" i="8"/>
  <c r="B744" i="8"/>
  <c r="I745" i="8"/>
  <c r="H745" i="8" s="1"/>
  <c r="J744" i="8"/>
  <c r="K742" i="8"/>
  <c r="E743" i="8" l="1"/>
  <c r="C746" i="8"/>
  <c r="D745" i="8"/>
  <c r="B745" i="8"/>
  <c r="I746" i="8"/>
  <c r="H746" i="8" s="1"/>
  <c r="J745" i="8"/>
  <c r="K743" i="8"/>
  <c r="B746" i="8" l="1"/>
  <c r="C747" i="8"/>
  <c r="D746" i="8"/>
  <c r="E744" i="8"/>
  <c r="I747" i="8"/>
  <c r="H747" i="8" s="1"/>
  <c r="J746" i="8"/>
  <c r="K744" i="8"/>
  <c r="D747" i="8" l="1"/>
  <c r="C748" i="8"/>
  <c r="B747" i="8"/>
  <c r="E745" i="8"/>
  <c r="I748" i="8"/>
  <c r="H748" i="8" s="1"/>
  <c r="J747" i="8"/>
  <c r="K745" i="8"/>
  <c r="D748" i="8" l="1"/>
  <c r="B748" i="8"/>
  <c r="C749" i="8"/>
  <c r="E746" i="8"/>
  <c r="K746" i="8"/>
  <c r="I749" i="8"/>
  <c r="H749" i="8" s="1"/>
  <c r="J748" i="8"/>
  <c r="E747" i="8" l="1"/>
  <c r="C750" i="8"/>
  <c r="D749" i="8"/>
  <c r="B749" i="8"/>
  <c r="I750" i="8"/>
  <c r="H750" i="8" s="1"/>
  <c r="J749" i="8"/>
  <c r="K747" i="8"/>
  <c r="E748" i="8" l="1"/>
  <c r="K748" i="8"/>
  <c r="B750" i="8"/>
  <c r="C751" i="8"/>
  <c r="D750" i="8"/>
  <c r="I751" i="8"/>
  <c r="H751" i="8" s="1"/>
  <c r="J750" i="8"/>
  <c r="E749" i="8" l="1"/>
  <c r="B751" i="8"/>
  <c r="D751" i="8"/>
  <c r="C752" i="8"/>
  <c r="K749" i="8"/>
  <c r="I752" i="8"/>
  <c r="H752" i="8" s="1"/>
  <c r="J751" i="8"/>
  <c r="K750" i="8" l="1"/>
  <c r="B752" i="8"/>
  <c r="C753" i="8"/>
  <c r="D752" i="8"/>
  <c r="E750" i="8"/>
  <c r="I753" i="8"/>
  <c r="H753" i="8" s="1"/>
  <c r="J752" i="8"/>
  <c r="K751" i="8" l="1"/>
  <c r="B753" i="8"/>
  <c r="D753" i="8"/>
  <c r="C754" i="8"/>
  <c r="E751" i="8"/>
  <c r="I754" i="8"/>
  <c r="H754" i="8" s="1"/>
  <c r="J753" i="8"/>
  <c r="B754" i="8" l="1"/>
  <c r="D754" i="8"/>
  <c r="C755" i="8"/>
  <c r="E752" i="8"/>
  <c r="I755" i="8"/>
  <c r="H755" i="8" s="1"/>
  <c r="J754" i="8"/>
  <c r="K752" i="8"/>
  <c r="E753" i="8" l="1"/>
  <c r="C756" i="8"/>
  <c r="D755" i="8"/>
  <c r="B755" i="8"/>
  <c r="I756" i="8"/>
  <c r="H756" i="8" s="1"/>
  <c r="J755" i="8"/>
  <c r="K753" i="8"/>
  <c r="B756" i="8" l="1"/>
  <c r="C757" i="8"/>
  <c r="D756" i="8"/>
  <c r="E754" i="8"/>
  <c r="K754" i="8"/>
  <c r="I757" i="8"/>
  <c r="H757" i="8" s="1"/>
  <c r="J756" i="8"/>
  <c r="E755" i="8" l="1"/>
  <c r="B757" i="8"/>
  <c r="C758" i="8"/>
  <c r="D757" i="8"/>
  <c r="E756" i="8" s="1"/>
  <c r="I758" i="8"/>
  <c r="H758" i="8" s="1"/>
  <c r="J757" i="8"/>
  <c r="K755" i="8"/>
  <c r="D758" i="8" l="1"/>
  <c r="C759" i="8"/>
  <c r="B758" i="8"/>
  <c r="I759" i="8"/>
  <c r="H759" i="8" s="1"/>
  <c r="J758" i="8"/>
  <c r="K756" i="8"/>
  <c r="B759" i="8" l="1"/>
  <c r="D759" i="8"/>
  <c r="C760" i="8"/>
  <c r="E757" i="8"/>
  <c r="I760" i="8"/>
  <c r="H760" i="8" s="1"/>
  <c r="J759" i="8"/>
  <c r="K757" i="8"/>
  <c r="E758" i="8" l="1"/>
  <c r="D760" i="8"/>
  <c r="B760" i="8"/>
  <c r="C761" i="8"/>
  <c r="I761" i="8"/>
  <c r="H761" i="8" s="1"/>
  <c r="J760" i="8"/>
  <c r="K758" i="8"/>
  <c r="D761" i="8" l="1"/>
  <c r="B761" i="8"/>
  <c r="C762" i="8"/>
  <c r="K759" i="8"/>
  <c r="E759" i="8"/>
  <c r="I762" i="8"/>
  <c r="H762" i="8" s="1"/>
  <c r="J761" i="8"/>
  <c r="E760" i="8" l="1"/>
  <c r="K760" i="8"/>
  <c r="D762" i="8"/>
  <c r="C763" i="8"/>
  <c r="B762" i="8"/>
  <c r="I763" i="8"/>
  <c r="H763" i="8" s="1"/>
  <c r="J762" i="8"/>
  <c r="E761" i="8" l="1"/>
  <c r="K761" i="8"/>
  <c r="B763" i="8"/>
  <c r="D763" i="8"/>
  <c r="C764" i="8"/>
  <c r="I764" i="8"/>
  <c r="H764" i="8" s="1"/>
  <c r="J763" i="8"/>
  <c r="E762" i="8" l="1"/>
  <c r="C765" i="8"/>
  <c r="B764" i="8"/>
  <c r="D764" i="8"/>
  <c r="E763" i="8" s="1"/>
  <c r="I765" i="8"/>
  <c r="H765" i="8" s="1"/>
  <c r="J764" i="8"/>
  <c r="K762" i="8"/>
  <c r="B765" i="8" l="1"/>
  <c r="D765" i="8"/>
  <c r="C766" i="8"/>
  <c r="I766" i="8"/>
  <c r="H766" i="8" s="1"/>
  <c r="J765" i="8"/>
  <c r="K763" i="8"/>
  <c r="B766" i="8" l="1"/>
  <c r="D766" i="8"/>
  <c r="C767" i="8"/>
  <c r="E764" i="8"/>
  <c r="I767" i="8"/>
  <c r="H767" i="8" s="1"/>
  <c r="J766" i="8"/>
  <c r="K764" i="8"/>
  <c r="E765" i="8" l="1"/>
  <c r="B767" i="8"/>
  <c r="C768" i="8"/>
  <c r="D767" i="8"/>
  <c r="I768" i="8"/>
  <c r="H768" i="8" s="1"/>
  <c r="J767" i="8"/>
  <c r="K765" i="8"/>
  <c r="D768" i="8" l="1"/>
  <c r="B768" i="8"/>
  <c r="C769" i="8"/>
  <c r="E766" i="8"/>
  <c r="I769" i="8"/>
  <c r="H769" i="8" s="1"/>
  <c r="J768" i="8"/>
  <c r="K766" i="8"/>
  <c r="B769" i="8" l="1"/>
  <c r="C770" i="8"/>
  <c r="D769" i="8"/>
  <c r="E767" i="8"/>
  <c r="I770" i="8"/>
  <c r="H770" i="8" s="1"/>
  <c r="J769" i="8"/>
  <c r="K768" i="8" s="1"/>
  <c r="K767" i="8"/>
  <c r="E768" i="8" l="1"/>
  <c r="B770" i="8"/>
  <c r="C771" i="8"/>
  <c r="D770" i="8"/>
  <c r="I771" i="8"/>
  <c r="H771" i="8" s="1"/>
  <c r="J770" i="8"/>
  <c r="E769" i="8" l="1"/>
  <c r="D771" i="8"/>
  <c r="C772" i="8"/>
  <c r="B771" i="8"/>
  <c r="K769" i="8"/>
  <c r="I772" i="8"/>
  <c r="H772" i="8" s="1"/>
  <c r="J771" i="8"/>
  <c r="E770" i="8" l="1"/>
  <c r="B772" i="8"/>
  <c r="C773" i="8"/>
  <c r="D772" i="8"/>
  <c r="I773" i="8"/>
  <c r="H773" i="8" s="1"/>
  <c r="J772" i="8"/>
  <c r="K770" i="8"/>
  <c r="E771" i="8" l="1"/>
  <c r="B773" i="8"/>
  <c r="C774" i="8"/>
  <c r="D773" i="8"/>
  <c r="K771" i="8"/>
  <c r="I774" i="8"/>
  <c r="H774" i="8" s="1"/>
  <c r="J773" i="8"/>
  <c r="E772" i="8" l="1"/>
  <c r="B774" i="8"/>
  <c r="C775" i="8"/>
  <c r="D774" i="8"/>
  <c r="I775" i="8"/>
  <c r="H775" i="8" s="1"/>
  <c r="J774" i="8"/>
  <c r="K773" i="8" s="1"/>
  <c r="K772" i="8"/>
  <c r="B775" i="8" l="1"/>
  <c r="C776" i="8"/>
  <c r="D775" i="8"/>
  <c r="E773" i="8"/>
  <c r="I776" i="8"/>
  <c r="H776" i="8" s="1"/>
  <c r="J775" i="8"/>
  <c r="K774" i="8" s="1"/>
  <c r="E774" i="8" l="1"/>
  <c r="D776" i="8"/>
  <c r="B776" i="8"/>
  <c r="C777" i="8"/>
  <c r="I777" i="8"/>
  <c r="H777" i="8" s="1"/>
  <c r="J776" i="8"/>
  <c r="K775" i="8" s="1"/>
  <c r="E775" i="8" l="1"/>
  <c r="C778" i="8"/>
  <c r="D777" i="8"/>
  <c r="B777" i="8"/>
  <c r="I778" i="8"/>
  <c r="H778" i="8" s="1"/>
  <c r="J777" i="8"/>
  <c r="E776" i="8" l="1"/>
  <c r="K776" i="8"/>
  <c r="B778" i="8"/>
  <c r="C779" i="8"/>
  <c r="D778" i="8"/>
  <c r="I779" i="8"/>
  <c r="H779" i="8" s="1"/>
  <c r="J778" i="8"/>
  <c r="E777" i="8" l="1"/>
  <c r="C780" i="8"/>
  <c r="D779" i="8"/>
  <c r="B779" i="8"/>
  <c r="K777" i="8"/>
  <c r="I780" i="8"/>
  <c r="H780" i="8" s="1"/>
  <c r="J779" i="8"/>
  <c r="K778" i="8" s="1"/>
  <c r="E778" i="8" l="1"/>
  <c r="B780" i="8"/>
  <c r="C781" i="8"/>
  <c r="D780" i="8"/>
  <c r="I781" i="8"/>
  <c r="H781" i="8" s="1"/>
  <c r="J780" i="8"/>
  <c r="B781" i="8" l="1"/>
  <c r="D781" i="8"/>
  <c r="C782" i="8"/>
  <c r="E779" i="8"/>
  <c r="I782" i="8"/>
  <c r="H782" i="8" s="1"/>
  <c r="J781" i="8"/>
  <c r="K780" i="8" s="1"/>
  <c r="K779" i="8"/>
  <c r="D782" i="8" l="1"/>
  <c r="C783" i="8"/>
  <c r="B782" i="8"/>
  <c r="E780" i="8"/>
  <c r="I783" i="8"/>
  <c r="H783" i="8" s="1"/>
  <c r="J782" i="8"/>
  <c r="B783" i="8" l="1"/>
  <c r="C784" i="8"/>
  <c r="D783" i="8"/>
  <c r="E781" i="8"/>
  <c r="I784" i="8"/>
  <c r="H784" i="8" s="1"/>
  <c r="J783" i="8"/>
  <c r="K781" i="8"/>
  <c r="E782" i="8" l="1"/>
  <c r="B784" i="8"/>
  <c r="D784" i="8"/>
  <c r="C785" i="8"/>
  <c r="I785" i="8"/>
  <c r="H785" i="8" s="1"/>
  <c r="J784" i="8"/>
  <c r="K782" i="8"/>
  <c r="E783" i="8" l="1"/>
  <c r="B785" i="8"/>
  <c r="C786" i="8"/>
  <c r="D785" i="8"/>
  <c r="I786" i="8"/>
  <c r="H786" i="8" s="1"/>
  <c r="J785" i="8"/>
  <c r="K783" i="8"/>
  <c r="K784" i="8" l="1"/>
  <c r="E784" i="8"/>
  <c r="B786" i="8"/>
  <c r="D786" i="8"/>
  <c r="E785" i="8" s="1"/>
  <c r="C787" i="8"/>
  <c r="I787" i="8"/>
  <c r="H787" i="8" s="1"/>
  <c r="J786" i="8"/>
  <c r="B787" i="8" l="1"/>
  <c r="C788" i="8"/>
  <c r="D787" i="8"/>
  <c r="I788" i="8"/>
  <c r="H788" i="8" s="1"/>
  <c r="J787" i="8"/>
  <c r="K785" i="8"/>
  <c r="E786" i="8" l="1"/>
  <c r="B788" i="8"/>
  <c r="C789" i="8"/>
  <c r="D788" i="8"/>
  <c r="I789" i="8"/>
  <c r="H789" i="8" s="1"/>
  <c r="J788" i="8"/>
  <c r="K786" i="8"/>
  <c r="E787" i="8" l="1"/>
  <c r="K787" i="8"/>
  <c r="C790" i="8"/>
  <c r="B789" i="8"/>
  <c r="D789" i="8"/>
  <c r="I790" i="8"/>
  <c r="H790" i="8" s="1"/>
  <c r="J789" i="8"/>
  <c r="E788" i="8" l="1"/>
  <c r="B790" i="8"/>
  <c r="D790" i="8"/>
  <c r="C791" i="8"/>
  <c r="I791" i="8"/>
  <c r="H791" i="8" s="1"/>
  <c r="J790" i="8"/>
  <c r="K789" i="8" s="1"/>
  <c r="K788" i="8"/>
  <c r="D791" i="8" l="1"/>
  <c r="C792" i="8"/>
  <c r="B791" i="8"/>
  <c r="E789" i="8"/>
  <c r="I792" i="8"/>
  <c r="H792" i="8" s="1"/>
  <c r="J791" i="8"/>
  <c r="K790" i="8" s="1"/>
  <c r="E790" i="8" l="1"/>
  <c r="B792" i="8"/>
  <c r="D792" i="8"/>
  <c r="C793" i="8"/>
  <c r="I793" i="8"/>
  <c r="H793" i="8" s="1"/>
  <c r="J792" i="8"/>
  <c r="E791" i="8" l="1"/>
  <c r="C794" i="8"/>
  <c r="B793" i="8"/>
  <c r="D793" i="8"/>
  <c r="I794" i="8"/>
  <c r="H794" i="8" s="1"/>
  <c r="J793" i="8"/>
  <c r="K791" i="8"/>
  <c r="E792" i="8" l="1"/>
  <c r="C795" i="8"/>
  <c r="D794" i="8"/>
  <c r="B794" i="8"/>
  <c r="I795" i="8"/>
  <c r="H795" i="8" s="1"/>
  <c r="J794" i="8"/>
  <c r="K792" i="8"/>
  <c r="E793" i="8" l="1"/>
  <c r="B795" i="8"/>
  <c r="D795" i="8"/>
  <c r="C796" i="8"/>
  <c r="I796" i="8"/>
  <c r="H796" i="8" s="1"/>
  <c r="J795" i="8"/>
  <c r="K793" i="8"/>
  <c r="K794" i="8" l="1"/>
  <c r="C797" i="8"/>
  <c r="B796" i="8"/>
  <c r="D796" i="8"/>
  <c r="E794" i="8"/>
  <c r="I797" i="8"/>
  <c r="H797" i="8" s="1"/>
  <c r="J796" i="8"/>
  <c r="B797" i="8" l="1"/>
  <c r="C798" i="8"/>
  <c r="D797" i="8"/>
  <c r="E795" i="8"/>
  <c r="K795" i="8"/>
  <c r="I798" i="8"/>
  <c r="H798" i="8" s="1"/>
  <c r="J797" i="8"/>
  <c r="D798" i="8" l="1"/>
  <c r="B798" i="8"/>
  <c r="C799" i="8"/>
  <c r="E796" i="8"/>
  <c r="I799" i="8"/>
  <c r="H799" i="8" s="1"/>
  <c r="J798" i="8"/>
  <c r="K796" i="8"/>
  <c r="B799" i="8" l="1"/>
  <c r="D799" i="8"/>
  <c r="C800" i="8"/>
  <c r="E797" i="8"/>
  <c r="K797" i="8"/>
  <c r="I800" i="8"/>
  <c r="H800" i="8" s="1"/>
  <c r="J799" i="8"/>
  <c r="E798" i="8" l="1"/>
  <c r="B800" i="8"/>
  <c r="D800" i="8"/>
  <c r="C801" i="8"/>
  <c r="I801" i="8"/>
  <c r="H801" i="8" s="1"/>
  <c r="J800" i="8"/>
  <c r="K798" i="8"/>
  <c r="K799" i="8" l="1"/>
  <c r="D801" i="8"/>
  <c r="B801" i="8"/>
  <c r="C802" i="8"/>
  <c r="E799" i="8"/>
  <c r="I802" i="8"/>
  <c r="H802" i="8" s="1"/>
  <c r="J801" i="8"/>
  <c r="C803" i="8" l="1"/>
  <c r="D802" i="8"/>
  <c r="B802" i="8"/>
  <c r="E800" i="8"/>
  <c r="I803" i="8"/>
  <c r="H803" i="8" s="1"/>
  <c r="J802" i="8"/>
  <c r="K800" i="8"/>
  <c r="K801" i="8" l="1"/>
  <c r="E801" i="8"/>
  <c r="D803" i="8"/>
  <c r="B803" i="8"/>
  <c r="C804" i="8"/>
  <c r="I804" i="8"/>
  <c r="H804" i="8" s="1"/>
  <c r="J803" i="8"/>
  <c r="K802" i="8" s="1"/>
  <c r="E802" i="8" l="1"/>
  <c r="B804" i="8"/>
  <c r="C805" i="8"/>
  <c r="D804" i="8"/>
  <c r="I805" i="8"/>
  <c r="H805" i="8" s="1"/>
  <c r="J804" i="8"/>
  <c r="B805" i="8" l="1"/>
  <c r="C806" i="8"/>
  <c r="D805" i="8"/>
  <c r="E803" i="8"/>
  <c r="I806" i="8"/>
  <c r="H806" i="8" s="1"/>
  <c r="J805" i="8"/>
  <c r="K803" i="8"/>
  <c r="E804" i="8" l="1"/>
  <c r="B806" i="8"/>
  <c r="C807" i="8"/>
  <c r="D806" i="8"/>
  <c r="I807" i="8"/>
  <c r="H807" i="8" s="1"/>
  <c r="J806" i="8"/>
  <c r="K804" i="8"/>
  <c r="C808" i="8" l="1"/>
  <c r="D807" i="8"/>
  <c r="B807" i="8"/>
  <c r="E805" i="8"/>
  <c r="K805" i="8"/>
  <c r="I808" i="8"/>
  <c r="H808" i="8" s="1"/>
  <c r="J807" i="8"/>
  <c r="C809" i="8" l="1"/>
  <c r="B808" i="8"/>
  <c r="D808" i="8"/>
  <c r="E806" i="8"/>
  <c r="I809" i="8"/>
  <c r="H809" i="8" s="1"/>
  <c r="J808" i="8"/>
  <c r="K807" i="8" s="1"/>
  <c r="K806" i="8"/>
  <c r="E807" i="8" l="1"/>
  <c r="C810" i="8"/>
  <c r="B809" i="8"/>
  <c r="D809" i="8"/>
  <c r="I810" i="8"/>
  <c r="H810" i="8" s="1"/>
  <c r="J809" i="8"/>
  <c r="E808" i="8" l="1"/>
  <c r="C811" i="8"/>
  <c r="D810" i="8"/>
  <c r="B810" i="8"/>
  <c r="I811" i="8"/>
  <c r="H811" i="8" s="1"/>
  <c r="J810" i="8"/>
  <c r="K808" i="8"/>
  <c r="E809" i="8" l="1"/>
  <c r="B811" i="8"/>
  <c r="D811" i="8"/>
  <c r="C812" i="8"/>
  <c r="I812" i="8"/>
  <c r="H812" i="8" s="1"/>
  <c r="J811" i="8"/>
  <c r="K809" i="8"/>
  <c r="E810" i="8" l="1"/>
  <c r="B812" i="8"/>
  <c r="C813" i="8"/>
  <c r="D812" i="8"/>
  <c r="I813" i="8"/>
  <c r="H813" i="8" s="1"/>
  <c r="J812" i="8"/>
  <c r="K810" i="8"/>
  <c r="E811" i="8" l="1"/>
  <c r="B813" i="8"/>
  <c r="D813" i="8"/>
  <c r="C814" i="8"/>
  <c r="I814" i="8"/>
  <c r="H814" i="8" s="1"/>
  <c r="J813" i="8"/>
  <c r="K811" i="8"/>
  <c r="E812" i="8" l="1"/>
  <c r="B814" i="8"/>
  <c r="C815" i="8"/>
  <c r="D814" i="8"/>
  <c r="I815" i="8"/>
  <c r="H815" i="8" s="1"/>
  <c r="J814" i="8"/>
  <c r="K812" i="8"/>
  <c r="E813" i="8" l="1"/>
  <c r="D815" i="8"/>
  <c r="C816" i="8"/>
  <c r="B815" i="8"/>
  <c r="I816" i="8"/>
  <c r="H816" i="8" s="1"/>
  <c r="J815" i="8"/>
  <c r="K813" i="8"/>
  <c r="C817" i="8" l="1"/>
  <c r="D816" i="8"/>
  <c r="B816" i="8"/>
  <c r="E814" i="8"/>
  <c r="I817" i="8"/>
  <c r="H817" i="8" s="1"/>
  <c r="J816" i="8"/>
  <c r="K814" i="8"/>
  <c r="E815" i="8" l="1"/>
  <c r="C818" i="8"/>
  <c r="D817" i="8"/>
  <c r="B817" i="8"/>
  <c r="I818" i="8"/>
  <c r="H818" i="8" s="1"/>
  <c r="J817" i="8"/>
  <c r="K815" i="8"/>
  <c r="E816" i="8" l="1"/>
  <c r="B818" i="8"/>
  <c r="D818" i="8"/>
  <c r="C819" i="8"/>
  <c r="I819" i="8"/>
  <c r="H819" i="8" s="1"/>
  <c r="J818" i="8"/>
  <c r="K817" i="8" s="1"/>
  <c r="K816" i="8"/>
  <c r="B819" i="8" l="1"/>
  <c r="C820" i="8"/>
  <c r="D819" i="8"/>
  <c r="E817" i="8"/>
  <c r="I820" i="8"/>
  <c r="H820" i="8" s="1"/>
  <c r="J819" i="8"/>
  <c r="E818" i="8" l="1"/>
  <c r="B820" i="8"/>
  <c r="D820" i="8"/>
  <c r="C821" i="8"/>
  <c r="I821" i="8"/>
  <c r="H821" i="8" s="1"/>
  <c r="J820" i="8"/>
  <c r="K818" i="8"/>
  <c r="E819" i="8" l="1"/>
  <c r="C822" i="8"/>
  <c r="D821" i="8"/>
  <c r="B821" i="8"/>
  <c r="I822" i="8"/>
  <c r="H822" i="8" s="1"/>
  <c r="J821" i="8"/>
  <c r="K819" i="8"/>
  <c r="E820" i="8" l="1"/>
  <c r="D822" i="8"/>
  <c r="C823" i="8"/>
  <c r="B822" i="8"/>
  <c r="I823" i="8"/>
  <c r="H823" i="8" s="1"/>
  <c r="J822" i="8"/>
  <c r="K821" i="8" s="1"/>
  <c r="K820" i="8"/>
  <c r="B823" i="8" l="1"/>
  <c r="D823" i="8"/>
  <c r="C824" i="8"/>
  <c r="E821" i="8"/>
  <c r="I824" i="8"/>
  <c r="H824" i="8" s="1"/>
  <c r="J823" i="8"/>
  <c r="K822" i="8" s="1"/>
  <c r="E822" i="8" l="1"/>
  <c r="C825" i="8"/>
  <c r="D824" i="8"/>
  <c r="B824" i="8"/>
  <c r="I825" i="8"/>
  <c r="H825" i="8" s="1"/>
  <c r="J824" i="8"/>
  <c r="E823" i="8" l="1"/>
  <c r="C826" i="8"/>
  <c r="D825" i="8"/>
  <c r="B825" i="8"/>
  <c r="K823" i="8"/>
  <c r="I826" i="8"/>
  <c r="H826" i="8" s="1"/>
  <c r="J825" i="8"/>
  <c r="E824" i="8" l="1"/>
  <c r="C827" i="8"/>
  <c r="B826" i="8"/>
  <c r="D826" i="8"/>
  <c r="K824" i="8"/>
  <c r="I827" i="8"/>
  <c r="H827" i="8" s="1"/>
  <c r="J826" i="8"/>
  <c r="E825" i="8" l="1"/>
  <c r="B827" i="8"/>
  <c r="C828" i="8"/>
  <c r="D827" i="8"/>
  <c r="K825" i="8"/>
  <c r="I828" i="8"/>
  <c r="H828" i="8" s="1"/>
  <c r="J827" i="8"/>
  <c r="C829" i="8" l="1"/>
  <c r="B828" i="8"/>
  <c r="D828" i="8"/>
  <c r="E827" i="8" s="1"/>
  <c r="E826" i="8"/>
  <c r="K826" i="8"/>
  <c r="I829" i="8"/>
  <c r="H829" i="8" s="1"/>
  <c r="J828" i="8"/>
  <c r="K827" i="8" l="1"/>
  <c r="D829" i="8"/>
  <c r="B829" i="8"/>
  <c r="C830" i="8"/>
  <c r="I830" i="8"/>
  <c r="H830" i="8" s="1"/>
  <c r="J829" i="8"/>
  <c r="E828" i="8" l="1"/>
  <c r="D830" i="8"/>
  <c r="B830" i="8"/>
  <c r="C831" i="8"/>
  <c r="I831" i="8"/>
  <c r="H831" i="8" s="1"/>
  <c r="J830" i="8"/>
  <c r="K828" i="8"/>
  <c r="B831" i="8" l="1"/>
  <c r="D831" i="8"/>
  <c r="C832" i="8"/>
  <c r="E829" i="8"/>
  <c r="I832" i="8"/>
  <c r="H832" i="8" s="1"/>
  <c r="J831" i="8"/>
  <c r="K829" i="8"/>
  <c r="E830" i="8" l="1"/>
  <c r="B832" i="8"/>
  <c r="C833" i="8"/>
  <c r="D832" i="8"/>
  <c r="I833" i="8"/>
  <c r="H833" i="8" s="1"/>
  <c r="J832" i="8"/>
  <c r="K830" i="8"/>
  <c r="C834" i="8" l="1"/>
  <c r="B833" i="8"/>
  <c r="D833" i="8"/>
  <c r="K831" i="8"/>
  <c r="E831" i="8"/>
  <c r="I834" i="8"/>
  <c r="H834" i="8" s="1"/>
  <c r="J833" i="8"/>
  <c r="E832" i="8" l="1"/>
  <c r="C835" i="8"/>
  <c r="B834" i="8"/>
  <c r="D834" i="8"/>
  <c r="K832" i="8"/>
  <c r="I835" i="8"/>
  <c r="H835" i="8" s="1"/>
  <c r="J834" i="8"/>
  <c r="E833" i="8" l="1"/>
  <c r="B835" i="8"/>
  <c r="C836" i="8"/>
  <c r="D835" i="8"/>
  <c r="I836" i="8"/>
  <c r="H836" i="8" s="1"/>
  <c r="J835" i="8"/>
  <c r="K834" i="8" s="1"/>
  <c r="K833" i="8"/>
  <c r="E834" i="8" l="1"/>
  <c r="B836" i="8"/>
  <c r="D836" i="8"/>
  <c r="C837" i="8"/>
  <c r="I837" i="8"/>
  <c r="H837" i="8" s="1"/>
  <c r="J836" i="8"/>
  <c r="D837" i="8" l="1"/>
  <c r="C838" i="8"/>
  <c r="B837" i="8"/>
  <c r="E835" i="8"/>
  <c r="I838" i="8"/>
  <c r="H838" i="8" s="1"/>
  <c r="J837" i="8"/>
  <c r="K835" i="8"/>
  <c r="E836" i="8" l="1"/>
  <c r="C839" i="8"/>
  <c r="D838" i="8"/>
  <c r="B838" i="8"/>
  <c r="I839" i="8"/>
  <c r="H839" i="8" s="1"/>
  <c r="J838" i="8"/>
  <c r="K836" i="8"/>
  <c r="E837" i="8" l="1"/>
  <c r="B839" i="8"/>
  <c r="C840" i="8"/>
  <c r="D839" i="8"/>
  <c r="I840" i="8"/>
  <c r="H840" i="8" s="1"/>
  <c r="J839" i="8"/>
  <c r="K837" i="8"/>
  <c r="E838" i="8" l="1"/>
  <c r="D840" i="8"/>
  <c r="C841" i="8"/>
  <c r="B840" i="8"/>
  <c r="I841" i="8"/>
  <c r="H841" i="8" s="1"/>
  <c r="J840" i="8"/>
  <c r="K838" i="8"/>
  <c r="B841" i="8" l="1"/>
  <c r="C842" i="8"/>
  <c r="D841" i="8"/>
  <c r="E839" i="8"/>
  <c r="I842" i="8"/>
  <c r="H842" i="8" s="1"/>
  <c r="J841" i="8"/>
  <c r="K839" i="8"/>
  <c r="E840" i="8" l="1"/>
  <c r="C843" i="8"/>
  <c r="D842" i="8"/>
  <c r="B842" i="8"/>
  <c r="I843" i="8"/>
  <c r="H843" i="8" s="1"/>
  <c r="J842" i="8"/>
  <c r="K840" i="8"/>
  <c r="E841" i="8" l="1"/>
  <c r="C844" i="8"/>
  <c r="B843" i="8"/>
  <c r="D843" i="8"/>
  <c r="I844" i="8"/>
  <c r="H844" i="8" s="1"/>
  <c r="J843" i="8"/>
  <c r="K842" i="8" s="1"/>
  <c r="K841" i="8"/>
  <c r="E842" i="8" l="1"/>
  <c r="B844" i="8"/>
  <c r="C845" i="8"/>
  <c r="D844" i="8"/>
  <c r="I845" i="8"/>
  <c r="H845" i="8" s="1"/>
  <c r="J844" i="8"/>
  <c r="E843" i="8" l="1"/>
  <c r="B845" i="8"/>
  <c r="C846" i="8"/>
  <c r="D845" i="8"/>
  <c r="I846" i="8"/>
  <c r="H846" i="8" s="1"/>
  <c r="J845" i="8"/>
  <c r="K843" i="8"/>
  <c r="E844" i="8" l="1"/>
  <c r="B846" i="8"/>
  <c r="C847" i="8"/>
  <c r="D846" i="8"/>
  <c r="I847" i="8"/>
  <c r="H847" i="8" s="1"/>
  <c r="J846" i="8"/>
  <c r="K844" i="8"/>
  <c r="K845" i="8" l="1"/>
  <c r="E845" i="8"/>
  <c r="B847" i="8"/>
  <c r="C848" i="8"/>
  <c r="D847" i="8"/>
  <c r="I848" i="8"/>
  <c r="H848" i="8" s="1"/>
  <c r="J847" i="8"/>
  <c r="D848" i="8" l="1"/>
  <c r="C849" i="8"/>
  <c r="B848" i="8"/>
  <c r="E846" i="8"/>
  <c r="I849" i="8"/>
  <c r="H849" i="8" s="1"/>
  <c r="J848" i="8"/>
  <c r="K846" i="8"/>
  <c r="E847" i="8" l="1"/>
  <c r="D849" i="8"/>
  <c r="C850" i="8"/>
  <c r="B849" i="8"/>
  <c r="K847" i="8"/>
  <c r="I850" i="8"/>
  <c r="H850" i="8" s="1"/>
  <c r="J849" i="8"/>
  <c r="K848" i="8" l="1"/>
  <c r="E848" i="8"/>
  <c r="B850" i="8"/>
  <c r="C851" i="8"/>
  <c r="D850" i="8"/>
  <c r="I851" i="8"/>
  <c r="H851" i="8" s="1"/>
  <c r="J850" i="8"/>
  <c r="K849" i="8" l="1"/>
  <c r="C852" i="8"/>
  <c r="B851" i="8"/>
  <c r="D851" i="8"/>
  <c r="E849" i="8"/>
  <c r="I852" i="8"/>
  <c r="H852" i="8" s="1"/>
  <c r="J851" i="8"/>
  <c r="K850" i="8" l="1"/>
  <c r="B852" i="8"/>
  <c r="D852" i="8"/>
  <c r="C853" i="8"/>
  <c r="E850" i="8"/>
  <c r="I853" i="8"/>
  <c r="H853" i="8" s="1"/>
  <c r="J852" i="8"/>
  <c r="E851" i="8" l="1"/>
  <c r="B853" i="8"/>
  <c r="D853" i="8"/>
  <c r="C854" i="8"/>
  <c r="I854" i="8"/>
  <c r="H854" i="8" s="1"/>
  <c r="J853" i="8"/>
  <c r="K851" i="8"/>
  <c r="E852" i="8" l="1"/>
  <c r="D854" i="8"/>
  <c r="C855" i="8"/>
  <c r="B854" i="8"/>
  <c r="K852" i="8"/>
  <c r="I855" i="8"/>
  <c r="H855" i="8" s="1"/>
  <c r="J854" i="8"/>
  <c r="K853" i="8" s="1"/>
  <c r="B855" i="8" l="1"/>
  <c r="D855" i="8"/>
  <c r="C856" i="8"/>
  <c r="E853" i="8"/>
  <c r="I856" i="8"/>
  <c r="H856" i="8" s="1"/>
  <c r="J855" i="8"/>
  <c r="B856" i="8" l="1"/>
  <c r="C857" i="8"/>
  <c r="D856" i="8"/>
  <c r="E854" i="8"/>
  <c r="K854" i="8"/>
  <c r="I857" i="8"/>
  <c r="H857" i="8" s="1"/>
  <c r="J856" i="8"/>
  <c r="E855" i="8" l="1"/>
  <c r="D857" i="8"/>
  <c r="B857" i="8"/>
  <c r="C858" i="8"/>
  <c r="I858" i="8"/>
  <c r="H858" i="8" s="1"/>
  <c r="J857" i="8"/>
  <c r="K855" i="8"/>
  <c r="E856" i="8" l="1"/>
  <c r="C859" i="8"/>
  <c r="D858" i="8"/>
  <c r="B858" i="8"/>
  <c r="I859" i="8"/>
  <c r="H859" i="8" s="1"/>
  <c r="J858" i="8"/>
  <c r="K857" i="8" s="1"/>
  <c r="K856" i="8"/>
  <c r="E857" i="8" l="1"/>
  <c r="C860" i="8"/>
  <c r="B859" i="8"/>
  <c r="D859" i="8"/>
  <c r="I860" i="8"/>
  <c r="H860" i="8" s="1"/>
  <c r="J859" i="8"/>
  <c r="E858" i="8" l="1"/>
  <c r="D860" i="8"/>
  <c r="C861" i="8"/>
  <c r="B860" i="8"/>
  <c r="I861" i="8"/>
  <c r="H861" i="8" s="1"/>
  <c r="J860" i="8"/>
  <c r="K858" i="8"/>
  <c r="B861" i="8" l="1"/>
  <c r="C862" i="8"/>
  <c r="D861" i="8"/>
  <c r="E859" i="8"/>
  <c r="I862" i="8"/>
  <c r="H862" i="8" s="1"/>
  <c r="J861" i="8"/>
  <c r="K859" i="8"/>
  <c r="E860" i="8" l="1"/>
  <c r="B862" i="8"/>
  <c r="C863" i="8"/>
  <c r="D862" i="8"/>
  <c r="K860" i="8"/>
  <c r="I863" i="8"/>
  <c r="H863" i="8" s="1"/>
  <c r="J862" i="8"/>
  <c r="K861" i="8" l="1"/>
  <c r="B863" i="8"/>
  <c r="C864" i="8"/>
  <c r="D863" i="8"/>
  <c r="E861" i="8"/>
  <c r="I864" i="8"/>
  <c r="H864" i="8" s="1"/>
  <c r="J863" i="8"/>
  <c r="E862" i="8" l="1"/>
  <c r="D864" i="8"/>
  <c r="C865" i="8"/>
  <c r="B864" i="8"/>
  <c r="I865" i="8"/>
  <c r="H865" i="8" s="1"/>
  <c r="J864" i="8"/>
  <c r="K862" i="8"/>
  <c r="B865" i="8" l="1"/>
  <c r="C866" i="8"/>
  <c r="D865" i="8"/>
  <c r="E863" i="8"/>
  <c r="I866" i="8"/>
  <c r="H866" i="8" s="1"/>
  <c r="J865" i="8"/>
  <c r="K864" i="8" s="1"/>
  <c r="K863" i="8"/>
  <c r="E864" i="8" l="1"/>
  <c r="B866" i="8"/>
  <c r="C867" i="8"/>
  <c r="D866" i="8"/>
  <c r="I867" i="8"/>
  <c r="H867" i="8" s="1"/>
  <c r="J866" i="8"/>
  <c r="E865" i="8" l="1"/>
  <c r="D867" i="8"/>
  <c r="C868" i="8"/>
  <c r="B867" i="8"/>
  <c r="K865" i="8"/>
  <c r="I868" i="8"/>
  <c r="H868" i="8" s="1"/>
  <c r="J867" i="8"/>
  <c r="E866" i="8" l="1"/>
  <c r="C869" i="8"/>
  <c r="D868" i="8"/>
  <c r="B868" i="8"/>
  <c r="K866" i="8"/>
  <c r="I869" i="8"/>
  <c r="H869" i="8" s="1"/>
  <c r="J868" i="8"/>
  <c r="E867" i="8" l="1"/>
  <c r="C870" i="8"/>
  <c r="D869" i="8"/>
  <c r="B869" i="8"/>
  <c r="I870" i="8"/>
  <c r="H870" i="8" s="1"/>
  <c r="J869" i="8"/>
  <c r="K867" i="8"/>
  <c r="K868" i="8" l="1"/>
  <c r="D870" i="8"/>
  <c r="B870" i="8"/>
  <c r="C871" i="8"/>
  <c r="E868" i="8"/>
  <c r="I871" i="8"/>
  <c r="H871" i="8" s="1"/>
  <c r="J870" i="8"/>
  <c r="B871" i="8" l="1"/>
  <c r="D871" i="8"/>
  <c r="C872" i="8"/>
  <c r="K869" i="8"/>
  <c r="E869" i="8"/>
  <c r="I872" i="8"/>
  <c r="H872" i="8" s="1"/>
  <c r="J871" i="8"/>
  <c r="B872" i="8" l="1"/>
  <c r="C873" i="8"/>
  <c r="D872" i="8"/>
  <c r="E870" i="8"/>
  <c r="K870" i="8"/>
  <c r="I873" i="8"/>
  <c r="H873" i="8" s="1"/>
  <c r="J872" i="8"/>
  <c r="E871" i="8" l="1"/>
  <c r="B873" i="8"/>
  <c r="C874" i="8"/>
  <c r="D873" i="8"/>
  <c r="I874" i="8"/>
  <c r="H874" i="8" s="1"/>
  <c r="J873" i="8"/>
  <c r="K871" i="8"/>
  <c r="E872" i="8" l="1"/>
  <c r="D874" i="8"/>
  <c r="B874" i="8"/>
  <c r="C875" i="8"/>
  <c r="I875" i="8"/>
  <c r="H875" i="8" s="1"/>
  <c r="J874" i="8"/>
  <c r="K872" i="8"/>
  <c r="K873" i="8" l="1"/>
  <c r="D875" i="8"/>
  <c r="C876" i="8"/>
  <c r="B875" i="8"/>
  <c r="E873" i="8"/>
  <c r="I876" i="8"/>
  <c r="H876" i="8" s="1"/>
  <c r="J875" i="8"/>
  <c r="E874" i="8" l="1"/>
  <c r="D876" i="8"/>
  <c r="B876" i="8"/>
  <c r="C877" i="8"/>
  <c r="I877" i="8"/>
  <c r="H877" i="8" s="1"/>
  <c r="J876" i="8"/>
  <c r="K874" i="8"/>
  <c r="C878" i="8" l="1"/>
  <c r="D877" i="8"/>
  <c r="B877" i="8"/>
  <c r="E875" i="8"/>
  <c r="I878" i="8"/>
  <c r="H878" i="8" s="1"/>
  <c r="J877" i="8"/>
  <c r="K875" i="8"/>
  <c r="E876" i="8" l="1"/>
  <c r="C879" i="8"/>
  <c r="D878" i="8"/>
  <c r="B878" i="8"/>
  <c r="I879" i="8"/>
  <c r="H879" i="8" s="1"/>
  <c r="J878" i="8"/>
  <c r="K876" i="8"/>
  <c r="C880" i="8" l="1"/>
  <c r="D879" i="8"/>
  <c r="B879" i="8"/>
  <c r="E877" i="8"/>
  <c r="I880" i="8"/>
  <c r="H880" i="8" s="1"/>
  <c r="J879" i="8"/>
  <c r="K877" i="8"/>
  <c r="C881" i="8" l="1"/>
  <c r="B880" i="8"/>
  <c r="D880" i="8"/>
  <c r="E878" i="8"/>
  <c r="K878" i="8"/>
  <c r="I881" i="8"/>
  <c r="H881" i="8" s="1"/>
  <c r="J880" i="8"/>
  <c r="K879" i="8" l="1"/>
  <c r="E879" i="8"/>
  <c r="B881" i="8"/>
  <c r="C882" i="8"/>
  <c r="D881" i="8"/>
  <c r="I882" i="8"/>
  <c r="H882" i="8" s="1"/>
  <c r="J881" i="8"/>
  <c r="C883" i="8" l="1"/>
  <c r="D882" i="8"/>
  <c r="B882" i="8"/>
  <c r="E880" i="8"/>
  <c r="K880" i="8"/>
  <c r="I883" i="8"/>
  <c r="H883" i="8" s="1"/>
  <c r="J882" i="8"/>
  <c r="E881" i="8" l="1"/>
  <c r="K881" i="8"/>
  <c r="C884" i="8"/>
  <c r="D883" i="8"/>
  <c r="B883" i="8"/>
  <c r="I884" i="8"/>
  <c r="H884" i="8" s="1"/>
  <c r="J883" i="8"/>
  <c r="B884" i="8" l="1"/>
  <c r="D884" i="8"/>
  <c r="C885" i="8"/>
  <c r="E882" i="8"/>
  <c r="I885" i="8"/>
  <c r="H885" i="8" s="1"/>
  <c r="J884" i="8"/>
  <c r="K883" i="8" s="1"/>
  <c r="K882" i="8"/>
  <c r="B885" i="8" l="1"/>
  <c r="C886" i="8"/>
  <c r="D885" i="8"/>
  <c r="E883" i="8"/>
  <c r="I886" i="8"/>
  <c r="H886" i="8" s="1"/>
  <c r="J885" i="8"/>
  <c r="E884" i="8" l="1"/>
  <c r="C887" i="8"/>
  <c r="D886" i="8"/>
  <c r="B886" i="8"/>
  <c r="I887" i="8"/>
  <c r="H887" i="8" s="1"/>
  <c r="J886" i="8"/>
  <c r="K885" i="8" s="1"/>
  <c r="K884" i="8"/>
  <c r="E885" i="8" l="1"/>
  <c r="B887" i="8"/>
  <c r="D887" i="8"/>
  <c r="C888" i="8"/>
  <c r="I888" i="8"/>
  <c r="H888" i="8" s="1"/>
  <c r="J887" i="8"/>
  <c r="E886" i="8" l="1"/>
  <c r="D888" i="8"/>
  <c r="B888" i="8"/>
  <c r="C889" i="8"/>
  <c r="K886" i="8"/>
  <c r="I889" i="8"/>
  <c r="H889" i="8" s="1"/>
  <c r="J888" i="8"/>
  <c r="K887" i="8" s="1"/>
  <c r="E887" i="8" l="1"/>
  <c r="B889" i="8"/>
  <c r="D889" i="8"/>
  <c r="E888" i="8" s="1"/>
  <c r="C890" i="8"/>
  <c r="I890" i="8"/>
  <c r="H890" i="8" s="1"/>
  <c r="J889" i="8"/>
  <c r="D890" i="8" l="1"/>
  <c r="B890" i="8"/>
  <c r="C891" i="8"/>
  <c r="I891" i="8"/>
  <c r="H891" i="8" s="1"/>
  <c r="J890" i="8"/>
  <c r="K888" i="8"/>
  <c r="B891" i="8" l="1"/>
  <c r="C892" i="8"/>
  <c r="D891" i="8"/>
  <c r="E889" i="8"/>
  <c r="I892" i="8"/>
  <c r="H892" i="8" s="1"/>
  <c r="J891" i="8"/>
  <c r="K889" i="8"/>
  <c r="E890" i="8" l="1"/>
  <c r="D892" i="8"/>
  <c r="C893" i="8"/>
  <c r="B892" i="8"/>
  <c r="I893" i="8"/>
  <c r="H893" i="8" s="1"/>
  <c r="J892" i="8"/>
  <c r="K891" i="8" s="1"/>
  <c r="K890" i="8"/>
  <c r="C894" i="8" l="1"/>
  <c r="B893" i="8"/>
  <c r="D893" i="8"/>
  <c r="E891" i="8"/>
  <c r="I894" i="8"/>
  <c r="H894" i="8" s="1"/>
  <c r="J893" i="8"/>
  <c r="E892" i="8" l="1"/>
  <c r="C895" i="8"/>
  <c r="D894" i="8"/>
  <c r="B894" i="8"/>
  <c r="K892" i="8"/>
  <c r="I895" i="8"/>
  <c r="H895" i="8" s="1"/>
  <c r="J894" i="8"/>
  <c r="E893" i="8" l="1"/>
  <c r="D895" i="8"/>
  <c r="B895" i="8"/>
  <c r="C896" i="8"/>
  <c r="I896" i="8"/>
  <c r="H896" i="8" s="1"/>
  <c r="J895" i="8"/>
  <c r="K893" i="8"/>
  <c r="D896" i="8" l="1"/>
  <c r="C897" i="8"/>
  <c r="B896" i="8"/>
  <c r="E894" i="8"/>
  <c r="I897" i="8"/>
  <c r="H897" i="8" s="1"/>
  <c r="J896" i="8"/>
  <c r="K894" i="8"/>
  <c r="E895" i="8" l="1"/>
  <c r="B897" i="8"/>
  <c r="C898" i="8"/>
  <c r="D897" i="8"/>
  <c r="I898" i="8"/>
  <c r="H898" i="8" s="1"/>
  <c r="J897" i="8"/>
  <c r="K895" i="8"/>
  <c r="E896" i="8" l="1"/>
  <c r="D898" i="8"/>
  <c r="C899" i="8"/>
  <c r="B898" i="8"/>
  <c r="K896" i="8"/>
  <c r="I899" i="8"/>
  <c r="H899" i="8" s="1"/>
  <c r="J898" i="8"/>
  <c r="D899" i="8" l="1"/>
  <c r="C900" i="8"/>
  <c r="B899" i="8"/>
  <c r="E897" i="8"/>
  <c r="I900" i="8"/>
  <c r="H900" i="8" s="1"/>
  <c r="J899" i="8"/>
  <c r="K898" i="8" s="1"/>
  <c r="K897" i="8"/>
  <c r="E898" i="8" l="1"/>
  <c r="B900" i="8"/>
  <c r="C901" i="8"/>
  <c r="D900" i="8"/>
  <c r="I901" i="8"/>
  <c r="H901" i="8" s="1"/>
  <c r="J900" i="8"/>
  <c r="K899" i="8" s="1"/>
  <c r="B901" i="8" l="1"/>
  <c r="D901" i="8"/>
  <c r="C902" i="8"/>
  <c r="E899" i="8"/>
  <c r="I902" i="8"/>
  <c r="H902" i="8" s="1"/>
  <c r="J901" i="8"/>
  <c r="E900" i="8" l="1"/>
  <c r="D902" i="8"/>
  <c r="C903" i="8"/>
  <c r="B902" i="8"/>
  <c r="K900" i="8"/>
  <c r="I903" i="8"/>
  <c r="H903" i="8" s="1"/>
  <c r="J902" i="8"/>
  <c r="C904" i="8" l="1"/>
  <c r="B903" i="8"/>
  <c r="D903" i="8"/>
  <c r="E901" i="8"/>
  <c r="I904" i="8"/>
  <c r="H904" i="8" s="1"/>
  <c r="J903" i="8"/>
  <c r="K901" i="8"/>
  <c r="E902" i="8" l="1"/>
  <c r="D904" i="8"/>
  <c r="B904" i="8"/>
  <c r="C905" i="8"/>
  <c r="I905" i="8"/>
  <c r="H905" i="8" s="1"/>
  <c r="J904" i="8"/>
  <c r="K902" i="8"/>
  <c r="B905" i="8" l="1"/>
  <c r="D905" i="8"/>
  <c r="C906" i="8"/>
  <c r="K903" i="8"/>
  <c r="E903" i="8"/>
  <c r="I906" i="8"/>
  <c r="H906" i="8" s="1"/>
  <c r="J905" i="8"/>
  <c r="E904" i="8" l="1"/>
  <c r="B906" i="8"/>
  <c r="C907" i="8"/>
  <c r="D906" i="8"/>
  <c r="K904" i="8"/>
  <c r="I907" i="8"/>
  <c r="H907" i="8" s="1"/>
  <c r="J906" i="8"/>
  <c r="K905" i="8" l="1"/>
  <c r="B907" i="8"/>
  <c r="C908" i="8"/>
  <c r="D907" i="8"/>
  <c r="E905" i="8"/>
  <c r="I908" i="8"/>
  <c r="H908" i="8" s="1"/>
  <c r="J907" i="8"/>
  <c r="C909" i="8" l="1"/>
  <c r="D908" i="8"/>
  <c r="B908" i="8"/>
  <c r="E906" i="8"/>
  <c r="K906" i="8"/>
  <c r="I909" i="8"/>
  <c r="H909" i="8" s="1"/>
  <c r="J908" i="8"/>
  <c r="E907" i="8" l="1"/>
  <c r="K907" i="8"/>
  <c r="B909" i="8"/>
  <c r="D909" i="8"/>
  <c r="C910" i="8"/>
  <c r="I910" i="8"/>
  <c r="H910" i="8" s="1"/>
  <c r="J909" i="8"/>
  <c r="E908" i="8" l="1"/>
  <c r="B910" i="8"/>
  <c r="C911" i="8"/>
  <c r="D910" i="8"/>
  <c r="K908" i="8"/>
  <c r="I911" i="8"/>
  <c r="H911" i="8" s="1"/>
  <c r="J910" i="8"/>
  <c r="K909" i="8" s="1"/>
  <c r="E909" i="8" l="1"/>
  <c r="B911" i="8"/>
  <c r="C912" i="8"/>
  <c r="D911" i="8"/>
  <c r="I912" i="8"/>
  <c r="H912" i="8" s="1"/>
  <c r="J911" i="8"/>
  <c r="K910" i="8" l="1"/>
  <c r="E910" i="8"/>
  <c r="D912" i="8"/>
  <c r="C913" i="8"/>
  <c r="B912" i="8"/>
  <c r="I913" i="8"/>
  <c r="H913" i="8" s="1"/>
  <c r="J912" i="8"/>
  <c r="K911" i="8" l="1"/>
  <c r="E911" i="8"/>
  <c r="B913" i="8"/>
  <c r="D913" i="8"/>
  <c r="C914" i="8"/>
  <c r="I914" i="8"/>
  <c r="H914" i="8" s="1"/>
  <c r="J913" i="8"/>
  <c r="E912" i="8" l="1"/>
  <c r="C915" i="8"/>
  <c r="D914" i="8"/>
  <c r="B914" i="8"/>
  <c r="K912" i="8"/>
  <c r="I915" i="8"/>
  <c r="H915" i="8" s="1"/>
  <c r="J914" i="8"/>
  <c r="E913" i="8" l="1"/>
  <c r="D915" i="8"/>
  <c r="B915" i="8"/>
  <c r="C916" i="8"/>
  <c r="I916" i="8"/>
  <c r="H916" i="8" s="1"/>
  <c r="J915" i="8"/>
  <c r="K913" i="8"/>
  <c r="K914" i="8" l="1"/>
  <c r="D916" i="8"/>
  <c r="B916" i="8"/>
  <c r="C917" i="8"/>
  <c r="E914" i="8"/>
  <c r="I917" i="8"/>
  <c r="H917" i="8" s="1"/>
  <c r="J916" i="8"/>
  <c r="E915" i="8" l="1"/>
  <c r="K915" i="8"/>
  <c r="D917" i="8"/>
  <c r="B917" i="8"/>
  <c r="C918" i="8"/>
  <c r="I918" i="8"/>
  <c r="H918" i="8" s="1"/>
  <c r="J917" i="8"/>
  <c r="E916" i="8" l="1"/>
  <c r="D918" i="8"/>
  <c r="B918" i="8"/>
  <c r="C919" i="8"/>
  <c r="K916" i="8"/>
  <c r="I919" i="8"/>
  <c r="H919" i="8" s="1"/>
  <c r="J918" i="8"/>
  <c r="E917" i="8" l="1"/>
  <c r="K917" i="8"/>
  <c r="C920" i="8"/>
  <c r="B919" i="8"/>
  <c r="D919" i="8"/>
  <c r="E918" i="8" s="1"/>
  <c r="I920" i="8"/>
  <c r="H920" i="8" s="1"/>
  <c r="J919" i="8"/>
  <c r="B920" i="8" l="1"/>
  <c r="D920" i="8"/>
  <c r="C921" i="8"/>
  <c r="I921" i="8"/>
  <c r="H921" i="8" s="1"/>
  <c r="J920" i="8"/>
  <c r="K918" i="8"/>
  <c r="E919" i="8" l="1"/>
  <c r="C922" i="8"/>
  <c r="D921" i="8"/>
  <c r="B921" i="8"/>
  <c r="I922" i="8"/>
  <c r="H922" i="8" s="1"/>
  <c r="J921" i="8"/>
  <c r="K919" i="8"/>
  <c r="E920" i="8" l="1"/>
  <c r="B922" i="8"/>
  <c r="C923" i="8"/>
  <c r="D922" i="8"/>
  <c r="I923" i="8"/>
  <c r="H923" i="8" s="1"/>
  <c r="J922" i="8"/>
  <c r="K920" i="8"/>
  <c r="E921" i="8" l="1"/>
  <c r="D923" i="8"/>
  <c r="C924" i="8"/>
  <c r="B923" i="8"/>
  <c r="I924" i="8"/>
  <c r="H924" i="8" s="1"/>
  <c r="J923" i="8"/>
  <c r="K921" i="8"/>
  <c r="B924" i="8" l="1"/>
  <c r="C925" i="8"/>
  <c r="D924" i="8"/>
  <c r="E922" i="8"/>
  <c r="I925" i="8"/>
  <c r="H925" i="8" s="1"/>
  <c r="J924" i="8"/>
  <c r="K923" i="8" s="1"/>
  <c r="K922" i="8"/>
  <c r="E923" i="8" l="1"/>
  <c r="C926" i="8"/>
  <c r="D925" i="8"/>
  <c r="B925" i="8"/>
  <c r="I926" i="8"/>
  <c r="H926" i="8" s="1"/>
  <c r="J925" i="8"/>
  <c r="K924" i="8" l="1"/>
  <c r="E924" i="8"/>
  <c r="C927" i="8"/>
  <c r="B926" i="8"/>
  <c r="D926" i="8"/>
  <c r="I927" i="8"/>
  <c r="H927" i="8" s="1"/>
  <c r="J926" i="8"/>
  <c r="E925" i="8" l="1"/>
  <c r="B927" i="8"/>
  <c r="C928" i="8"/>
  <c r="D927" i="8"/>
  <c r="I928" i="8"/>
  <c r="H928" i="8" s="1"/>
  <c r="J927" i="8"/>
  <c r="K925" i="8"/>
  <c r="D928" i="8" l="1"/>
  <c r="C929" i="8"/>
  <c r="B928" i="8"/>
  <c r="E926" i="8"/>
  <c r="I929" i="8"/>
  <c r="H929" i="8" s="1"/>
  <c r="J928" i="8"/>
  <c r="K926" i="8"/>
  <c r="E927" i="8" l="1"/>
  <c r="K927" i="8"/>
  <c r="B929" i="8"/>
  <c r="C930" i="8"/>
  <c r="D929" i="8"/>
  <c r="I930" i="8"/>
  <c r="H930" i="8" s="1"/>
  <c r="J929" i="8"/>
  <c r="K928" i="8" s="1"/>
  <c r="C931" i="8" l="1"/>
  <c r="D930" i="8"/>
  <c r="B930" i="8"/>
  <c r="E928" i="8"/>
  <c r="I931" i="8"/>
  <c r="H931" i="8" s="1"/>
  <c r="J930" i="8"/>
  <c r="E929" i="8" l="1"/>
  <c r="C932" i="8"/>
  <c r="D931" i="8"/>
  <c r="B931" i="8"/>
  <c r="I932" i="8"/>
  <c r="H932" i="8" s="1"/>
  <c r="J931" i="8"/>
  <c r="K930" i="8" s="1"/>
  <c r="K929" i="8"/>
  <c r="E930" i="8" l="1"/>
  <c r="D932" i="8"/>
  <c r="B932" i="8"/>
  <c r="C933" i="8"/>
  <c r="I933" i="8"/>
  <c r="H933" i="8" s="1"/>
  <c r="J932" i="8"/>
  <c r="E931" i="8" l="1"/>
  <c r="C934" i="8"/>
  <c r="D933" i="8"/>
  <c r="B933" i="8"/>
  <c r="K931" i="8"/>
  <c r="I934" i="8"/>
  <c r="H934" i="8" s="1"/>
  <c r="J933" i="8"/>
  <c r="E932" i="8" l="1"/>
  <c r="B934" i="8"/>
  <c r="C935" i="8"/>
  <c r="D934" i="8"/>
  <c r="I935" i="8"/>
  <c r="H935" i="8" s="1"/>
  <c r="J934" i="8"/>
  <c r="K932" i="8"/>
  <c r="E933" i="8" l="1"/>
  <c r="K933" i="8"/>
  <c r="B935" i="8"/>
  <c r="C936" i="8"/>
  <c r="D935" i="8"/>
  <c r="I936" i="8"/>
  <c r="H936" i="8" s="1"/>
  <c r="J935" i="8"/>
  <c r="B936" i="8" l="1"/>
  <c r="D936" i="8"/>
  <c r="C937" i="8"/>
  <c r="E934" i="8"/>
  <c r="I937" i="8"/>
  <c r="H937" i="8" s="1"/>
  <c r="J936" i="8"/>
  <c r="K935" i="8" s="1"/>
  <c r="K934" i="8"/>
  <c r="E935" i="8" l="1"/>
  <c r="B937" i="8"/>
  <c r="C938" i="8"/>
  <c r="D937" i="8"/>
  <c r="I938" i="8"/>
  <c r="H938" i="8" s="1"/>
  <c r="J937" i="8"/>
  <c r="C939" i="8" l="1"/>
  <c r="B938" i="8"/>
  <c r="D938" i="8"/>
  <c r="E936" i="8"/>
  <c r="K936" i="8"/>
  <c r="I939" i="8"/>
  <c r="H939" i="8" s="1"/>
  <c r="J938" i="8"/>
  <c r="E937" i="8" l="1"/>
  <c r="K937" i="8"/>
  <c r="C940" i="8"/>
  <c r="D939" i="8"/>
  <c r="B939" i="8"/>
  <c r="I940" i="8"/>
  <c r="H940" i="8" s="1"/>
  <c r="J939" i="8"/>
  <c r="D940" i="8" l="1"/>
  <c r="C941" i="8"/>
  <c r="B940" i="8"/>
  <c r="E938" i="8"/>
  <c r="I941" i="8"/>
  <c r="H941" i="8" s="1"/>
  <c r="J940" i="8"/>
  <c r="K939" i="8" s="1"/>
  <c r="K938" i="8"/>
  <c r="C942" i="8" l="1"/>
  <c r="B941" i="8"/>
  <c r="D941" i="8"/>
  <c r="E939" i="8"/>
  <c r="I942" i="8"/>
  <c r="H942" i="8" s="1"/>
  <c r="J941" i="8"/>
  <c r="E940" i="8" l="1"/>
  <c r="B942" i="8"/>
  <c r="C943" i="8"/>
  <c r="D942" i="8"/>
  <c r="K940" i="8"/>
  <c r="I943" i="8"/>
  <c r="H943" i="8" s="1"/>
  <c r="J942" i="8"/>
  <c r="B943" i="8" l="1"/>
  <c r="D943" i="8"/>
  <c r="C944" i="8"/>
  <c r="E941" i="8"/>
  <c r="I944" i="8"/>
  <c r="H944" i="8" s="1"/>
  <c r="J943" i="8"/>
  <c r="K942" i="8" s="1"/>
  <c r="K941" i="8"/>
  <c r="E942" i="8" l="1"/>
  <c r="B944" i="8"/>
  <c r="C945" i="8"/>
  <c r="D944" i="8"/>
  <c r="I945" i="8"/>
  <c r="H945" i="8" s="1"/>
  <c r="J944" i="8"/>
  <c r="K943" i="8" s="1"/>
  <c r="B945" i="8" l="1"/>
  <c r="D945" i="8"/>
  <c r="C946" i="8"/>
  <c r="E943" i="8"/>
  <c r="I946" i="8"/>
  <c r="H946" i="8" s="1"/>
  <c r="J945" i="8"/>
  <c r="E944" i="8" l="1"/>
  <c r="C947" i="8"/>
  <c r="B946" i="8"/>
  <c r="D946" i="8"/>
  <c r="K944" i="8"/>
  <c r="I947" i="8"/>
  <c r="H947" i="8" s="1"/>
  <c r="J946" i="8"/>
  <c r="K945" i="8" s="1"/>
  <c r="E945" i="8" l="1"/>
  <c r="D947" i="8"/>
  <c r="B947" i="8"/>
  <c r="C948" i="8"/>
  <c r="I948" i="8"/>
  <c r="H948" i="8" s="1"/>
  <c r="J947" i="8"/>
  <c r="C949" i="8" l="1"/>
  <c r="D948" i="8"/>
  <c r="B948" i="8"/>
  <c r="E946" i="8"/>
  <c r="K946" i="8"/>
  <c r="I949" i="8"/>
  <c r="H949" i="8" s="1"/>
  <c r="J948" i="8"/>
  <c r="E947" i="8" l="1"/>
  <c r="D949" i="8"/>
  <c r="C950" i="8"/>
  <c r="B949" i="8"/>
  <c r="I950" i="8"/>
  <c r="H950" i="8" s="1"/>
  <c r="J949" i="8"/>
  <c r="K947" i="8"/>
  <c r="K948" i="8" l="1"/>
  <c r="C951" i="8"/>
  <c r="D950" i="8"/>
  <c r="B950" i="8"/>
  <c r="E948" i="8"/>
  <c r="I951" i="8"/>
  <c r="H951" i="8" s="1"/>
  <c r="J950" i="8"/>
  <c r="E949" i="8" l="1"/>
  <c r="C952" i="8"/>
  <c r="D951" i="8"/>
  <c r="B951" i="8"/>
  <c r="I952" i="8"/>
  <c r="H952" i="8" s="1"/>
  <c r="J951" i="8"/>
  <c r="K949" i="8"/>
  <c r="C953" i="8" l="1"/>
  <c r="B952" i="8"/>
  <c r="D952" i="8"/>
  <c r="E950" i="8"/>
  <c r="I953" i="8"/>
  <c r="H953" i="8" s="1"/>
  <c r="J952" i="8"/>
  <c r="K950" i="8"/>
  <c r="D953" i="8" l="1"/>
  <c r="C954" i="8"/>
  <c r="B953" i="8"/>
  <c r="E951" i="8"/>
  <c r="I954" i="8"/>
  <c r="H954" i="8" s="1"/>
  <c r="J953" i="8"/>
  <c r="K951" i="8"/>
  <c r="C955" i="8" l="1"/>
  <c r="D954" i="8"/>
  <c r="B954" i="8"/>
  <c r="E952" i="8"/>
  <c r="I955" i="8"/>
  <c r="H955" i="8" s="1"/>
  <c r="J954" i="8"/>
  <c r="K952" i="8"/>
  <c r="E953" i="8" l="1"/>
  <c r="C956" i="8"/>
  <c r="B955" i="8"/>
  <c r="D955" i="8"/>
  <c r="I956" i="8"/>
  <c r="H956" i="8" s="1"/>
  <c r="J955" i="8"/>
  <c r="K953" i="8"/>
  <c r="C957" i="8" l="1"/>
  <c r="B956" i="8"/>
  <c r="D956" i="8"/>
  <c r="E954" i="8"/>
  <c r="I957" i="8"/>
  <c r="H957" i="8" s="1"/>
  <c r="J956" i="8"/>
  <c r="K955" i="8" s="1"/>
  <c r="K954" i="8"/>
  <c r="E955" i="8" l="1"/>
  <c r="B957" i="8"/>
  <c r="C958" i="8"/>
  <c r="D957" i="8"/>
  <c r="I958" i="8"/>
  <c r="H958" i="8" s="1"/>
  <c r="J957" i="8"/>
  <c r="E956" i="8" l="1"/>
  <c r="B958" i="8"/>
  <c r="C959" i="8"/>
  <c r="D958" i="8"/>
  <c r="I959" i="8"/>
  <c r="H959" i="8" s="1"/>
  <c r="J958" i="8"/>
  <c r="K956" i="8"/>
  <c r="E957" i="8" l="1"/>
  <c r="B959" i="8"/>
  <c r="D959" i="8"/>
  <c r="C960" i="8"/>
  <c r="I960" i="8"/>
  <c r="H960" i="8" s="1"/>
  <c r="J959" i="8"/>
  <c r="K957" i="8"/>
  <c r="D960" i="8" l="1"/>
  <c r="C961" i="8"/>
  <c r="B960" i="8"/>
  <c r="E958" i="8"/>
  <c r="I961" i="8"/>
  <c r="H961" i="8" s="1"/>
  <c r="J960" i="8"/>
  <c r="K958" i="8"/>
  <c r="E959" i="8" l="1"/>
  <c r="D961" i="8"/>
  <c r="C962" i="8"/>
  <c r="B961" i="8"/>
  <c r="I962" i="8"/>
  <c r="H962" i="8" s="1"/>
  <c r="J961" i="8"/>
  <c r="K959" i="8"/>
  <c r="K960" i="8" l="1"/>
  <c r="E960" i="8"/>
  <c r="C963" i="8"/>
  <c r="B962" i="8"/>
  <c r="D962" i="8"/>
  <c r="I963" i="8"/>
  <c r="H963" i="8" s="1"/>
  <c r="J962" i="8"/>
  <c r="E961" i="8" l="1"/>
  <c r="B963" i="8"/>
  <c r="C964" i="8"/>
  <c r="D963" i="8"/>
  <c r="I964" i="8"/>
  <c r="H964" i="8" s="1"/>
  <c r="J963" i="8"/>
  <c r="K962" i="8" s="1"/>
  <c r="K961" i="8"/>
  <c r="B964" i="8" l="1"/>
  <c r="D964" i="8"/>
  <c r="C965" i="8"/>
  <c r="E962" i="8"/>
  <c r="I965" i="8"/>
  <c r="H965" i="8" s="1"/>
  <c r="J964" i="8"/>
  <c r="E963" i="8" l="1"/>
  <c r="C966" i="8"/>
  <c r="B965" i="8"/>
  <c r="D965" i="8"/>
  <c r="I966" i="8"/>
  <c r="H966" i="8" s="1"/>
  <c r="J965" i="8"/>
  <c r="K963" i="8"/>
  <c r="K964" i="8" l="1"/>
  <c r="E964" i="8"/>
  <c r="D966" i="8"/>
  <c r="B966" i="8"/>
  <c r="C967" i="8"/>
  <c r="I967" i="8"/>
  <c r="H967" i="8" s="1"/>
  <c r="J966" i="8"/>
  <c r="E965" i="8" l="1"/>
  <c r="B967" i="8"/>
  <c r="C968" i="8"/>
  <c r="D967" i="8"/>
  <c r="I968" i="8"/>
  <c r="H968" i="8" s="1"/>
  <c r="J967" i="8"/>
  <c r="K965" i="8"/>
  <c r="E966" i="8" l="1"/>
  <c r="B968" i="8"/>
  <c r="D968" i="8"/>
  <c r="C969" i="8"/>
  <c r="K966" i="8"/>
  <c r="I969" i="8"/>
  <c r="H969" i="8" s="1"/>
  <c r="J968" i="8"/>
  <c r="E967" i="8" l="1"/>
  <c r="B969" i="8"/>
  <c r="D969" i="8"/>
  <c r="C970" i="8"/>
  <c r="I970" i="8"/>
  <c r="H970" i="8" s="1"/>
  <c r="J969" i="8"/>
  <c r="K967" i="8"/>
  <c r="B970" i="8" l="1"/>
  <c r="C971" i="8"/>
  <c r="D970" i="8"/>
  <c r="E968" i="8"/>
  <c r="I971" i="8"/>
  <c r="H971" i="8" s="1"/>
  <c r="J970" i="8"/>
  <c r="K968" i="8"/>
  <c r="E969" i="8" l="1"/>
  <c r="C972" i="8"/>
  <c r="B971" i="8"/>
  <c r="D971" i="8"/>
  <c r="I972" i="8"/>
  <c r="H972" i="8" s="1"/>
  <c r="J971" i="8"/>
  <c r="K969" i="8"/>
  <c r="C973" i="8" l="1"/>
  <c r="B972" i="8"/>
  <c r="D972" i="8"/>
  <c r="E970" i="8"/>
  <c r="K970" i="8"/>
  <c r="I973" i="8"/>
  <c r="H973" i="8" s="1"/>
  <c r="J972" i="8"/>
  <c r="C974" i="8" l="1"/>
  <c r="D973" i="8"/>
  <c r="B973" i="8"/>
  <c r="E971" i="8"/>
  <c r="I974" i="8"/>
  <c r="H974" i="8" s="1"/>
  <c r="J973" i="8"/>
  <c r="K972" i="8" s="1"/>
  <c r="K971" i="8"/>
  <c r="E972" i="8" l="1"/>
  <c r="C975" i="8"/>
  <c r="D974" i="8"/>
  <c r="B974" i="8"/>
  <c r="I975" i="8"/>
  <c r="H975" i="8" s="1"/>
  <c r="J974" i="8"/>
  <c r="E973" i="8" l="1"/>
  <c r="C976" i="8"/>
  <c r="B975" i="8"/>
  <c r="D975" i="8"/>
  <c r="I976" i="8"/>
  <c r="H976" i="8" s="1"/>
  <c r="J975" i="8"/>
  <c r="K973" i="8"/>
  <c r="E974" i="8" l="1"/>
  <c r="D976" i="8"/>
  <c r="C977" i="8"/>
  <c r="B976" i="8"/>
  <c r="K974" i="8"/>
  <c r="I977" i="8"/>
  <c r="H977" i="8" s="1"/>
  <c r="J976" i="8"/>
  <c r="E975" i="8" l="1"/>
  <c r="B977" i="8"/>
  <c r="D977" i="8"/>
  <c r="C978" i="8"/>
  <c r="K975" i="8"/>
  <c r="I978" i="8"/>
  <c r="H978" i="8" s="1"/>
  <c r="J977" i="8"/>
  <c r="D978" i="8" l="1"/>
  <c r="B978" i="8"/>
  <c r="C979" i="8"/>
  <c r="E976" i="8"/>
  <c r="K976" i="8"/>
  <c r="I979" i="8"/>
  <c r="H979" i="8" s="1"/>
  <c r="J978" i="8"/>
  <c r="E977" i="8" l="1"/>
  <c r="B979" i="8"/>
  <c r="D979" i="8"/>
  <c r="C980" i="8"/>
  <c r="I980" i="8"/>
  <c r="H980" i="8" s="1"/>
  <c r="J979" i="8"/>
  <c r="K977" i="8"/>
  <c r="K978" i="8" l="1"/>
  <c r="C981" i="8"/>
  <c r="B980" i="8"/>
  <c r="D980" i="8"/>
  <c r="E978" i="8"/>
  <c r="I981" i="8"/>
  <c r="H981" i="8" s="1"/>
  <c r="J980" i="8"/>
  <c r="E979" i="8" l="1"/>
  <c r="K979" i="8"/>
  <c r="B981" i="8"/>
  <c r="C982" i="8"/>
  <c r="D981" i="8"/>
  <c r="I982" i="8"/>
  <c r="H982" i="8" s="1"/>
  <c r="J981" i="8"/>
  <c r="E980" i="8" l="1"/>
  <c r="D982" i="8"/>
  <c r="B982" i="8"/>
  <c r="C983" i="8"/>
  <c r="K980" i="8"/>
  <c r="I983" i="8"/>
  <c r="H983" i="8" s="1"/>
  <c r="J982" i="8"/>
  <c r="K981" i="8" s="1"/>
  <c r="E981" i="8" l="1"/>
  <c r="C984" i="8"/>
  <c r="D983" i="8"/>
  <c r="B983" i="8"/>
  <c r="I984" i="8"/>
  <c r="H984" i="8" s="1"/>
  <c r="J983" i="8"/>
  <c r="K982" i="8" l="1"/>
  <c r="E982" i="8"/>
  <c r="B984" i="8"/>
  <c r="C985" i="8"/>
  <c r="D984" i="8"/>
  <c r="I985" i="8"/>
  <c r="H985" i="8" s="1"/>
  <c r="J984" i="8"/>
  <c r="K983" i="8" s="1"/>
  <c r="E983" i="8" l="1"/>
  <c r="D985" i="8"/>
  <c r="C986" i="8"/>
  <c r="B985" i="8"/>
  <c r="I986" i="8"/>
  <c r="H986" i="8" s="1"/>
  <c r="J985" i="8"/>
  <c r="K984" i="8" l="1"/>
  <c r="C987" i="8"/>
  <c r="D986" i="8"/>
  <c r="B986" i="8"/>
  <c r="E984" i="8"/>
  <c r="I987" i="8"/>
  <c r="H987" i="8" s="1"/>
  <c r="J986" i="8"/>
  <c r="E985" i="8" l="1"/>
  <c r="K985" i="8"/>
  <c r="D987" i="8"/>
  <c r="C988" i="8"/>
  <c r="B987" i="8"/>
  <c r="I988" i="8"/>
  <c r="H988" i="8" s="1"/>
  <c r="J987" i="8"/>
  <c r="K986" i="8" s="1"/>
  <c r="E986" i="8" l="1"/>
  <c r="B988" i="8"/>
  <c r="C989" i="8"/>
  <c r="D988" i="8"/>
  <c r="I989" i="8"/>
  <c r="H989" i="8" s="1"/>
  <c r="J988" i="8"/>
  <c r="K987" i="8" s="1"/>
  <c r="D989" i="8" l="1"/>
  <c r="C990" i="8"/>
  <c r="B989" i="8"/>
  <c r="E987" i="8"/>
  <c r="I990" i="8"/>
  <c r="H990" i="8" s="1"/>
  <c r="J989" i="8"/>
  <c r="E988" i="8" l="1"/>
  <c r="K988" i="8"/>
  <c r="D990" i="8"/>
  <c r="B990" i="8"/>
  <c r="C991" i="8"/>
  <c r="I991" i="8"/>
  <c r="H991" i="8" s="1"/>
  <c r="J990" i="8"/>
  <c r="B991" i="8" l="1"/>
  <c r="C992" i="8"/>
  <c r="D991" i="8"/>
  <c r="E989" i="8"/>
  <c r="I992" i="8"/>
  <c r="H992" i="8" s="1"/>
  <c r="J991" i="8"/>
  <c r="K989" i="8"/>
  <c r="E990" i="8" l="1"/>
  <c r="B992" i="8"/>
  <c r="D992" i="8"/>
  <c r="C993" i="8"/>
  <c r="K990" i="8"/>
  <c r="I993" i="8"/>
  <c r="H993" i="8" s="1"/>
  <c r="J992" i="8"/>
  <c r="E991" i="8" l="1"/>
  <c r="B993" i="8"/>
  <c r="C994" i="8"/>
  <c r="D993" i="8"/>
  <c r="K991" i="8"/>
  <c r="I994" i="8"/>
  <c r="H994" i="8" s="1"/>
  <c r="J993" i="8"/>
  <c r="E992" i="8" l="1"/>
  <c r="C995" i="8"/>
  <c r="D994" i="8"/>
  <c r="B994" i="8"/>
  <c r="I995" i="8"/>
  <c r="H995" i="8" s="1"/>
  <c r="J994" i="8"/>
  <c r="K992" i="8"/>
  <c r="E993" i="8" l="1"/>
  <c r="B995" i="8"/>
  <c r="C996" i="8"/>
  <c r="D995" i="8"/>
  <c r="I996" i="8"/>
  <c r="H996" i="8" s="1"/>
  <c r="J995" i="8"/>
  <c r="K994" i="8" s="1"/>
  <c r="K993" i="8"/>
  <c r="B996" i="8" l="1"/>
  <c r="D996" i="8"/>
  <c r="C997" i="8"/>
  <c r="E994" i="8"/>
  <c r="I997" i="8"/>
  <c r="H997" i="8" s="1"/>
  <c r="J996" i="8"/>
  <c r="C998" i="8" l="1"/>
  <c r="D997" i="8"/>
  <c r="B997" i="8"/>
  <c r="E995" i="8"/>
  <c r="K995" i="8"/>
  <c r="I998" i="8"/>
  <c r="H998" i="8" s="1"/>
  <c r="J997" i="8"/>
  <c r="E996" i="8" l="1"/>
  <c r="B998" i="8"/>
  <c r="C999" i="8"/>
  <c r="D998" i="8"/>
  <c r="I999" i="8"/>
  <c r="H999" i="8" s="1"/>
  <c r="J998" i="8"/>
  <c r="K997" i="8" s="1"/>
  <c r="K996" i="8"/>
  <c r="D999" i="8" l="1"/>
  <c r="B999" i="8"/>
  <c r="C1000" i="8"/>
  <c r="E997" i="8"/>
  <c r="I1000" i="8"/>
  <c r="H1000" i="8" s="1"/>
  <c r="J999" i="8"/>
  <c r="E998" i="8" l="1"/>
  <c r="B1000" i="8"/>
  <c r="C1001" i="8"/>
  <c r="D1000" i="8"/>
  <c r="K998" i="8"/>
  <c r="I1001" i="8"/>
  <c r="H1001" i="8" s="1"/>
  <c r="J1000" i="8"/>
  <c r="E999" i="8" l="1"/>
  <c r="B1001" i="8"/>
  <c r="D1001" i="8"/>
  <c r="C1002" i="8"/>
  <c r="I1002" i="8"/>
  <c r="H1002" i="8" s="1"/>
  <c r="J1001" i="8"/>
  <c r="K999" i="8"/>
  <c r="C1003" i="8" l="1"/>
  <c r="D1002" i="8"/>
  <c r="B1002" i="8"/>
  <c r="E1000" i="8"/>
  <c r="I1003" i="8"/>
  <c r="H1003" i="8" s="1"/>
  <c r="J1002" i="8"/>
  <c r="K1001" i="8" s="1"/>
  <c r="K1000" i="8"/>
  <c r="E1001" i="8" l="1"/>
  <c r="D1003" i="8"/>
  <c r="B1003" i="8"/>
  <c r="C1004" i="8"/>
  <c r="I1004" i="8"/>
  <c r="H1004" i="8" s="1"/>
  <c r="J1003" i="8"/>
  <c r="B1004" i="8" l="1"/>
  <c r="C1005" i="8"/>
  <c r="D1004" i="8"/>
  <c r="E1002" i="8"/>
  <c r="I1005" i="8"/>
  <c r="H1005" i="8" s="1"/>
  <c r="J1004" i="8"/>
  <c r="K1002" i="8"/>
  <c r="E1003" i="8" l="1"/>
  <c r="B1005" i="8"/>
  <c r="C1006" i="8"/>
  <c r="D1005" i="8"/>
  <c r="K1003" i="8"/>
  <c r="I1006" i="8"/>
  <c r="H1006" i="8" s="1"/>
  <c r="J1005" i="8"/>
  <c r="E1004" i="8" l="1"/>
  <c r="B1006" i="8"/>
  <c r="C1007" i="8"/>
  <c r="D1006" i="8"/>
  <c r="I1007" i="8"/>
  <c r="H1007" i="8" s="1"/>
  <c r="J1006" i="8"/>
  <c r="K1004" i="8"/>
  <c r="E1005" i="8" l="1"/>
  <c r="B1007" i="8"/>
  <c r="D1007" i="8"/>
  <c r="C1008" i="8"/>
  <c r="I1008" i="8"/>
  <c r="H1008" i="8" s="1"/>
  <c r="J1007" i="8"/>
  <c r="K1005" i="8"/>
  <c r="E1006" i="8" l="1"/>
  <c r="D1008" i="8"/>
  <c r="B1008" i="8"/>
  <c r="C1009" i="8"/>
  <c r="I1009" i="8"/>
  <c r="H1009" i="8" s="1"/>
  <c r="J1008" i="8"/>
  <c r="K1007" i="8" s="1"/>
  <c r="K1006" i="8"/>
  <c r="B1009" i="8" l="1"/>
  <c r="D1009" i="8"/>
  <c r="C1010" i="8"/>
  <c r="E1007" i="8"/>
  <c r="I1010" i="8"/>
  <c r="H1010" i="8" s="1"/>
  <c r="J1009" i="8"/>
  <c r="E1008" i="8" l="1"/>
  <c r="D1010" i="8"/>
  <c r="B1010" i="8"/>
  <c r="C1011" i="8"/>
  <c r="K1008" i="8"/>
  <c r="I1011" i="8"/>
  <c r="H1011" i="8" s="1"/>
  <c r="J1010" i="8"/>
  <c r="E1009" i="8" l="1"/>
  <c r="B1011" i="8"/>
  <c r="D1011" i="8"/>
  <c r="C1012" i="8"/>
  <c r="I1012" i="8"/>
  <c r="H1012" i="8" s="1"/>
  <c r="J1011" i="8"/>
  <c r="K1009" i="8"/>
  <c r="E1010" i="8" l="1"/>
  <c r="D1012" i="8"/>
  <c r="C1013" i="8"/>
  <c r="B1012" i="8"/>
  <c r="I1013" i="8"/>
  <c r="H1013" i="8" s="1"/>
  <c r="J1012" i="8"/>
  <c r="K1011" i="8" s="1"/>
  <c r="K1010" i="8"/>
  <c r="E1011" i="8" l="1"/>
  <c r="B1013" i="8"/>
  <c r="C1014" i="8"/>
  <c r="D1013" i="8"/>
  <c r="I1014" i="8"/>
  <c r="H1014" i="8" s="1"/>
  <c r="J1013" i="8"/>
  <c r="E1012" i="8" l="1"/>
  <c r="B1014" i="8"/>
  <c r="D1014" i="8"/>
  <c r="C1015" i="8"/>
  <c r="K1012" i="8"/>
  <c r="I1015" i="8"/>
  <c r="H1015" i="8" s="1"/>
  <c r="J1014" i="8"/>
  <c r="K1013" i="8" l="1"/>
  <c r="B1015" i="8"/>
  <c r="D1015" i="8"/>
  <c r="C1016" i="8"/>
  <c r="E1013" i="8"/>
  <c r="I1016" i="8"/>
  <c r="H1016" i="8" s="1"/>
  <c r="J1015" i="8"/>
  <c r="E1014" i="8" l="1"/>
  <c r="B1016" i="8"/>
  <c r="C1017" i="8"/>
  <c r="D1016" i="8"/>
  <c r="K1014" i="8"/>
  <c r="I1017" i="8"/>
  <c r="H1017" i="8" s="1"/>
  <c r="J1016" i="8"/>
  <c r="E1015" i="8" l="1"/>
  <c r="D1017" i="8"/>
  <c r="B1017" i="8"/>
  <c r="C1018" i="8"/>
  <c r="I1018" i="8"/>
  <c r="H1018" i="8" s="1"/>
  <c r="J1017" i="8"/>
  <c r="K1016" i="8" s="1"/>
  <c r="K1015" i="8"/>
  <c r="E1016" i="8" l="1"/>
  <c r="C1019" i="8"/>
  <c r="D1018" i="8"/>
  <c r="B1018" i="8"/>
  <c r="I1019" i="8"/>
  <c r="H1019" i="8" s="1"/>
  <c r="J1018" i="8"/>
  <c r="E1017" i="8" l="1"/>
  <c r="C1020" i="8"/>
  <c r="D1019" i="8"/>
  <c r="B1019" i="8"/>
  <c r="I1020" i="8"/>
  <c r="H1020" i="8" s="1"/>
  <c r="J1019" i="8"/>
  <c r="K1017" i="8"/>
  <c r="K1018" i="8" l="1"/>
  <c r="E1018" i="8"/>
  <c r="C1021" i="8"/>
  <c r="D1020" i="8"/>
  <c r="B1020" i="8"/>
  <c r="I1021" i="8"/>
  <c r="H1021" i="8" s="1"/>
  <c r="J1020" i="8"/>
  <c r="K1019" i="8" s="1"/>
  <c r="E1019" i="8" l="1"/>
  <c r="B1021" i="8"/>
  <c r="C1022" i="8"/>
  <c r="D1021" i="8"/>
  <c r="I1022" i="8"/>
  <c r="H1022" i="8" s="1"/>
  <c r="J1021" i="8"/>
  <c r="E1020" i="8" l="1"/>
  <c r="B1022" i="8"/>
  <c r="C1023" i="8"/>
  <c r="D1022" i="8"/>
  <c r="K1020" i="8"/>
  <c r="I1023" i="8"/>
  <c r="H1023" i="8" s="1"/>
  <c r="J1022" i="8"/>
  <c r="K1021" i="8" s="1"/>
  <c r="E1021" i="8" l="1"/>
  <c r="C1024" i="8"/>
  <c r="D1023" i="8"/>
  <c r="B1023" i="8"/>
  <c r="I1024" i="8"/>
  <c r="H1024" i="8" s="1"/>
  <c r="J1023" i="8"/>
  <c r="K1022" i="8" s="1"/>
  <c r="E1022" i="8" l="1"/>
  <c r="C1025" i="8"/>
  <c r="D1024" i="8"/>
  <c r="B1024" i="8"/>
  <c r="I1025" i="8"/>
  <c r="H1025" i="8" s="1"/>
  <c r="J1024" i="8"/>
  <c r="K1023" i="8" s="1"/>
  <c r="E1023" i="8" l="1"/>
  <c r="C1026" i="8"/>
  <c r="D1025" i="8"/>
  <c r="B1025" i="8"/>
  <c r="I1026" i="8"/>
  <c r="H1026" i="8" s="1"/>
  <c r="J1025" i="8"/>
  <c r="K1024" i="8" l="1"/>
  <c r="C1027" i="8"/>
  <c r="D1026" i="8"/>
  <c r="B1026" i="8"/>
  <c r="E1024" i="8"/>
  <c r="I1027" i="8"/>
  <c r="H1027" i="8" s="1"/>
  <c r="J1026" i="8"/>
  <c r="E1025" i="8" l="1"/>
  <c r="C1028" i="8"/>
  <c r="B1027" i="8"/>
  <c r="D1027" i="8"/>
  <c r="E1026" i="8" s="1"/>
  <c r="K1025" i="8"/>
  <c r="I1028" i="8"/>
  <c r="H1028" i="8" s="1"/>
  <c r="J1027" i="8"/>
  <c r="K1026" i="8" s="1"/>
  <c r="C1029" i="8" l="1"/>
  <c r="D1028" i="8"/>
  <c r="B1028" i="8"/>
  <c r="I1029" i="8"/>
  <c r="H1029" i="8" s="1"/>
  <c r="J1028" i="8"/>
  <c r="K1027" i="8" l="1"/>
  <c r="E1027" i="8"/>
  <c r="C1030" i="8"/>
  <c r="B1029" i="8"/>
  <c r="D1029" i="8"/>
  <c r="I1030" i="8"/>
  <c r="H1030" i="8" s="1"/>
  <c r="J1029" i="8"/>
  <c r="E1028" i="8" l="1"/>
  <c r="B1030" i="8"/>
  <c r="C1031" i="8"/>
  <c r="D1030" i="8"/>
  <c r="I1031" i="8"/>
  <c r="H1031" i="8" s="1"/>
  <c r="J1030" i="8"/>
  <c r="K1028" i="8"/>
  <c r="K1029" i="8" l="1"/>
  <c r="E1029" i="8"/>
  <c r="B1031" i="8"/>
  <c r="C1032" i="8"/>
  <c r="D1031" i="8"/>
  <c r="I1032" i="8"/>
  <c r="H1032" i="8" s="1"/>
  <c r="J1031" i="8"/>
  <c r="E1030" i="8" l="1"/>
  <c r="D1032" i="8"/>
  <c r="C1033" i="8"/>
  <c r="B1032" i="8"/>
  <c r="K1030" i="8"/>
  <c r="I1033" i="8"/>
  <c r="H1033" i="8" s="1"/>
  <c r="J1032" i="8"/>
  <c r="K1031" i="8" s="1"/>
  <c r="B1033" i="8" l="1"/>
  <c r="C1034" i="8"/>
  <c r="D1033" i="8"/>
  <c r="E1031" i="8"/>
  <c r="I1034" i="8"/>
  <c r="H1034" i="8" s="1"/>
  <c r="J1033" i="8"/>
  <c r="E1032" i="8" l="1"/>
  <c r="B1034" i="8"/>
  <c r="D1034" i="8"/>
  <c r="C1035" i="8"/>
  <c r="I1035" i="8"/>
  <c r="H1035" i="8" s="1"/>
  <c r="J1034" i="8"/>
  <c r="K1032" i="8"/>
  <c r="C1036" i="8" l="1"/>
  <c r="D1035" i="8"/>
  <c r="B1035" i="8"/>
  <c r="E1033" i="8"/>
  <c r="K1033" i="8"/>
  <c r="I1036" i="8"/>
  <c r="H1036" i="8" s="1"/>
  <c r="J1035" i="8"/>
  <c r="E1034" i="8" l="1"/>
  <c r="B1036" i="8"/>
  <c r="D1036" i="8"/>
  <c r="C1037" i="8"/>
  <c r="I1037" i="8"/>
  <c r="H1037" i="8" s="1"/>
  <c r="J1036" i="8"/>
  <c r="K1034" i="8"/>
  <c r="B1037" i="8" l="1"/>
  <c r="C1038" i="8"/>
  <c r="D1037" i="8"/>
  <c r="E1035" i="8"/>
  <c r="K1035" i="8"/>
  <c r="I1038" i="8"/>
  <c r="H1038" i="8" s="1"/>
  <c r="J1037" i="8"/>
  <c r="E1036" i="8" l="1"/>
  <c r="D1038" i="8"/>
  <c r="B1038" i="8"/>
  <c r="C1039" i="8"/>
  <c r="I1039" i="8"/>
  <c r="H1039" i="8" s="1"/>
  <c r="J1038" i="8"/>
  <c r="K1036" i="8"/>
  <c r="E1037" i="8" l="1"/>
  <c r="D1039" i="8"/>
  <c r="B1039" i="8"/>
  <c r="C1040" i="8"/>
  <c r="I1040" i="8"/>
  <c r="H1040" i="8" s="1"/>
  <c r="J1039" i="8"/>
  <c r="K1037" i="8"/>
  <c r="B1040" i="8" l="1"/>
  <c r="C1041" i="8"/>
  <c r="D1040" i="8"/>
  <c r="E1038" i="8"/>
  <c r="K1038" i="8"/>
  <c r="I1041" i="8"/>
  <c r="H1041" i="8" s="1"/>
  <c r="J1040" i="8"/>
  <c r="E1039" i="8" l="1"/>
  <c r="C1042" i="8"/>
  <c r="B1041" i="8"/>
  <c r="D1041" i="8"/>
  <c r="I1042" i="8"/>
  <c r="H1042" i="8" s="1"/>
  <c r="J1041" i="8"/>
  <c r="K1040" i="8" s="1"/>
  <c r="K1039" i="8"/>
  <c r="E1040" i="8" l="1"/>
  <c r="B1042" i="8"/>
  <c r="D1042" i="8"/>
  <c r="C1043" i="8"/>
  <c r="I1043" i="8"/>
  <c r="H1043" i="8" s="1"/>
  <c r="J1042" i="8"/>
  <c r="B1043" i="8" l="1"/>
  <c r="D1043" i="8"/>
  <c r="C1044" i="8"/>
  <c r="E1041" i="8"/>
  <c r="K1041" i="8"/>
  <c r="I1044" i="8"/>
  <c r="H1044" i="8" s="1"/>
  <c r="J1043" i="8"/>
  <c r="E1042" i="8" l="1"/>
  <c r="B1044" i="8"/>
  <c r="D1044" i="8"/>
  <c r="C1045" i="8"/>
  <c r="K1042" i="8"/>
  <c r="I1045" i="8"/>
  <c r="H1045" i="8" s="1"/>
  <c r="J1044" i="8"/>
  <c r="D1045" i="8" l="1"/>
  <c r="C1046" i="8"/>
  <c r="B1045" i="8"/>
  <c r="E1043" i="8"/>
  <c r="I1046" i="8"/>
  <c r="H1046" i="8" s="1"/>
  <c r="J1045" i="8"/>
  <c r="K1043" i="8"/>
  <c r="E1044" i="8" l="1"/>
  <c r="B1046" i="8"/>
  <c r="D1046" i="8"/>
  <c r="C1047" i="8"/>
  <c r="I1047" i="8"/>
  <c r="H1047" i="8" s="1"/>
  <c r="J1046" i="8"/>
  <c r="K1044" i="8"/>
  <c r="E1045" i="8" l="1"/>
  <c r="B1047" i="8"/>
  <c r="D1047" i="8"/>
  <c r="C1048" i="8"/>
  <c r="I1048" i="8"/>
  <c r="H1048" i="8" s="1"/>
  <c r="J1047" i="8"/>
  <c r="K1045" i="8"/>
  <c r="D1048" i="8" l="1"/>
  <c r="C1049" i="8"/>
  <c r="B1048" i="8"/>
  <c r="E1046" i="8"/>
  <c r="I1049" i="8"/>
  <c r="H1049" i="8" s="1"/>
  <c r="J1048" i="8"/>
  <c r="K1046" i="8"/>
  <c r="E1047" i="8" l="1"/>
  <c r="B1049" i="8"/>
  <c r="C1050" i="8"/>
  <c r="D1049" i="8"/>
  <c r="I1050" i="8"/>
  <c r="H1050" i="8" s="1"/>
  <c r="J1049" i="8"/>
  <c r="K1047" i="8"/>
  <c r="K1048" i="8" l="1"/>
  <c r="E1048" i="8"/>
  <c r="D1050" i="8"/>
  <c r="C1051" i="8"/>
  <c r="B1050" i="8"/>
  <c r="I1051" i="8"/>
  <c r="H1051" i="8" s="1"/>
  <c r="J1050" i="8"/>
  <c r="E1049" i="8" l="1"/>
  <c r="C1052" i="8"/>
  <c r="D1051" i="8"/>
  <c r="B1051" i="8"/>
  <c r="K1049" i="8"/>
  <c r="I1052" i="8"/>
  <c r="H1052" i="8" s="1"/>
  <c r="J1051" i="8"/>
  <c r="K1050" i="8" s="1"/>
  <c r="E1050" i="8" l="1"/>
  <c r="B1052" i="8"/>
  <c r="D1052" i="8"/>
  <c r="C1053" i="8"/>
  <c r="I1053" i="8"/>
  <c r="H1053" i="8" s="1"/>
  <c r="J1052" i="8"/>
  <c r="K1051" i="8" s="1"/>
  <c r="E1051" i="8" l="1"/>
  <c r="C1054" i="8"/>
  <c r="D1053" i="8"/>
  <c r="B1053" i="8"/>
  <c r="I1054" i="8"/>
  <c r="H1054" i="8" s="1"/>
  <c r="J1053" i="8"/>
  <c r="E1052" i="8" l="1"/>
  <c r="B1054" i="8"/>
  <c r="C1055" i="8"/>
  <c r="D1054" i="8"/>
  <c r="E1053" i="8" s="1"/>
  <c r="K1052" i="8"/>
  <c r="I1055" i="8"/>
  <c r="H1055" i="8" s="1"/>
  <c r="J1054" i="8"/>
  <c r="K1053" i="8" s="1"/>
  <c r="C1056" i="8" l="1"/>
  <c r="D1055" i="8"/>
  <c r="B1055" i="8"/>
  <c r="I1056" i="8"/>
  <c r="H1056" i="8" s="1"/>
  <c r="J1055" i="8"/>
  <c r="E1054" i="8" l="1"/>
  <c r="B1056" i="8"/>
  <c r="C1057" i="8"/>
  <c r="D1056" i="8"/>
  <c r="I1057" i="8"/>
  <c r="H1057" i="8" s="1"/>
  <c r="J1056" i="8"/>
  <c r="K1054" i="8"/>
  <c r="C1058" i="8" l="1"/>
  <c r="B1057" i="8"/>
  <c r="D1057" i="8"/>
  <c r="E1055" i="8"/>
  <c r="I1058" i="8"/>
  <c r="H1058" i="8" s="1"/>
  <c r="J1057" i="8"/>
  <c r="K1056" i="8" s="1"/>
  <c r="K1055" i="8"/>
  <c r="E1056" i="8" l="1"/>
  <c r="B1058" i="8"/>
  <c r="C1059" i="8"/>
  <c r="D1058" i="8"/>
  <c r="I1059" i="8"/>
  <c r="H1059" i="8" s="1"/>
  <c r="J1058" i="8"/>
  <c r="B1059" i="8" l="1"/>
  <c r="C1060" i="8"/>
  <c r="D1059" i="8"/>
  <c r="K1057" i="8"/>
  <c r="E1057" i="8"/>
  <c r="I1060" i="8"/>
  <c r="H1060" i="8" s="1"/>
  <c r="J1059" i="8"/>
  <c r="E1058" i="8" l="1"/>
  <c r="C1061" i="8"/>
  <c r="D1060" i="8"/>
  <c r="B1060" i="8"/>
  <c r="I1061" i="8"/>
  <c r="H1061" i="8" s="1"/>
  <c r="J1060" i="8"/>
  <c r="K1058" i="8"/>
  <c r="B1061" i="8" l="1"/>
  <c r="C1062" i="8"/>
  <c r="D1061" i="8"/>
  <c r="E1059" i="8"/>
  <c r="I1062" i="8"/>
  <c r="H1062" i="8" s="1"/>
  <c r="J1061" i="8"/>
  <c r="K1059" i="8"/>
  <c r="C1063" i="8" l="1"/>
  <c r="D1062" i="8"/>
  <c r="B1062" i="8"/>
  <c r="E1060" i="8"/>
  <c r="I1063" i="8"/>
  <c r="H1063" i="8" s="1"/>
  <c r="J1062" i="8"/>
  <c r="K1061" i="8" s="1"/>
  <c r="K1060" i="8"/>
  <c r="E1061" i="8" l="1"/>
  <c r="C1064" i="8"/>
  <c r="B1063" i="8"/>
  <c r="D1063" i="8"/>
  <c r="I1064" i="8"/>
  <c r="H1064" i="8" s="1"/>
  <c r="J1063" i="8"/>
  <c r="K1062" i="8" s="1"/>
  <c r="E1062" i="8" l="1"/>
  <c r="D1064" i="8"/>
  <c r="C1065" i="8"/>
  <c r="B1064" i="8"/>
  <c r="I1065" i="8"/>
  <c r="H1065" i="8" s="1"/>
  <c r="J1064" i="8"/>
  <c r="B1065" i="8" l="1"/>
  <c r="C1066" i="8"/>
  <c r="D1065" i="8"/>
  <c r="E1063" i="8"/>
  <c r="I1066" i="8"/>
  <c r="H1066" i="8" s="1"/>
  <c r="J1065" i="8"/>
  <c r="K1063" i="8"/>
  <c r="E1064" i="8" l="1"/>
  <c r="D1066" i="8"/>
  <c r="C1067" i="8"/>
  <c r="B1066" i="8"/>
  <c r="K1064" i="8"/>
  <c r="I1067" i="8"/>
  <c r="H1067" i="8" s="1"/>
  <c r="J1066" i="8"/>
  <c r="K1065" i="8" l="1"/>
  <c r="C1068" i="8"/>
  <c r="B1067" i="8"/>
  <c r="D1067" i="8"/>
  <c r="E1065" i="8"/>
  <c r="I1068" i="8"/>
  <c r="H1068" i="8" s="1"/>
  <c r="J1067" i="8"/>
  <c r="E1066" i="8" l="1"/>
  <c r="D1068" i="8"/>
  <c r="C1069" i="8"/>
  <c r="B1068" i="8"/>
  <c r="K1066" i="8"/>
  <c r="I1069" i="8"/>
  <c r="H1069" i="8" s="1"/>
  <c r="J1068" i="8"/>
  <c r="K1067" i="8" s="1"/>
  <c r="B1069" i="8" l="1"/>
  <c r="D1069" i="8"/>
  <c r="C1070" i="8"/>
  <c r="E1067" i="8"/>
  <c r="I1070" i="8"/>
  <c r="H1070" i="8" s="1"/>
  <c r="J1069" i="8"/>
  <c r="K1068" i="8" s="1"/>
  <c r="E1068" i="8" l="1"/>
  <c r="B1070" i="8"/>
  <c r="D1070" i="8"/>
  <c r="C1071" i="8"/>
  <c r="I1071" i="8"/>
  <c r="H1071" i="8" s="1"/>
  <c r="J1070" i="8"/>
  <c r="E1069" i="8" l="1"/>
  <c r="B1071" i="8"/>
  <c r="C1072" i="8"/>
  <c r="D1071" i="8"/>
  <c r="K1069" i="8"/>
  <c r="I1072" i="8"/>
  <c r="H1072" i="8" s="1"/>
  <c r="J1071" i="8"/>
  <c r="B1072" i="8" l="1"/>
  <c r="D1072" i="8"/>
  <c r="C1073" i="8"/>
  <c r="E1070" i="8"/>
  <c r="I1073" i="8"/>
  <c r="H1073" i="8" s="1"/>
  <c r="J1072" i="8"/>
  <c r="K1070" i="8"/>
  <c r="B1073" i="8" l="1"/>
  <c r="C1074" i="8"/>
  <c r="D1073" i="8"/>
  <c r="E1071" i="8"/>
  <c r="I1074" i="8"/>
  <c r="H1074" i="8" s="1"/>
  <c r="J1073" i="8"/>
  <c r="K1072" i="8" s="1"/>
  <c r="K1071" i="8"/>
  <c r="D1074" i="8" l="1"/>
  <c r="C1075" i="8"/>
  <c r="B1074" i="8"/>
  <c r="E1072" i="8"/>
  <c r="I1075" i="8"/>
  <c r="H1075" i="8" s="1"/>
  <c r="J1074" i="8"/>
  <c r="E1073" i="8" l="1"/>
  <c r="B1075" i="8"/>
  <c r="C1076" i="8"/>
  <c r="D1075" i="8"/>
  <c r="K1073" i="8"/>
  <c r="I1076" i="8"/>
  <c r="H1076" i="8" s="1"/>
  <c r="J1075" i="8"/>
  <c r="E1074" i="8" l="1"/>
  <c r="B1076" i="8"/>
  <c r="D1076" i="8"/>
  <c r="C1077" i="8"/>
  <c r="K1074" i="8"/>
  <c r="I1077" i="8"/>
  <c r="H1077" i="8" s="1"/>
  <c r="J1076" i="8"/>
  <c r="B1077" i="8" l="1"/>
  <c r="C1078" i="8"/>
  <c r="D1077" i="8"/>
  <c r="E1075" i="8"/>
  <c r="I1078" i="8"/>
  <c r="H1078" i="8" s="1"/>
  <c r="J1077" i="8"/>
  <c r="K1075" i="8"/>
  <c r="E1076" i="8" l="1"/>
  <c r="D1078" i="8"/>
  <c r="C1079" i="8"/>
  <c r="B1078" i="8"/>
  <c r="I1079" i="8"/>
  <c r="H1079" i="8" s="1"/>
  <c r="J1078" i="8"/>
  <c r="K1077" i="8" s="1"/>
  <c r="K1076" i="8"/>
  <c r="C1080" i="8" l="1"/>
  <c r="D1079" i="8"/>
  <c r="B1079" i="8"/>
  <c r="E1077" i="8"/>
  <c r="I1080" i="8"/>
  <c r="H1080" i="8" s="1"/>
  <c r="J1079" i="8"/>
  <c r="E1078" i="8" l="1"/>
  <c r="D1080" i="8"/>
  <c r="B1080" i="8"/>
  <c r="C1081" i="8"/>
  <c r="K1078" i="8"/>
  <c r="I1081" i="8"/>
  <c r="H1081" i="8" s="1"/>
  <c r="J1080" i="8"/>
  <c r="K1079" i="8" s="1"/>
  <c r="C1082" i="8" l="1"/>
  <c r="B1081" i="8"/>
  <c r="D1081" i="8"/>
  <c r="E1080" i="8" s="1"/>
  <c r="E1079" i="8"/>
  <c r="I1082" i="8"/>
  <c r="H1082" i="8" s="1"/>
  <c r="J1081" i="8"/>
  <c r="C1083" i="8" l="1"/>
  <c r="D1082" i="8"/>
  <c r="B1082" i="8"/>
  <c r="K1080" i="8"/>
  <c r="I1083" i="8"/>
  <c r="H1083" i="8" s="1"/>
  <c r="J1082" i="8"/>
  <c r="B1083" i="8" l="1"/>
  <c r="C1084" i="8"/>
  <c r="D1083" i="8"/>
  <c r="E1081" i="8"/>
  <c r="I1084" i="8"/>
  <c r="H1084" i="8" s="1"/>
  <c r="J1083" i="8"/>
  <c r="K1081" i="8"/>
  <c r="D1084" i="8" l="1"/>
  <c r="C1085" i="8"/>
  <c r="B1084" i="8"/>
  <c r="E1082" i="8"/>
  <c r="I1085" i="8"/>
  <c r="H1085" i="8" s="1"/>
  <c r="J1084" i="8"/>
  <c r="K1082" i="8"/>
  <c r="E1083" i="8" l="1"/>
  <c r="B1085" i="8"/>
  <c r="D1085" i="8"/>
  <c r="C1086" i="8"/>
  <c r="K1083" i="8"/>
  <c r="I1086" i="8"/>
  <c r="H1086" i="8" s="1"/>
  <c r="J1085" i="8"/>
  <c r="C1087" i="8" l="1"/>
  <c r="B1086" i="8"/>
  <c r="D1086" i="8"/>
  <c r="E1084" i="8"/>
  <c r="I1087" i="8"/>
  <c r="H1087" i="8" s="1"/>
  <c r="J1086" i="8"/>
  <c r="K1084" i="8"/>
  <c r="E1085" i="8" l="1"/>
  <c r="C1088" i="8"/>
  <c r="B1087" i="8"/>
  <c r="D1087" i="8"/>
  <c r="I1088" i="8"/>
  <c r="H1088" i="8" s="1"/>
  <c r="J1087" i="8"/>
  <c r="K1086" i="8" s="1"/>
  <c r="K1085" i="8"/>
  <c r="C1089" i="8" l="1"/>
  <c r="D1088" i="8"/>
  <c r="B1088" i="8"/>
  <c r="E1086" i="8"/>
  <c r="I1089" i="8"/>
  <c r="H1089" i="8" s="1"/>
  <c r="J1088" i="8"/>
  <c r="C1090" i="8" l="1"/>
  <c r="D1089" i="8"/>
  <c r="B1089" i="8"/>
  <c r="E1087" i="8"/>
  <c r="I1090" i="8"/>
  <c r="H1090" i="8" s="1"/>
  <c r="J1089" i="8"/>
  <c r="K1088" i="8" s="1"/>
  <c r="K1087" i="8"/>
  <c r="D1090" i="8" l="1"/>
  <c r="B1090" i="8"/>
  <c r="C1091" i="8"/>
  <c r="E1088" i="8"/>
  <c r="I1091" i="8"/>
  <c r="H1091" i="8" s="1"/>
  <c r="J1090" i="8"/>
  <c r="C1092" i="8" l="1"/>
  <c r="D1091" i="8"/>
  <c r="B1091" i="8"/>
  <c r="E1089" i="8"/>
  <c r="K1089" i="8"/>
  <c r="I1092" i="8"/>
  <c r="H1092" i="8" s="1"/>
  <c r="J1091" i="8"/>
  <c r="B1092" i="8" l="1"/>
  <c r="D1092" i="8"/>
  <c r="C1093" i="8"/>
  <c r="E1090" i="8"/>
  <c r="I1093" i="8"/>
  <c r="H1093" i="8" s="1"/>
  <c r="J1092" i="8"/>
  <c r="K1091" i="8" s="1"/>
  <c r="K1090" i="8"/>
  <c r="E1091" i="8" l="1"/>
  <c r="C1094" i="8"/>
  <c r="B1093" i="8"/>
  <c r="D1093" i="8"/>
  <c r="I1094" i="8"/>
  <c r="H1094" i="8" s="1"/>
  <c r="J1093" i="8"/>
  <c r="K1092" i="8" s="1"/>
  <c r="E1092" i="8" l="1"/>
  <c r="B1094" i="8"/>
  <c r="D1094" i="8"/>
  <c r="C1095" i="8"/>
  <c r="I1095" i="8"/>
  <c r="H1095" i="8" s="1"/>
  <c r="J1094" i="8"/>
  <c r="K1093" i="8" s="1"/>
  <c r="E1093" i="8" l="1"/>
  <c r="C1096" i="8"/>
  <c r="D1095" i="8"/>
  <c r="B1095" i="8"/>
  <c r="I1096" i="8"/>
  <c r="H1096" i="8" s="1"/>
  <c r="J1095" i="8"/>
  <c r="E1094" i="8" l="1"/>
  <c r="C1097" i="8"/>
  <c r="D1096" i="8"/>
  <c r="B1096" i="8"/>
  <c r="I1097" i="8"/>
  <c r="H1097" i="8" s="1"/>
  <c r="J1096" i="8"/>
  <c r="K1094" i="8"/>
  <c r="E1095" i="8" l="1"/>
  <c r="D1097" i="8"/>
  <c r="B1097" i="8"/>
  <c r="C1098" i="8"/>
  <c r="K1095" i="8"/>
  <c r="I1098" i="8"/>
  <c r="H1098" i="8" s="1"/>
  <c r="J1097" i="8"/>
  <c r="E1096" i="8" l="1"/>
  <c r="C1099" i="8"/>
  <c r="B1098" i="8"/>
  <c r="D1098" i="8"/>
  <c r="I1099" i="8"/>
  <c r="H1099" i="8" s="1"/>
  <c r="J1098" i="8"/>
  <c r="K1096" i="8"/>
  <c r="E1097" i="8" l="1"/>
  <c r="D1099" i="8"/>
  <c r="B1099" i="8"/>
  <c r="C1100" i="8"/>
  <c r="I1100" i="8"/>
  <c r="H1100" i="8" s="1"/>
  <c r="J1099" i="8"/>
  <c r="K1097" i="8"/>
  <c r="C1101" i="8" l="1"/>
  <c r="B1100" i="8"/>
  <c r="D1100" i="8"/>
  <c r="E1098" i="8"/>
  <c r="I1101" i="8"/>
  <c r="H1101" i="8" s="1"/>
  <c r="J1100" i="8"/>
  <c r="K1098" i="8"/>
  <c r="E1099" i="8" l="1"/>
  <c r="B1101" i="8"/>
  <c r="C1102" i="8"/>
  <c r="D1101" i="8"/>
  <c r="I1102" i="8"/>
  <c r="H1102" i="8" s="1"/>
  <c r="J1101" i="8"/>
  <c r="K1099" i="8"/>
  <c r="E1100" i="8" l="1"/>
  <c r="B1102" i="8"/>
  <c r="C1103" i="8"/>
  <c r="D1102" i="8"/>
  <c r="I1103" i="8"/>
  <c r="H1103" i="8" s="1"/>
  <c r="J1102" i="8"/>
  <c r="K1100" i="8"/>
  <c r="D1103" i="8" l="1"/>
  <c r="B1103" i="8"/>
  <c r="C1104" i="8"/>
  <c r="E1101" i="8"/>
  <c r="K1101" i="8"/>
  <c r="I1104" i="8"/>
  <c r="H1104" i="8" s="1"/>
  <c r="J1103" i="8"/>
  <c r="E1102" i="8" l="1"/>
  <c r="B1104" i="8"/>
  <c r="C1105" i="8"/>
  <c r="D1104" i="8"/>
  <c r="I1105" i="8"/>
  <c r="H1105" i="8" s="1"/>
  <c r="J1104" i="8"/>
  <c r="K1102" i="8"/>
  <c r="C1106" i="8" l="1"/>
  <c r="B1105" i="8"/>
  <c r="D1105" i="8"/>
  <c r="E1103" i="8"/>
  <c r="I1106" i="8"/>
  <c r="H1106" i="8" s="1"/>
  <c r="J1105" i="8"/>
  <c r="K1103" i="8"/>
  <c r="K1104" i="8" l="1"/>
  <c r="D1106" i="8"/>
  <c r="C1107" i="8"/>
  <c r="B1106" i="8"/>
  <c r="E1104" i="8"/>
  <c r="I1107" i="8"/>
  <c r="H1107" i="8" s="1"/>
  <c r="J1106" i="8"/>
  <c r="E1105" i="8" l="1"/>
  <c r="D1107" i="8"/>
  <c r="B1107" i="8"/>
  <c r="C1108" i="8"/>
  <c r="I1108" i="8"/>
  <c r="H1108" i="8" s="1"/>
  <c r="J1107" i="8"/>
  <c r="K1105" i="8"/>
  <c r="D1108" i="8" l="1"/>
  <c r="B1108" i="8"/>
  <c r="C1109" i="8"/>
  <c r="K1106" i="8"/>
  <c r="E1106" i="8"/>
  <c r="I1109" i="8"/>
  <c r="H1109" i="8" s="1"/>
  <c r="J1108" i="8"/>
  <c r="E1107" i="8" l="1"/>
  <c r="K1107" i="8"/>
  <c r="D1109" i="8"/>
  <c r="B1109" i="8"/>
  <c r="C1110" i="8"/>
  <c r="I1110" i="8"/>
  <c r="H1110" i="8" s="1"/>
  <c r="J1109" i="8"/>
  <c r="E1108" i="8" l="1"/>
  <c r="B1110" i="8"/>
  <c r="C1111" i="8"/>
  <c r="D1110" i="8"/>
  <c r="K1108" i="8"/>
  <c r="I1111" i="8"/>
  <c r="H1111" i="8" s="1"/>
  <c r="J1110" i="8"/>
  <c r="K1109" i="8" s="1"/>
  <c r="D1111" i="8" l="1"/>
  <c r="C1112" i="8"/>
  <c r="B1111" i="8"/>
  <c r="E1109" i="8"/>
  <c r="I1112" i="8"/>
  <c r="H1112" i="8" s="1"/>
  <c r="J1111" i="8"/>
  <c r="E1110" i="8" l="1"/>
  <c r="B1112" i="8"/>
  <c r="C1113" i="8"/>
  <c r="D1112" i="8"/>
  <c r="I1113" i="8"/>
  <c r="H1113" i="8" s="1"/>
  <c r="J1112" i="8"/>
  <c r="K1111" i="8" s="1"/>
  <c r="K1110" i="8"/>
  <c r="C1114" i="8" l="1"/>
  <c r="D1113" i="8"/>
  <c r="B1113" i="8"/>
  <c r="E1111" i="8"/>
  <c r="I1114" i="8"/>
  <c r="H1114" i="8" s="1"/>
  <c r="J1113" i="8"/>
  <c r="K1112" i="8" s="1"/>
  <c r="E1112" i="8" l="1"/>
  <c r="B1114" i="8"/>
  <c r="C1115" i="8"/>
  <c r="D1114" i="8"/>
  <c r="I1115" i="8"/>
  <c r="H1115" i="8" s="1"/>
  <c r="J1114" i="8"/>
  <c r="D1115" i="8" l="1"/>
  <c r="B1115" i="8"/>
  <c r="C1116" i="8"/>
  <c r="E1113" i="8"/>
  <c r="K1113" i="8"/>
  <c r="I1116" i="8"/>
  <c r="H1116" i="8" s="1"/>
  <c r="J1115" i="8"/>
  <c r="E1114" i="8" l="1"/>
  <c r="K1114" i="8"/>
  <c r="B1116" i="8"/>
  <c r="C1117" i="8"/>
  <c r="D1116" i="8"/>
  <c r="I1117" i="8"/>
  <c r="H1117" i="8" s="1"/>
  <c r="J1116" i="8"/>
  <c r="K1115" i="8" s="1"/>
  <c r="B1117" i="8" l="1"/>
  <c r="D1117" i="8"/>
  <c r="C1118" i="8"/>
  <c r="E1115" i="8"/>
  <c r="I1118" i="8"/>
  <c r="H1118" i="8" s="1"/>
  <c r="J1117" i="8"/>
  <c r="K1116" i="8" s="1"/>
  <c r="E1116" i="8" l="1"/>
  <c r="C1119" i="8"/>
  <c r="D1118" i="8"/>
  <c r="B1118" i="8"/>
  <c r="I1119" i="8"/>
  <c r="H1119" i="8" s="1"/>
  <c r="J1118" i="8"/>
  <c r="E1117" i="8" l="1"/>
  <c r="D1119" i="8"/>
  <c r="B1119" i="8"/>
  <c r="C1120" i="8"/>
  <c r="K1117" i="8"/>
  <c r="I1120" i="8"/>
  <c r="H1120" i="8" s="1"/>
  <c r="J1119" i="8"/>
  <c r="E1118" i="8" l="1"/>
  <c r="D1120" i="8"/>
  <c r="B1120" i="8"/>
  <c r="C1121" i="8"/>
  <c r="I1121" i="8"/>
  <c r="H1121" i="8" s="1"/>
  <c r="J1120" i="8"/>
  <c r="K1118" i="8"/>
  <c r="K1119" i="8" l="1"/>
  <c r="B1121" i="8"/>
  <c r="D1121" i="8"/>
  <c r="C1122" i="8"/>
  <c r="E1119" i="8"/>
  <c r="I1122" i="8"/>
  <c r="H1122" i="8" s="1"/>
  <c r="J1121" i="8"/>
  <c r="K1120" i="8" s="1"/>
  <c r="D1122" i="8" l="1"/>
  <c r="B1122" i="8"/>
  <c r="C1123" i="8"/>
  <c r="E1120" i="8"/>
  <c r="I1123" i="8"/>
  <c r="H1123" i="8" s="1"/>
  <c r="J1122" i="8"/>
  <c r="E1121" i="8" l="1"/>
  <c r="D1123" i="8"/>
  <c r="B1123" i="8"/>
  <c r="C1124" i="8"/>
  <c r="I1124" i="8"/>
  <c r="H1124" i="8" s="1"/>
  <c r="J1123" i="8"/>
  <c r="K1122" i="8" s="1"/>
  <c r="K1121" i="8"/>
  <c r="E1122" i="8" l="1"/>
  <c r="B1124" i="8"/>
  <c r="C1125" i="8"/>
  <c r="D1124" i="8"/>
  <c r="I1125" i="8"/>
  <c r="H1125" i="8" s="1"/>
  <c r="J1124" i="8"/>
  <c r="K1123" i="8" s="1"/>
  <c r="E1123" i="8" l="1"/>
  <c r="C1126" i="8"/>
  <c r="D1125" i="8"/>
  <c r="B1125" i="8"/>
  <c r="I1126" i="8"/>
  <c r="H1126" i="8" s="1"/>
  <c r="J1125" i="8"/>
  <c r="E1124" i="8" l="1"/>
  <c r="C1127" i="8"/>
  <c r="D1126" i="8"/>
  <c r="B1126" i="8"/>
  <c r="I1127" i="8"/>
  <c r="H1127" i="8" s="1"/>
  <c r="J1126" i="8"/>
  <c r="K1125" i="8" s="1"/>
  <c r="K1124" i="8"/>
  <c r="C1128" i="8" l="1"/>
  <c r="D1127" i="8"/>
  <c r="B1127" i="8"/>
  <c r="E1125" i="8"/>
  <c r="I1128" i="8"/>
  <c r="H1128" i="8" s="1"/>
  <c r="J1127" i="8"/>
  <c r="E1126" i="8" l="1"/>
  <c r="C1129" i="8"/>
  <c r="D1128" i="8"/>
  <c r="B1128" i="8"/>
  <c r="I1129" i="8"/>
  <c r="H1129" i="8" s="1"/>
  <c r="J1128" i="8"/>
  <c r="K1126" i="8"/>
  <c r="E1127" i="8" l="1"/>
  <c r="K1127" i="8"/>
  <c r="B1129" i="8"/>
  <c r="D1129" i="8"/>
  <c r="C1130" i="8"/>
  <c r="I1130" i="8"/>
  <c r="H1130" i="8" s="1"/>
  <c r="J1129" i="8"/>
  <c r="C1131" i="8" l="1"/>
  <c r="B1130" i="8"/>
  <c r="D1130" i="8"/>
  <c r="E1129" i="8" s="1"/>
  <c r="E1128" i="8"/>
  <c r="K1128" i="8"/>
  <c r="I1131" i="8"/>
  <c r="H1131" i="8" s="1"/>
  <c r="J1130" i="8"/>
  <c r="K1129" i="8" l="1"/>
  <c r="B1131" i="8"/>
  <c r="C1132" i="8"/>
  <c r="D1131" i="8"/>
  <c r="E1130" i="8" s="1"/>
  <c r="I1132" i="8"/>
  <c r="H1132" i="8" s="1"/>
  <c r="J1131" i="8"/>
  <c r="B1132" i="8" l="1"/>
  <c r="C1133" i="8"/>
  <c r="D1132" i="8"/>
  <c r="I1133" i="8"/>
  <c r="H1133" i="8" s="1"/>
  <c r="J1132" i="8"/>
  <c r="K1131" i="8" s="1"/>
  <c r="K1130" i="8"/>
  <c r="E1131" i="8" l="1"/>
  <c r="B1133" i="8"/>
  <c r="D1133" i="8"/>
  <c r="C1134" i="8"/>
  <c r="I1134" i="8"/>
  <c r="H1134" i="8" s="1"/>
  <c r="J1133" i="8"/>
  <c r="E1132" i="8" l="1"/>
  <c r="D1134" i="8"/>
  <c r="C1135" i="8"/>
  <c r="B1134" i="8"/>
  <c r="I1135" i="8"/>
  <c r="H1135" i="8" s="1"/>
  <c r="J1134" i="8"/>
  <c r="K1133" i="8" s="1"/>
  <c r="K1132" i="8"/>
  <c r="C1136" i="8" l="1"/>
  <c r="B1135" i="8"/>
  <c r="D1135" i="8"/>
  <c r="E1133" i="8"/>
  <c r="I1136" i="8"/>
  <c r="H1136" i="8" s="1"/>
  <c r="J1135" i="8"/>
  <c r="E1134" i="8" l="1"/>
  <c r="C1137" i="8"/>
  <c r="D1136" i="8"/>
  <c r="B1136" i="8"/>
  <c r="I1137" i="8"/>
  <c r="H1137" i="8" s="1"/>
  <c r="J1136" i="8"/>
  <c r="K1134" i="8"/>
  <c r="D1137" i="8" l="1"/>
  <c r="C1138" i="8"/>
  <c r="B1137" i="8"/>
  <c r="E1135" i="8"/>
  <c r="I1138" i="8"/>
  <c r="H1138" i="8" s="1"/>
  <c r="J1137" i="8"/>
  <c r="K1135" i="8"/>
  <c r="E1136" i="8" l="1"/>
  <c r="D1138" i="8"/>
  <c r="C1139" i="8"/>
  <c r="B1138" i="8"/>
  <c r="I1139" i="8"/>
  <c r="H1139" i="8" s="1"/>
  <c r="J1138" i="8"/>
  <c r="K1136" i="8"/>
  <c r="C1140" i="8" l="1"/>
  <c r="B1139" i="8"/>
  <c r="D1139" i="8"/>
  <c r="E1137" i="8"/>
  <c r="I1140" i="8"/>
  <c r="H1140" i="8" s="1"/>
  <c r="J1139" i="8"/>
  <c r="K1138" i="8" s="1"/>
  <c r="K1137" i="8"/>
  <c r="E1138" i="8" l="1"/>
  <c r="B1140" i="8"/>
  <c r="C1141" i="8"/>
  <c r="D1140" i="8"/>
  <c r="I1141" i="8"/>
  <c r="H1141" i="8" s="1"/>
  <c r="J1140" i="8"/>
  <c r="K1139" i="8" s="1"/>
  <c r="C1142" i="8" l="1"/>
  <c r="B1141" i="8"/>
  <c r="D1141" i="8"/>
  <c r="E1139" i="8"/>
  <c r="I1142" i="8"/>
  <c r="H1142" i="8" s="1"/>
  <c r="J1141" i="8"/>
  <c r="C1143" i="8" l="1"/>
  <c r="D1142" i="8"/>
  <c r="B1142" i="8"/>
  <c r="E1140" i="8"/>
  <c r="K1140" i="8"/>
  <c r="I1143" i="8"/>
  <c r="H1143" i="8" s="1"/>
  <c r="J1142" i="8"/>
  <c r="E1141" i="8" l="1"/>
  <c r="K1141" i="8"/>
  <c r="D1143" i="8"/>
  <c r="B1143" i="8"/>
  <c r="C1144" i="8"/>
  <c r="I1144" i="8"/>
  <c r="H1144" i="8" s="1"/>
  <c r="J1143" i="8"/>
  <c r="K1142" i="8" l="1"/>
  <c r="C1145" i="8"/>
  <c r="D1144" i="8"/>
  <c r="B1144" i="8"/>
  <c r="E1142" i="8"/>
  <c r="I1145" i="8"/>
  <c r="H1145" i="8" s="1"/>
  <c r="J1144" i="8"/>
  <c r="B1145" i="8" l="1"/>
  <c r="C1146" i="8"/>
  <c r="D1145" i="8"/>
  <c r="E1143" i="8"/>
  <c r="K1143" i="8"/>
  <c r="I1146" i="8"/>
  <c r="H1146" i="8" s="1"/>
  <c r="J1145" i="8"/>
  <c r="K1144" i="8" s="1"/>
  <c r="B1146" i="8" l="1"/>
  <c r="D1146" i="8"/>
  <c r="C1147" i="8"/>
  <c r="E1144" i="8"/>
  <c r="I1147" i="8"/>
  <c r="H1147" i="8" s="1"/>
  <c r="J1146" i="8"/>
  <c r="E1145" i="8" l="1"/>
  <c r="D1147" i="8"/>
  <c r="C1148" i="8"/>
  <c r="B1147" i="8"/>
  <c r="I1148" i="8"/>
  <c r="H1148" i="8" s="1"/>
  <c r="J1147" i="8"/>
  <c r="K1145" i="8"/>
  <c r="E1146" i="8" l="1"/>
  <c r="B1148" i="8"/>
  <c r="C1149" i="8"/>
  <c r="D1148" i="8"/>
  <c r="K1146" i="8"/>
  <c r="I1149" i="8"/>
  <c r="H1149" i="8" s="1"/>
  <c r="J1148" i="8"/>
  <c r="E1147" i="8" l="1"/>
  <c r="D1149" i="8"/>
  <c r="C1150" i="8"/>
  <c r="B1149" i="8"/>
  <c r="I1150" i="8"/>
  <c r="H1150" i="8" s="1"/>
  <c r="J1149" i="8"/>
  <c r="K1147" i="8"/>
  <c r="D1150" i="8" l="1"/>
  <c r="B1150" i="8"/>
  <c r="C1151" i="8"/>
  <c r="E1148" i="8"/>
  <c r="K1148" i="8"/>
  <c r="I1151" i="8"/>
  <c r="H1151" i="8" s="1"/>
  <c r="J1150" i="8"/>
  <c r="E1149" i="8" l="1"/>
  <c r="K1149" i="8"/>
  <c r="C1152" i="8"/>
  <c r="B1151" i="8"/>
  <c r="D1151" i="8"/>
  <c r="I1152" i="8"/>
  <c r="H1152" i="8" s="1"/>
  <c r="J1151" i="8"/>
  <c r="E1150" i="8" l="1"/>
  <c r="B1152" i="8"/>
  <c r="C1153" i="8"/>
  <c r="D1152" i="8"/>
  <c r="K1150" i="8"/>
  <c r="I1153" i="8"/>
  <c r="H1153" i="8" s="1"/>
  <c r="J1152" i="8"/>
  <c r="E1151" i="8" l="1"/>
  <c r="D1153" i="8"/>
  <c r="C1154" i="8"/>
  <c r="B1153" i="8"/>
  <c r="I1154" i="8"/>
  <c r="H1154" i="8" s="1"/>
  <c r="J1153" i="8"/>
  <c r="K1151" i="8"/>
  <c r="K1152" i="8" l="1"/>
  <c r="C1155" i="8"/>
  <c r="D1154" i="8"/>
  <c r="B1154" i="8"/>
  <c r="E1152" i="8"/>
  <c r="I1155" i="8"/>
  <c r="H1155" i="8" s="1"/>
  <c r="J1154" i="8"/>
  <c r="E1153" i="8" l="1"/>
  <c r="C1156" i="8"/>
  <c r="D1155" i="8"/>
  <c r="B1155" i="8"/>
  <c r="I1156" i="8"/>
  <c r="H1156" i="8" s="1"/>
  <c r="J1155" i="8"/>
  <c r="K1154" i="8" s="1"/>
  <c r="K1153" i="8"/>
  <c r="B1156" i="8" l="1"/>
  <c r="D1156" i="8"/>
  <c r="C1157" i="8"/>
  <c r="E1154" i="8"/>
  <c r="I1157" i="8"/>
  <c r="H1157" i="8" s="1"/>
  <c r="J1156" i="8"/>
  <c r="K1155" i="8" s="1"/>
  <c r="E1155" i="8" l="1"/>
  <c r="C1158" i="8"/>
  <c r="B1157" i="8"/>
  <c r="D1157" i="8"/>
  <c r="I1158" i="8"/>
  <c r="H1158" i="8" s="1"/>
  <c r="J1157" i="8"/>
  <c r="E1156" i="8" l="1"/>
  <c r="B1158" i="8"/>
  <c r="C1159" i="8"/>
  <c r="D1158" i="8"/>
  <c r="I1159" i="8"/>
  <c r="H1159" i="8" s="1"/>
  <c r="J1158" i="8"/>
  <c r="K1157" i="8" s="1"/>
  <c r="K1156" i="8"/>
  <c r="D1159" i="8" l="1"/>
  <c r="B1159" i="8"/>
  <c r="C1160" i="8"/>
  <c r="E1157" i="8"/>
  <c r="I1160" i="8"/>
  <c r="H1160" i="8" s="1"/>
  <c r="J1159" i="8"/>
  <c r="B1160" i="8" l="1"/>
  <c r="C1161" i="8"/>
  <c r="D1160" i="8"/>
  <c r="K1158" i="8"/>
  <c r="E1158" i="8"/>
  <c r="I1161" i="8"/>
  <c r="H1161" i="8" s="1"/>
  <c r="J1160" i="8"/>
  <c r="E1159" i="8" l="1"/>
  <c r="B1161" i="8"/>
  <c r="C1162" i="8"/>
  <c r="D1161" i="8"/>
  <c r="I1162" i="8"/>
  <c r="H1162" i="8" s="1"/>
  <c r="J1161" i="8"/>
  <c r="K1160" i="8" s="1"/>
  <c r="K1159" i="8"/>
  <c r="E1160" i="8" l="1"/>
  <c r="B1162" i="8"/>
  <c r="C1163" i="8"/>
  <c r="D1162" i="8"/>
  <c r="I1163" i="8"/>
  <c r="H1163" i="8" s="1"/>
  <c r="J1162" i="8"/>
  <c r="K1161" i="8" s="1"/>
  <c r="E1161" i="8" l="1"/>
  <c r="D1163" i="8"/>
  <c r="B1163" i="8"/>
  <c r="C1164" i="8"/>
  <c r="I1164" i="8"/>
  <c r="H1164" i="8" s="1"/>
  <c r="J1163" i="8"/>
  <c r="E1162" i="8" l="1"/>
  <c r="C1165" i="8"/>
  <c r="B1164" i="8"/>
  <c r="D1164" i="8"/>
  <c r="E1163" i="8" s="1"/>
  <c r="K1162" i="8"/>
  <c r="I1165" i="8"/>
  <c r="H1165" i="8" s="1"/>
  <c r="J1164" i="8"/>
  <c r="D1165" i="8" l="1"/>
  <c r="B1165" i="8"/>
  <c r="C1166" i="8"/>
  <c r="I1166" i="8"/>
  <c r="H1166" i="8" s="1"/>
  <c r="J1165" i="8"/>
  <c r="K1163" i="8"/>
  <c r="B1166" i="8" l="1"/>
  <c r="D1166" i="8"/>
  <c r="C1167" i="8"/>
  <c r="E1164" i="8"/>
  <c r="I1167" i="8"/>
  <c r="H1167" i="8" s="1"/>
  <c r="J1166" i="8"/>
  <c r="K1164" i="8"/>
  <c r="E1165" i="8" l="1"/>
  <c r="B1167" i="8"/>
  <c r="C1168" i="8"/>
  <c r="D1167" i="8"/>
  <c r="I1168" i="8"/>
  <c r="H1168" i="8" s="1"/>
  <c r="J1167" i="8"/>
  <c r="K1165" i="8"/>
  <c r="E1166" i="8" l="1"/>
  <c r="C1169" i="8"/>
  <c r="B1168" i="8"/>
  <c r="D1168" i="8"/>
  <c r="K1166" i="8"/>
  <c r="I1169" i="8"/>
  <c r="H1169" i="8" s="1"/>
  <c r="J1168" i="8"/>
  <c r="E1167" i="8" l="1"/>
  <c r="D1169" i="8"/>
  <c r="B1169" i="8"/>
  <c r="C1170" i="8"/>
  <c r="I1170" i="8"/>
  <c r="H1170" i="8" s="1"/>
  <c r="J1169" i="8"/>
  <c r="K1167" i="8"/>
  <c r="E1168" i="8" l="1"/>
  <c r="C1171" i="8"/>
  <c r="B1170" i="8"/>
  <c r="D1170" i="8"/>
  <c r="K1168" i="8"/>
  <c r="I1171" i="8"/>
  <c r="H1171" i="8" s="1"/>
  <c r="J1170" i="8"/>
  <c r="E1169" i="8" l="1"/>
  <c r="D1171" i="8"/>
  <c r="B1171" i="8"/>
  <c r="C1172" i="8"/>
  <c r="I1172" i="8"/>
  <c r="H1172" i="8" s="1"/>
  <c r="J1171" i="8"/>
  <c r="K1169" i="8"/>
  <c r="E1170" i="8" l="1"/>
  <c r="B1172" i="8"/>
  <c r="D1172" i="8"/>
  <c r="C1173" i="8"/>
  <c r="I1173" i="8"/>
  <c r="H1173" i="8" s="1"/>
  <c r="J1172" i="8"/>
  <c r="K1170" i="8"/>
  <c r="E1171" i="8" l="1"/>
  <c r="D1173" i="8"/>
  <c r="B1173" i="8"/>
  <c r="C1174" i="8"/>
  <c r="I1174" i="8"/>
  <c r="H1174" i="8" s="1"/>
  <c r="J1173" i="8"/>
  <c r="K1171" i="8"/>
  <c r="C1175" i="8" l="1"/>
  <c r="D1174" i="8"/>
  <c r="B1174" i="8"/>
  <c r="K1172" i="8"/>
  <c r="E1172" i="8"/>
  <c r="I1175" i="8"/>
  <c r="H1175" i="8" s="1"/>
  <c r="J1174" i="8"/>
  <c r="E1173" i="8" l="1"/>
  <c r="K1173" i="8"/>
  <c r="D1175" i="8"/>
  <c r="C1176" i="8"/>
  <c r="B1175" i="8"/>
  <c r="I1176" i="8"/>
  <c r="H1176" i="8" s="1"/>
  <c r="J1175" i="8"/>
  <c r="C1177" i="8" l="1"/>
  <c r="D1176" i="8"/>
  <c r="B1176" i="8"/>
  <c r="E1174" i="8"/>
  <c r="I1177" i="8"/>
  <c r="H1177" i="8" s="1"/>
  <c r="J1176" i="8"/>
  <c r="K1174" i="8"/>
  <c r="C1178" i="8" l="1"/>
  <c r="D1177" i="8"/>
  <c r="B1177" i="8"/>
  <c r="E1175" i="8"/>
  <c r="I1178" i="8"/>
  <c r="H1178" i="8" s="1"/>
  <c r="J1177" i="8"/>
  <c r="K1176" i="8" s="1"/>
  <c r="K1175" i="8"/>
  <c r="B1178" i="8" l="1"/>
  <c r="C1179" i="8"/>
  <c r="D1178" i="8"/>
  <c r="E1176" i="8"/>
  <c r="I1179" i="8"/>
  <c r="H1179" i="8" s="1"/>
  <c r="J1178" i="8"/>
  <c r="E1177" i="8" l="1"/>
  <c r="B1179" i="8"/>
  <c r="C1180" i="8"/>
  <c r="D1179" i="8"/>
  <c r="I1180" i="8"/>
  <c r="H1180" i="8" s="1"/>
  <c r="J1179" i="8"/>
  <c r="K1177" i="8"/>
  <c r="C1181" i="8" l="1"/>
  <c r="B1180" i="8"/>
  <c r="D1180" i="8"/>
  <c r="E1178" i="8"/>
  <c r="I1181" i="8"/>
  <c r="H1181" i="8" s="1"/>
  <c r="J1180" i="8"/>
  <c r="K1179" i="8" s="1"/>
  <c r="K1178" i="8"/>
  <c r="B1181" i="8" l="1"/>
  <c r="C1182" i="8"/>
  <c r="D1181" i="8"/>
  <c r="E1179" i="8"/>
  <c r="I1182" i="8"/>
  <c r="H1182" i="8" s="1"/>
  <c r="J1181" i="8"/>
  <c r="E1180" i="8" l="1"/>
  <c r="D1182" i="8"/>
  <c r="C1183" i="8"/>
  <c r="B1182" i="8"/>
  <c r="K1180" i="8"/>
  <c r="I1183" i="8"/>
  <c r="H1183" i="8" s="1"/>
  <c r="J1182" i="8"/>
  <c r="K1181" i="8" s="1"/>
  <c r="C1184" i="8" l="1"/>
  <c r="D1183" i="8"/>
  <c r="B1183" i="8"/>
  <c r="E1181" i="8"/>
  <c r="I1184" i="8"/>
  <c r="H1184" i="8" s="1"/>
  <c r="J1183" i="8"/>
  <c r="E1182" i="8" l="1"/>
  <c r="B1184" i="8"/>
  <c r="D1184" i="8"/>
  <c r="C1185" i="8"/>
  <c r="I1185" i="8"/>
  <c r="H1185" i="8" s="1"/>
  <c r="J1184" i="8"/>
  <c r="K1182" i="8"/>
  <c r="B1185" i="8" l="1"/>
  <c r="D1185" i="8"/>
  <c r="C1186" i="8"/>
  <c r="E1183" i="8"/>
  <c r="I1186" i="8"/>
  <c r="H1186" i="8" s="1"/>
  <c r="J1185" i="8"/>
  <c r="K1184" i="8" s="1"/>
  <c r="K1183" i="8"/>
  <c r="E1184" i="8" l="1"/>
  <c r="B1186" i="8"/>
  <c r="C1187" i="8"/>
  <c r="D1186" i="8"/>
  <c r="I1187" i="8"/>
  <c r="H1187" i="8" s="1"/>
  <c r="J1186" i="8"/>
  <c r="E1185" i="8" l="1"/>
  <c r="B1187" i="8"/>
  <c r="C1188" i="8"/>
  <c r="D1187" i="8"/>
  <c r="I1188" i="8"/>
  <c r="H1188" i="8" s="1"/>
  <c r="J1187" i="8"/>
  <c r="K1185" i="8"/>
  <c r="E1186" i="8" l="1"/>
  <c r="B1188" i="8"/>
  <c r="C1189" i="8"/>
  <c r="D1188" i="8"/>
  <c r="I1189" i="8"/>
  <c r="H1189" i="8" s="1"/>
  <c r="J1188" i="8"/>
  <c r="K1186" i="8"/>
  <c r="B1189" i="8" l="1"/>
  <c r="C1190" i="8"/>
  <c r="D1189" i="8"/>
  <c r="E1187" i="8"/>
  <c r="I1190" i="8"/>
  <c r="H1190" i="8" s="1"/>
  <c r="J1189" i="8"/>
  <c r="K1188" i="8" s="1"/>
  <c r="K1187" i="8"/>
  <c r="E1188" i="8" l="1"/>
  <c r="D1190" i="8"/>
  <c r="C1191" i="8"/>
  <c r="B1190" i="8"/>
  <c r="I1191" i="8"/>
  <c r="H1191" i="8" s="1"/>
  <c r="J1190" i="8"/>
  <c r="B1191" i="8" l="1"/>
  <c r="C1192" i="8"/>
  <c r="D1191" i="8"/>
  <c r="E1189" i="8"/>
  <c r="K1189" i="8"/>
  <c r="I1192" i="8"/>
  <c r="H1192" i="8" s="1"/>
  <c r="J1191" i="8"/>
  <c r="E1190" i="8" l="1"/>
  <c r="K1190" i="8"/>
  <c r="B1192" i="8"/>
  <c r="C1193" i="8"/>
  <c r="D1192" i="8"/>
  <c r="I1193" i="8"/>
  <c r="H1193" i="8" s="1"/>
  <c r="J1192" i="8"/>
  <c r="C1194" i="8" l="1"/>
  <c r="D1193" i="8"/>
  <c r="B1193" i="8"/>
  <c r="E1191" i="8"/>
  <c r="K1191" i="8"/>
  <c r="I1194" i="8"/>
  <c r="H1194" i="8" s="1"/>
  <c r="J1193" i="8"/>
  <c r="E1192" i="8" l="1"/>
  <c r="C1195" i="8"/>
  <c r="D1194" i="8"/>
  <c r="B1194" i="8"/>
  <c r="I1195" i="8"/>
  <c r="H1195" i="8" s="1"/>
  <c r="J1194" i="8"/>
  <c r="K1192" i="8"/>
  <c r="E1193" i="8" l="1"/>
  <c r="D1195" i="8"/>
  <c r="C1196" i="8"/>
  <c r="B1195" i="8"/>
  <c r="K1193" i="8"/>
  <c r="I1196" i="8"/>
  <c r="H1196" i="8" s="1"/>
  <c r="J1195" i="8"/>
  <c r="B1196" i="8" l="1"/>
  <c r="D1196" i="8"/>
  <c r="C1197" i="8"/>
  <c r="K1194" i="8"/>
  <c r="E1194" i="8"/>
  <c r="I1197" i="8"/>
  <c r="H1197" i="8" s="1"/>
  <c r="J1196" i="8"/>
  <c r="E1195" i="8" l="1"/>
  <c r="D1197" i="8"/>
  <c r="C1198" i="8"/>
  <c r="B1197" i="8"/>
  <c r="I1198" i="8"/>
  <c r="H1198" i="8" s="1"/>
  <c r="J1197" i="8"/>
  <c r="K1195" i="8"/>
  <c r="E1196" i="8" l="1"/>
  <c r="D1198" i="8"/>
  <c r="C1199" i="8"/>
  <c r="B1198" i="8"/>
  <c r="I1199" i="8"/>
  <c r="H1199" i="8" s="1"/>
  <c r="J1198" i="8"/>
  <c r="K1196" i="8"/>
  <c r="K1197" i="8" l="1"/>
  <c r="E1197" i="8"/>
  <c r="C1200" i="8"/>
  <c r="B1199" i="8"/>
  <c r="D1199" i="8"/>
  <c r="E1198" i="8" s="1"/>
  <c r="I1200" i="8"/>
  <c r="H1200" i="8" s="1"/>
  <c r="J1199" i="8"/>
  <c r="K1198" i="8" l="1"/>
  <c r="B1200" i="8"/>
  <c r="D1200" i="8"/>
  <c r="C1201" i="8"/>
  <c r="I1201" i="8"/>
  <c r="H1201" i="8" s="1"/>
  <c r="J1200" i="8"/>
  <c r="C1202" i="8" l="1"/>
  <c r="B1201" i="8"/>
  <c r="D1201" i="8"/>
  <c r="E1200" i="8" s="1"/>
  <c r="E1199" i="8"/>
  <c r="I1202" i="8"/>
  <c r="H1202" i="8" s="1"/>
  <c r="J1201" i="8"/>
  <c r="K1199" i="8"/>
  <c r="B1202" i="8" l="1"/>
  <c r="C1203" i="8"/>
  <c r="D1202" i="8"/>
  <c r="K1200" i="8"/>
  <c r="I1203" i="8"/>
  <c r="H1203" i="8" s="1"/>
  <c r="J1202" i="8"/>
  <c r="K1201" i="8" s="1"/>
  <c r="E1201" i="8" l="1"/>
  <c r="D1203" i="8"/>
  <c r="B1203" i="8"/>
  <c r="C1204" i="8"/>
  <c r="I1204" i="8"/>
  <c r="H1204" i="8" s="1"/>
  <c r="J1203" i="8"/>
  <c r="K1202" i="8" s="1"/>
  <c r="C1205" i="8" l="1"/>
  <c r="B1204" i="8"/>
  <c r="D1204" i="8"/>
  <c r="E1202" i="8"/>
  <c r="I1205" i="8"/>
  <c r="H1205" i="8" s="1"/>
  <c r="J1204" i="8"/>
  <c r="E1203" i="8" l="1"/>
  <c r="C1206" i="8"/>
  <c r="D1205" i="8"/>
  <c r="B1205" i="8"/>
  <c r="I1206" i="8"/>
  <c r="H1206" i="8" s="1"/>
  <c r="J1205" i="8"/>
  <c r="K1203" i="8"/>
  <c r="B1206" i="8" l="1"/>
  <c r="C1207" i="8"/>
  <c r="D1206" i="8"/>
  <c r="E1204" i="8"/>
  <c r="K1204" i="8"/>
  <c r="I1207" i="8"/>
  <c r="H1207" i="8" s="1"/>
  <c r="J1206" i="8"/>
  <c r="E1205" i="8" l="1"/>
  <c r="B1207" i="8"/>
  <c r="D1207" i="8"/>
  <c r="C1208" i="8"/>
  <c r="I1208" i="8"/>
  <c r="H1208" i="8" s="1"/>
  <c r="J1207" i="8"/>
  <c r="K1205" i="8"/>
  <c r="C1209" i="8" l="1"/>
  <c r="B1208" i="8"/>
  <c r="D1208" i="8"/>
  <c r="E1206" i="8"/>
  <c r="I1209" i="8"/>
  <c r="H1209" i="8" s="1"/>
  <c r="J1208" i="8"/>
  <c r="K1206" i="8"/>
  <c r="E1207" i="8" l="1"/>
  <c r="C1210" i="8"/>
  <c r="D1209" i="8"/>
  <c r="B1209" i="8"/>
  <c r="K1207" i="8"/>
  <c r="I1210" i="8"/>
  <c r="H1210" i="8" s="1"/>
  <c r="J1209" i="8"/>
  <c r="B1210" i="8" l="1"/>
  <c r="D1210" i="8"/>
  <c r="C1211" i="8"/>
  <c r="E1208" i="8"/>
  <c r="I1211" i="8"/>
  <c r="H1211" i="8" s="1"/>
  <c r="J1210" i="8"/>
  <c r="K1209" i="8" s="1"/>
  <c r="K1208" i="8"/>
  <c r="D1211" i="8" l="1"/>
  <c r="B1211" i="8"/>
  <c r="C1212" i="8"/>
  <c r="E1209" i="8"/>
  <c r="I1212" i="8"/>
  <c r="H1212" i="8" s="1"/>
  <c r="J1211" i="8"/>
  <c r="E1210" i="8" l="1"/>
  <c r="B1212" i="8"/>
  <c r="C1213" i="8"/>
  <c r="D1212" i="8"/>
  <c r="E1211" i="8" s="1"/>
  <c r="I1213" i="8"/>
  <c r="H1213" i="8" s="1"/>
  <c r="J1212" i="8"/>
  <c r="K1211" i="8" s="1"/>
  <c r="K1210" i="8"/>
  <c r="C1214" i="8" l="1"/>
  <c r="D1213" i="8"/>
  <c r="B1213" i="8"/>
  <c r="I1214" i="8"/>
  <c r="H1214" i="8" s="1"/>
  <c r="J1213" i="8"/>
  <c r="E1212" i="8" l="1"/>
  <c r="B1214" i="8"/>
  <c r="C1215" i="8"/>
  <c r="D1214" i="8"/>
  <c r="I1215" i="8"/>
  <c r="H1215" i="8" s="1"/>
  <c r="J1214" i="8"/>
  <c r="K1212" i="8"/>
  <c r="E1213" i="8" l="1"/>
  <c r="D1215" i="8"/>
  <c r="C1216" i="8"/>
  <c r="B1215" i="8"/>
  <c r="I1216" i="8"/>
  <c r="H1216" i="8" s="1"/>
  <c r="J1215" i="8"/>
  <c r="K1213" i="8"/>
  <c r="K1214" i="8" l="1"/>
  <c r="E1214" i="8"/>
  <c r="C1217" i="8"/>
  <c r="D1216" i="8"/>
  <c r="B1216" i="8"/>
  <c r="I1217" i="8"/>
  <c r="H1217" i="8" s="1"/>
  <c r="J1216" i="8"/>
  <c r="E1215" i="8" l="1"/>
  <c r="C1218" i="8"/>
  <c r="D1217" i="8"/>
  <c r="B1217" i="8"/>
  <c r="I1218" i="8"/>
  <c r="H1218" i="8" s="1"/>
  <c r="J1217" i="8"/>
  <c r="K1215" i="8"/>
  <c r="B1218" i="8" l="1"/>
  <c r="C1219" i="8"/>
  <c r="D1218" i="8"/>
  <c r="E1216" i="8"/>
  <c r="I1219" i="8"/>
  <c r="H1219" i="8" s="1"/>
  <c r="J1218" i="8"/>
  <c r="K1216" i="8"/>
  <c r="E1217" i="8" l="1"/>
  <c r="B1219" i="8"/>
  <c r="C1220" i="8"/>
  <c r="D1219" i="8"/>
  <c r="I1220" i="8"/>
  <c r="H1220" i="8" s="1"/>
  <c r="J1219" i="8"/>
  <c r="K1217" i="8"/>
  <c r="K1218" i="8" l="1"/>
  <c r="E1218" i="8"/>
  <c r="B1220" i="8"/>
  <c r="D1220" i="8"/>
  <c r="C1221" i="8"/>
  <c r="I1221" i="8"/>
  <c r="H1221" i="8" s="1"/>
  <c r="J1220" i="8"/>
  <c r="E1219" i="8" l="1"/>
  <c r="B1221" i="8"/>
  <c r="D1221" i="8"/>
  <c r="C1222" i="8"/>
  <c r="K1219" i="8"/>
  <c r="I1222" i="8"/>
  <c r="H1222" i="8" s="1"/>
  <c r="J1221" i="8"/>
  <c r="B1222" i="8" l="1"/>
  <c r="C1223" i="8"/>
  <c r="D1222" i="8"/>
  <c r="E1220" i="8"/>
  <c r="I1223" i="8"/>
  <c r="H1223" i="8" s="1"/>
  <c r="J1222" i="8"/>
  <c r="K1220" i="8"/>
  <c r="E1221" i="8" l="1"/>
  <c r="D1223" i="8"/>
  <c r="B1223" i="8"/>
  <c r="C1224" i="8"/>
  <c r="I1224" i="8"/>
  <c r="H1224" i="8" s="1"/>
  <c r="J1223" i="8"/>
  <c r="K1221" i="8"/>
  <c r="E1222" i="8" l="1"/>
  <c r="C1225" i="8"/>
  <c r="B1224" i="8"/>
  <c r="D1224" i="8"/>
  <c r="K1222" i="8"/>
  <c r="I1225" i="8"/>
  <c r="H1225" i="8" s="1"/>
  <c r="J1224" i="8"/>
  <c r="E1223" i="8" l="1"/>
  <c r="C1226" i="8"/>
  <c r="B1225" i="8"/>
  <c r="D1225" i="8"/>
  <c r="I1226" i="8"/>
  <c r="H1226" i="8" s="1"/>
  <c r="J1225" i="8"/>
  <c r="K1223" i="8"/>
  <c r="E1224" i="8" l="1"/>
  <c r="K1224" i="8"/>
  <c r="B1226" i="8"/>
  <c r="C1227" i="8"/>
  <c r="D1226" i="8"/>
  <c r="I1227" i="8"/>
  <c r="H1227" i="8" s="1"/>
  <c r="J1226" i="8"/>
  <c r="E1225" i="8" l="1"/>
  <c r="B1227" i="8"/>
  <c r="D1227" i="8"/>
  <c r="C1228" i="8"/>
  <c r="K1225" i="8"/>
  <c r="I1228" i="8"/>
  <c r="H1228" i="8" s="1"/>
  <c r="J1227" i="8"/>
  <c r="K1226" i="8" l="1"/>
  <c r="B1228" i="8"/>
  <c r="C1229" i="8"/>
  <c r="D1228" i="8"/>
  <c r="E1226" i="8"/>
  <c r="I1229" i="8"/>
  <c r="H1229" i="8" s="1"/>
  <c r="J1228" i="8"/>
  <c r="D1229" i="8" l="1"/>
  <c r="C1230" i="8"/>
  <c r="B1229" i="8"/>
  <c r="E1227" i="8"/>
  <c r="I1230" i="8"/>
  <c r="H1230" i="8" s="1"/>
  <c r="J1229" i="8"/>
  <c r="K1228" i="8" s="1"/>
  <c r="K1227" i="8"/>
  <c r="C1231" i="8" l="1"/>
  <c r="B1230" i="8"/>
  <c r="D1230" i="8"/>
  <c r="E1228" i="8"/>
  <c r="I1231" i="8"/>
  <c r="H1231" i="8" s="1"/>
  <c r="J1230" i="8"/>
  <c r="K1229" i="8" s="1"/>
  <c r="B1231" i="8" l="1"/>
  <c r="D1231" i="8"/>
  <c r="C1232" i="8"/>
  <c r="E1229" i="8"/>
  <c r="I1232" i="8"/>
  <c r="H1232" i="8" s="1"/>
  <c r="J1231" i="8"/>
  <c r="E1230" i="8" l="1"/>
  <c r="C1233" i="8"/>
  <c r="D1232" i="8"/>
  <c r="B1232" i="8"/>
  <c r="K1230" i="8"/>
  <c r="I1233" i="8"/>
  <c r="H1233" i="8" s="1"/>
  <c r="J1232" i="8"/>
  <c r="B1233" i="8" l="1"/>
  <c r="C1234" i="8"/>
  <c r="D1233" i="8"/>
  <c r="E1231" i="8"/>
  <c r="I1234" i="8"/>
  <c r="H1234" i="8" s="1"/>
  <c r="J1233" i="8"/>
  <c r="K1232" i="8" s="1"/>
  <c r="K1231" i="8"/>
  <c r="B1234" i="8" l="1"/>
  <c r="C1235" i="8"/>
  <c r="D1234" i="8"/>
  <c r="E1232" i="8"/>
  <c r="I1235" i="8"/>
  <c r="H1235" i="8" s="1"/>
  <c r="J1234" i="8"/>
  <c r="E1233" i="8" l="1"/>
  <c r="B1235" i="8"/>
  <c r="C1236" i="8"/>
  <c r="D1235" i="8"/>
  <c r="E1234" i="8" s="1"/>
  <c r="I1236" i="8"/>
  <c r="H1236" i="8" s="1"/>
  <c r="J1235" i="8"/>
  <c r="K1233" i="8"/>
  <c r="D1236" i="8" l="1"/>
  <c r="B1236" i="8"/>
  <c r="C1237" i="8"/>
  <c r="K1234" i="8"/>
  <c r="I1237" i="8"/>
  <c r="H1237" i="8" s="1"/>
  <c r="J1236" i="8"/>
  <c r="B1237" i="8" l="1"/>
  <c r="C1238" i="8"/>
  <c r="D1237" i="8"/>
  <c r="K1235" i="8"/>
  <c r="E1235" i="8"/>
  <c r="I1238" i="8"/>
  <c r="H1238" i="8" s="1"/>
  <c r="J1237" i="8"/>
  <c r="B1238" i="8" l="1"/>
  <c r="D1238" i="8"/>
  <c r="E1237" i="8" s="1"/>
  <c r="C1239" i="8"/>
  <c r="E1236" i="8"/>
  <c r="I1239" i="8"/>
  <c r="H1239" i="8" s="1"/>
  <c r="J1238" i="8"/>
  <c r="K1236" i="8"/>
  <c r="K1237" i="8" l="1"/>
  <c r="C1240" i="8"/>
  <c r="D1239" i="8"/>
  <c r="B1239" i="8"/>
  <c r="I1240" i="8"/>
  <c r="H1240" i="8" s="1"/>
  <c r="J1239" i="8"/>
  <c r="E1238" i="8" l="1"/>
  <c r="C1241" i="8"/>
  <c r="D1240" i="8"/>
  <c r="B1240" i="8"/>
  <c r="I1241" i="8"/>
  <c r="H1241" i="8" s="1"/>
  <c r="J1240" i="8"/>
  <c r="K1238" i="8"/>
  <c r="E1239" i="8" l="1"/>
  <c r="K1239" i="8"/>
  <c r="D1241" i="8"/>
  <c r="B1241" i="8"/>
  <c r="C1242" i="8"/>
  <c r="I1242" i="8"/>
  <c r="H1242" i="8" s="1"/>
  <c r="J1241" i="8"/>
  <c r="K1240" i="8" l="1"/>
  <c r="E1240" i="8"/>
  <c r="B1242" i="8"/>
  <c r="C1243" i="8"/>
  <c r="D1242" i="8"/>
  <c r="I1243" i="8"/>
  <c r="H1243" i="8" s="1"/>
  <c r="J1242" i="8"/>
  <c r="C1244" i="8" l="1"/>
  <c r="D1243" i="8"/>
  <c r="B1243" i="8"/>
  <c r="E1241" i="8"/>
  <c r="I1244" i="8"/>
  <c r="H1244" i="8" s="1"/>
  <c r="J1243" i="8"/>
  <c r="K1242" i="8" s="1"/>
  <c r="K1241" i="8"/>
  <c r="E1242" i="8" l="1"/>
  <c r="D1244" i="8"/>
  <c r="C1245" i="8"/>
  <c r="B1244" i="8"/>
  <c r="I1245" i="8"/>
  <c r="H1245" i="8" s="1"/>
  <c r="J1244" i="8"/>
  <c r="K1243" i="8" l="1"/>
  <c r="B1245" i="8"/>
  <c r="C1246" i="8"/>
  <c r="D1245" i="8"/>
  <c r="E1243" i="8"/>
  <c r="I1246" i="8"/>
  <c r="H1246" i="8" s="1"/>
  <c r="J1245" i="8"/>
  <c r="E1244" i="8" l="1"/>
  <c r="K1244" i="8"/>
  <c r="B1246" i="8"/>
  <c r="D1246" i="8"/>
  <c r="C1247" i="8"/>
  <c r="I1247" i="8"/>
  <c r="H1247" i="8" s="1"/>
  <c r="J1246" i="8"/>
  <c r="E1245" i="8" l="1"/>
  <c r="B1247" i="8"/>
  <c r="C1248" i="8"/>
  <c r="D1247" i="8"/>
  <c r="I1248" i="8"/>
  <c r="H1248" i="8" s="1"/>
  <c r="J1247" i="8"/>
  <c r="K1245" i="8"/>
  <c r="E1246" i="8" l="1"/>
  <c r="B1248" i="8"/>
  <c r="D1248" i="8"/>
  <c r="C1249" i="8"/>
  <c r="K1246" i="8"/>
  <c r="I1249" i="8"/>
  <c r="H1249" i="8" s="1"/>
  <c r="J1248" i="8"/>
  <c r="E1247" i="8" l="1"/>
  <c r="D1249" i="8"/>
  <c r="B1249" i="8"/>
  <c r="C1250" i="8"/>
  <c r="I1250" i="8"/>
  <c r="H1250" i="8" s="1"/>
  <c r="J1249" i="8"/>
  <c r="K1247" i="8"/>
  <c r="E1248" i="8" l="1"/>
  <c r="C1251" i="8"/>
  <c r="D1250" i="8"/>
  <c r="B1250" i="8"/>
  <c r="K1248" i="8"/>
  <c r="I1251" i="8"/>
  <c r="H1251" i="8" s="1"/>
  <c r="J1250" i="8"/>
  <c r="K1249" i="8" l="1"/>
  <c r="E1249" i="8"/>
  <c r="B1251" i="8"/>
  <c r="C1252" i="8"/>
  <c r="D1251" i="8"/>
  <c r="I1252" i="8"/>
  <c r="H1252" i="8" s="1"/>
  <c r="J1251" i="8"/>
  <c r="E1250" i="8" l="1"/>
  <c r="B1252" i="8"/>
  <c r="C1253" i="8"/>
  <c r="D1252" i="8"/>
  <c r="I1253" i="8"/>
  <c r="H1253" i="8" s="1"/>
  <c r="J1252" i="8"/>
  <c r="K1251" i="8" s="1"/>
  <c r="K1250" i="8"/>
  <c r="C1254" i="8" l="1"/>
  <c r="D1253" i="8"/>
  <c r="B1253" i="8"/>
  <c r="E1251" i="8"/>
  <c r="I1254" i="8"/>
  <c r="H1254" i="8" s="1"/>
  <c r="J1253" i="8"/>
  <c r="K1252" i="8" l="1"/>
  <c r="E1252" i="8"/>
  <c r="B1254" i="8"/>
  <c r="C1255" i="8"/>
  <c r="D1254" i="8"/>
  <c r="I1255" i="8"/>
  <c r="H1255" i="8" s="1"/>
  <c r="J1254" i="8"/>
  <c r="K1253" i="8" s="1"/>
  <c r="E1253" i="8" l="1"/>
  <c r="B1255" i="8"/>
  <c r="C1256" i="8"/>
  <c r="D1255" i="8"/>
  <c r="I1256" i="8"/>
  <c r="H1256" i="8" s="1"/>
  <c r="J1255" i="8"/>
  <c r="D1256" i="8" l="1"/>
  <c r="C1257" i="8"/>
  <c r="B1256" i="8"/>
  <c r="E1254" i="8"/>
  <c r="I1257" i="8"/>
  <c r="H1257" i="8" s="1"/>
  <c r="J1256" i="8"/>
  <c r="K1254" i="8"/>
  <c r="D1257" i="8" l="1"/>
  <c r="C1258" i="8"/>
  <c r="B1257" i="8"/>
  <c r="E1255" i="8"/>
  <c r="I1258" i="8"/>
  <c r="H1258" i="8" s="1"/>
  <c r="J1257" i="8"/>
  <c r="K1255" i="8"/>
  <c r="C1259" i="8" l="1"/>
  <c r="D1258" i="8"/>
  <c r="B1258" i="8"/>
  <c r="E1256" i="8"/>
  <c r="K1256" i="8"/>
  <c r="I1259" i="8"/>
  <c r="H1259" i="8" s="1"/>
  <c r="J1258" i="8"/>
  <c r="E1257" i="8" l="1"/>
  <c r="C1260" i="8"/>
  <c r="B1259" i="8"/>
  <c r="D1259" i="8"/>
  <c r="K1257" i="8"/>
  <c r="I1260" i="8"/>
  <c r="H1260" i="8" s="1"/>
  <c r="J1259" i="8"/>
  <c r="K1258" i="8" s="1"/>
  <c r="B1260" i="8" l="1"/>
  <c r="C1261" i="8"/>
  <c r="D1260" i="8"/>
  <c r="E1258" i="8"/>
  <c r="I1261" i="8"/>
  <c r="H1261" i="8" s="1"/>
  <c r="J1260" i="8"/>
  <c r="E1259" i="8" l="1"/>
  <c r="D1261" i="8"/>
  <c r="B1261" i="8"/>
  <c r="C1262" i="8"/>
  <c r="K1259" i="8"/>
  <c r="I1262" i="8"/>
  <c r="H1262" i="8" s="1"/>
  <c r="J1261" i="8"/>
  <c r="E1260" i="8" l="1"/>
  <c r="B1262" i="8"/>
  <c r="C1263" i="8"/>
  <c r="D1262" i="8"/>
  <c r="I1263" i="8"/>
  <c r="H1263" i="8" s="1"/>
  <c r="J1262" i="8"/>
  <c r="K1260" i="8"/>
  <c r="E1261" i="8" l="1"/>
  <c r="B1263" i="8"/>
  <c r="D1263" i="8"/>
  <c r="C1264" i="8"/>
  <c r="K1261" i="8"/>
  <c r="I1264" i="8"/>
  <c r="H1264" i="8" s="1"/>
  <c r="J1263" i="8"/>
  <c r="E1262" i="8" l="1"/>
  <c r="B1264" i="8"/>
  <c r="C1265" i="8"/>
  <c r="D1264" i="8"/>
  <c r="K1262" i="8"/>
  <c r="I1265" i="8"/>
  <c r="H1265" i="8" s="1"/>
  <c r="J1264" i="8"/>
  <c r="E1263" i="8" l="1"/>
  <c r="B1265" i="8"/>
  <c r="D1265" i="8"/>
  <c r="C1266" i="8"/>
  <c r="K1263" i="8"/>
  <c r="I1266" i="8"/>
  <c r="H1266" i="8" s="1"/>
  <c r="J1265" i="8"/>
  <c r="B1266" i="8" l="1"/>
  <c r="C1267" i="8"/>
  <c r="D1266" i="8"/>
  <c r="E1264" i="8"/>
  <c r="K1264" i="8"/>
  <c r="I1267" i="8"/>
  <c r="H1267" i="8" s="1"/>
  <c r="J1266" i="8"/>
  <c r="E1265" i="8" l="1"/>
  <c r="K1265" i="8"/>
  <c r="B1267" i="8"/>
  <c r="D1267" i="8"/>
  <c r="C1268" i="8"/>
  <c r="I1268" i="8"/>
  <c r="H1268" i="8" s="1"/>
  <c r="J1267" i="8"/>
  <c r="K1266" i="8" l="1"/>
  <c r="B1268" i="8"/>
  <c r="C1269" i="8"/>
  <c r="D1268" i="8"/>
  <c r="E1266" i="8"/>
  <c r="I1269" i="8"/>
  <c r="H1269" i="8" s="1"/>
  <c r="J1268" i="8"/>
  <c r="K1267" i="8" s="1"/>
  <c r="E1267" i="8" l="1"/>
  <c r="D1269" i="8"/>
  <c r="C1270" i="8"/>
  <c r="B1269" i="8"/>
  <c r="I1270" i="8"/>
  <c r="H1270" i="8" s="1"/>
  <c r="J1269" i="8"/>
  <c r="C1271" i="8" l="1"/>
  <c r="B1270" i="8"/>
  <c r="D1270" i="8"/>
  <c r="E1268" i="8"/>
  <c r="I1271" i="8"/>
  <c r="H1271" i="8" s="1"/>
  <c r="J1270" i="8"/>
  <c r="K1268" i="8"/>
  <c r="E1269" i="8" l="1"/>
  <c r="D1271" i="8"/>
  <c r="B1271" i="8"/>
  <c r="C1272" i="8"/>
  <c r="I1272" i="8"/>
  <c r="H1272" i="8" s="1"/>
  <c r="J1271" i="8"/>
  <c r="K1269" i="8"/>
  <c r="D1272" i="8" l="1"/>
  <c r="C1273" i="8"/>
  <c r="B1272" i="8"/>
  <c r="E1270" i="8"/>
  <c r="I1273" i="8"/>
  <c r="H1273" i="8" s="1"/>
  <c r="J1272" i="8"/>
  <c r="K1271" i="8" s="1"/>
  <c r="K1270" i="8"/>
  <c r="E1271" i="8" l="1"/>
  <c r="D1273" i="8"/>
  <c r="B1273" i="8"/>
  <c r="C1274" i="8"/>
  <c r="I1274" i="8"/>
  <c r="H1274" i="8" s="1"/>
  <c r="J1273" i="8"/>
  <c r="K1272" i="8" s="1"/>
  <c r="E1272" i="8" l="1"/>
  <c r="D1274" i="8"/>
  <c r="B1274" i="8"/>
  <c r="C1275" i="8"/>
  <c r="I1275" i="8"/>
  <c r="H1275" i="8" s="1"/>
  <c r="J1274" i="8"/>
  <c r="B1275" i="8" l="1"/>
  <c r="D1275" i="8"/>
  <c r="C1276" i="8"/>
  <c r="K1273" i="8"/>
  <c r="E1273" i="8"/>
  <c r="I1276" i="8"/>
  <c r="H1276" i="8" s="1"/>
  <c r="J1275" i="8"/>
  <c r="E1274" i="8" l="1"/>
  <c r="D1276" i="8"/>
  <c r="B1276" i="8"/>
  <c r="C1277" i="8"/>
  <c r="K1274" i="8"/>
  <c r="I1277" i="8"/>
  <c r="H1277" i="8" s="1"/>
  <c r="J1276" i="8"/>
  <c r="D1277" i="8" l="1"/>
  <c r="B1277" i="8"/>
  <c r="C1278" i="8"/>
  <c r="K1275" i="8"/>
  <c r="E1275" i="8"/>
  <c r="I1278" i="8"/>
  <c r="H1278" i="8" s="1"/>
  <c r="J1277" i="8"/>
  <c r="D1278" i="8" l="1"/>
  <c r="B1278" i="8"/>
  <c r="C1279" i="8"/>
  <c r="E1276" i="8"/>
  <c r="K1276" i="8"/>
  <c r="I1279" i="8"/>
  <c r="H1279" i="8" s="1"/>
  <c r="J1278" i="8"/>
  <c r="E1277" i="8" l="1"/>
  <c r="B1279" i="8"/>
  <c r="C1280" i="8"/>
  <c r="D1279" i="8"/>
  <c r="K1277" i="8"/>
  <c r="I1280" i="8"/>
  <c r="H1280" i="8" s="1"/>
  <c r="J1279" i="8"/>
  <c r="E1278" i="8" l="1"/>
  <c r="D1280" i="8"/>
  <c r="C1281" i="8"/>
  <c r="B1280" i="8"/>
  <c r="I1281" i="8"/>
  <c r="H1281" i="8" s="1"/>
  <c r="J1280" i="8"/>
  <c r="K1278" i="8"/>
  <c r="B1281" i="8" l="1"/>
  <c r="D1281" i="8"/>
  <c r="C1282" i="8"/>
  <c r="E1279" i="8"/>
  <c r="I1282" i="8"/>
  <c r="H1282" i="8" s="1"/>
  <c r="J1281" i="8"/>
  <c r="K1279" i="8"/>
  <c r="E1280" i="8" l="1"/>
  <c r="D1282" i="8"/>
  <c r="C1283" i="8"/>
  <c r="B1282" i="8"/>
  <c r="I1283" i="8"/>
  <c r="H1283" i="8" s="1"/>
  <c r="J1282" i="8"/>
  <c r="K1280" i="8"/>
  <c r="K1281" i="8" l="1"/>
  <c r="B1283" i="8"/>
  <c r="D1283" i="8"/>
  <c r="E1282" i="8" s="1"/>
  <c r="C1284" i="8"/>
  <c r="E1281" i="8"/>
  <c r="I1284" i="8"/>
  <c r="H1284" i="8" s="1"/>
  <c r="J1283" i="8"/>
  <c r="K1282" i="8" s="1"/>
  <c r="B1284" i="8" l="1"/>
  <c r="D1284" i="8"/>
  <c r="C1285" i="8"/>
  <c r="I1285" i="8"/>
  <c r="H1285" i="8" s="1"/>
  <c r="J1284" i="8"/>
  <c r="K1283" i="8" s="1"/>
  <c r="B1285" i="8" l="1"/>
  <c r="D1285" i="8"/>
  <c r="C1286" i="8"/>
  <c r="E1283" i="8"/>
  <c r="I1286" i="8"/>
  <c r="H1286" i="8" s="1"/>
  <c r="J1285" i="8"/>
  <c r="E1284" i="8" l="1"/>
  <c r="B1286" i="8"/>
  <c r="C1287" i="8"/>
  <c r="D1286" i="8"/>
  <c r="I1287" i="8"/>
  <c r="H1287" i="8" s="1"/>
  <c r="J1286" i="8"/>
  <c r="K1285" i="8" s="1"/>
  <c r="K1284" i="8"/>
  <c r="E1285" i="8" l="1"/>
  <c r="D1287" i="8"/>
  <c r="B1287" i="8"/>
  <c r="C1288" i="8"/>
  <c r="I1288" i="8"/>
  <c r="H1288" i="8" s="1"/>
  <c r="J1287" i="8"/>
  <c r="E1286" i="8" l="1"/>
  <c r="C1289" i="8"/>
  <c r="D1288" i="8"/>
  <c r="B1288" i="8"/>
  <c r="K1286" i="8"/>
  <c r="I1289" i="8"/>
  <c r="H1289" i="8" s="1"/>
  <c r="J1288" i="8"/>
  <c r="E1287" i="8" l="1"/>
  <c r="D1289" i="8"/>
  <c r="C1290" i="8"/>
  <c r="B1289" i="8"/>
  <c r="K1287" i="8"/>
  <c r="I1290" i="8"/>
  <c r="H1290" i="8" s="1"/>
  <c r="J1289" i="8"/>
  <c r="K1288" i="8" l="1"/>
  <c r="E1288" i="8"/>
  <c r="B1290" i="8"/>
  <c r="C1291" i="8"/>
  <c r="D1290" i="8"/>
  <c r="I1291" i="8"/>
  <c r="H1291" i="8" s="1"/>
  <c r="J1290" i="8"/>
  <c r="K1289" i="8" s="1"/>
  <c r="B1291" i="8" l="1"/>
  <c r="D1291" i="8"/>
  <c r="C1292" i="8"/>
  <c r="E1289" i="8"/>
  <c r="I1292" i="8"/>
  <c r="H1292" i="8" s="1"/>
  <c r="J1291" i="8"/>
  <c r="E1290" i="8" l="1"/>
  <c r="C1293" i="8"/>
  <c r="D1292" i="8"/>
  <c r="B1292" i="8"/>
  <c r="I1293" i="8"/>
  <c r="H1293" i="8" s="1"/>
  <c r="J1292" i="8"/>
  <c r="K1290" i="8"/>
  <c r="E1291" i="8" l="1"/>
  <c r="C1294" i="8"/>
  <c r="D1293" i="8"/>
  <c r="B1293" i="8"/>
  <c r="I1294" i="8"/>
  <c r="H1294" i="8" s="1"/>
  <c r="J1293" i="8"/>
  <c r="K1292" i="8" s="1"/>
  <c r="K1291" i="8"/>
  <c r="E1292" i="8" l="1"/>
  <c r="D1294" i="8"/>
  <c r="B1294" i="8"/>
  <c r="C1295" i="8"/>
  <c r="I1295" i="8"/>
  <c r="H1295" i="8" s="1"/>
  <c r="J1294" i="8"/>
  <c r="E1293" i="8" l="1"/>
  <c r="B1295" i="8"/>
  <c r="C1296" i="8"/>
  <c r="D1295" i="8"/>
  <c r="E1294" i="8" s="1"/>
  <c r="K1293" i="8"/>
  <c r="I1296" i="8"/>
  <c r="H1296" i="8" s="1"/>
  <c r="J1295" i="8"/>
  <c r="B1296" i="8" l="1"/>
  <c r="D1296" i="8"/>
  <c r="C1297" i="8"/>
  <c r="I1297" i="8"/>
  <c r="H1297" i="8" s="1"/>
  <c r="J1296" i="8"/>
  <c r="K1294" i="8"/>
  <c r="E1295" i="8" l="1"/>
  <c r="K1295" i="8"/>
  <c r="D1297" i="8"/>
  <c r="B1297" i="8"/>
  <c r="C1298" i="8"/>
  <c r="I1298" i="8"/>
  <c r="H1298" i="8" s="1"/>
  <c r="J1297" i="8"/>
  <c r="E1296" i="8" l="1"/>
  <c r="B1298" i="8"/>
  <c r="C1299" i="8"/>
  <c r="D1298" i="8"/>
  <c r="E1297" i="8" s="1"/>
  <c r="I1299" i="8"/>
  <c r="H1299" i="8" s="1"/>
  <c r="J1298" i="8"/>
  <c r="K1296" i="8"/>
  <c r="B1299" i="8" l="1"/>
  <c r="C1300" i="8"/>
  <c r="D1299" i="8"/>
  <c r="I1300" i="8"/>
  <c r="H1300" i="8" s="1"/>
  <c r="J1299" i="8"/>
  <c r="K1297" i="8"/>
  <c r="E1298" i="8" l="1"/>
  <c r="C1301" i="8"/>
  <c r="D1300" i="8"/>
  <c r="B1300" i="8"/>
  <c r="I1301" i="8"/>
  <c r="H1301" i="8" s="1"/>
  <c r="J1300" i="8"/>
  <c r="K1298" i="8"/>
  <c r="E1299" i="8" l="1"/>
  <c r="B1301" i="8"/>
  <c r="D1301" i="8"/>
  <c r="E1300" i="8" s="1"/>
  <c r="C1302" i="8"/>
  <c r="I1302" i="8"/>
  <c r="H1302" i="8" s="1"/>
  <c r="J1301" i="8"/>
  <c r="K1300" i="8" s="1"/>
  <c r="K1299" i="8"/>
  <c r="D1302" i="8" l="1"/>
  <c r="B1302" i="8"/>
  <c r="C1303" i="8"/>
  <c r="I1303" i="8"/>
  <c r="H1303" i="8" s="1"/>
  <c r="J1302" i="8"/>
  <c r="D1303" i="8" l="1"/>
  <c r="C1304" i="8"/>
  <c r="B1303" i="8"/>
  <c r="E1301" i="8"/>
  <c r="K1301" i="8"/>
  <c r="I1304" i="8"/>
  <c r="H1304" i="8" s="1"/>
  <c r="J1303" i="8"/>
  <c r="E1302" i="8" l="1"/>
  <c r="B1304" i="8"/>
  <c r="C1305" i="8"/>
  <c r="D1304" i="8"/>
  <c r="I1305" i="8"/>
  <c r="H1305" i="8" s="1"/>
  <c r="J1304" i="8"/>
  <c r="K1302" i="8"/>
  <c r="E1303" i="8" l="1"/>
  <c r="D1305" i="8"/>
  <c r="C1306" i="8"/>
  <c r="B1305" i="8"/>
  <c r="I1306" i="8"/>
  <c r="H1306" i="8" s="1"/>
  <c r="J1305" i="8"/>
  <c r="K1303" i="8"/>
  <c r="B1306" i="8" l="1"/>
  <c r="D1306" i="8"/>
  <c r="C1307" i="8"/>
  <c r="E1304" i="8"/>
  <c r="I1307" i="8"/>
  <c r="H1307" i="8" s="1"/>
  <c r="J1306" i="8"/>
  <c r="K1304" i="8"/>
  <c r="E1305" i="8" l="1"/>
  <c r="B1307" i="8"/>
  <c r="C1308" i="8"/>
  <c r="D1307" i="8"/>
  <c r="E1306" i="8" s="1"/>
  <c r="I1308" i="8"/>
  <c r="H1308" i="8" s="1"/>
  <c r="J1307" i="8"/>
  <c r="K1305" i="8"/>
  <c r="C1309" i="8" l="1"/>
  <c r="D1308" i="8"/>
  <c r="B1308" i="8"/>
  <c r="K1306" i="8"/>
  <c r="I1309" i="8"/>
  <c r="H1309" i="8" s="1"/>
  <c r="J1308" i="8"/>
  <c r="D1309" i="8" l="1"/>
  <c r="B1309" i="8"/>
  <c r="C1310" i="8"/>
  <c r="E1307" i="8"/>
  <c r="K1307" i="8"/>
  <c r="I1310" i="8"/>
  <c r="H1310" i="8" s="1"/>
  <c r="J1309" i="8"/>
  <c r="E1308" i="8" l="1"/>
  <c r="B1310" i="8"/>
  <c r="D1310" i="8"/>
  <c r="C1311" i="8"/>
  <c r="I1311" i="8"/>
  <c r="H1311" i="8" s="1"/>
  <c r="J1310" i="8"/>
  <c r="K1308" i="8"/>
  <c r="E1309" i="8" l="1"/>
  <c r="C1312" i="8"/>
  <c r="D1311" i="8"/>
  <c r="B1311" i="8"/>
  <c r="I1312" i="8"/>
  <c r="H1312" i="8" s="1"/>
  <c r="J1311" i="8"/>
  <c r="K1309" i="8"/>
  <c r="E1310" i="8" l="1"/>
  <c r="K1310" i="8"/>
  <c r="C1313" i="8"/>
  <c r="D1312" i="8"/>
  <c r="B1312" i="8"/>
  <c r="I1313" i="8"/>
  <c r="H1313" i="8" s="1"/>
  <c r="J1312" i="8"/>
  <c r="E1311" i="8" l="1"/>
  <c r="D1313" i="8"/>
  <c r="C1314" i="8"/>
  <c r="B1313" i="8"/>
  <c r="I1314" i="8"/>
  <c r="H1314" i="8" s="1"/>
  <c r="J1313" i="8"/>
  <c r="K1311" i="8"/>
  <c r="C1315" i="8" l="1"/>
  <c r="D1314" i="8"/>
  <c r="B1314" i="8"/>
  <c r="E1312" i="8"/>
  <c r="I1315" i="8"/>
  <c r="H1315" i="8" s="1"/>
  <c r="J1314" i="8"/>
  <c r="K1312" i="8"/>
  <c r="E1313" i="8" l="1"/>
  <c r="C1316" i="8"/>
  <c r="B1315" i="8"/>
  <c r="D1315" i="8"/>
  <c r="E1314" i="8" s="1"/>
  <c r="K1313" i="8"/>
  <c r="I1316" i="8"/>
  <c r="H1316" i="8" s="1"/>
  <c r="J1315" i="8"/>
  <c r="D1316" i="8" l="1"/>
  <c r="C1317" i="8"/>
  <c r="B1316" i="8"/>
  <c r="I1317" i="8"/>
  <c r="H1317" i="8" s="1"/>
  <c r="J1316" i="8"/>
  <c r="K1315" i="8" s="1"/>
  <c r="K1314" i="8"/>
  <c r="C1318" i="8" l="1"/>
  <c r="D1317" i="8"/>
  <c r="B1317" i="8"/>
  <c r="E1315" i="8"/>
  <c r="I1318" i="8"/>
  <c r="H1318" i="8" s="1"/>
  <c r="J1317" i="8"/>
  <c r="K1316" i="8" s="1"/>
  <c r="E1316" i="8" l="1"/>
  <c r="B1318" i="8"/>
  <c r="D1318" i="8"/>
  <c r="C1319" i="8"/>
  <c r="I1319" i="8"/>
  <c r="H1319" i="8" s="1"/>
  <c r="J1318" i="8"/>
  <c r="D1319" i="8" l="1"/>
  <c r="C1320" i="8"/>
  <c r="B1319" i="8"/>
  <c r="E1317" i="8"/>
  <c r="I1320" i="8"/>
  <c r="H1320" i="8" s="1"/>
  <c r="J1319" i="8"/>
  <c r="K1317" i="8"/>
  <c r="C1321" i="8" l="1"/>
  <c r="D1320" i="8"/>
  <c r="B1320" i="8"/>
  <c r="E1318" i="8"/>
  <c r="I1321" i="8"/>
  <c r="H1321" i="8" s="1"/>
  <c r="J1320" i="8"/>
  <c r="K1318" i="8"/>
  <c r="E1319" i="8" l="1"/>
  <c r="C1322" i="8"/>
  <c r="D1321" i="8"/>
  <c r="B1321" i="8"/>
  <c r="I1322" i="8"/>
  <c r="H1322" i="8" s="1"/>
  <c r="J1321" i="8"/>
  <c r="K1319" i="8"/>
  <c r="E1320" i="8" l="1"/>
  <c r="D1322" i="8"/>
  <c r="C1323" i="8"/>
  <c r="B1322" i="8"/>
  <c r="I1323" i="8"/>
  <c r="H1323" i="8" s="1"/>
  <c r="J1322" i="8"/>
  <c r="K1321" i="8" s="1"/>
  <c r="K1320" i="8"/>
  <c r="B1323" i="8" l="1"/>
  <c r="D1323" i="8"/>
  <c r="C1324" i="8"/>
  <c r="E1321" i="8"/>
  <c r="I1324" i="8"/>
  <c r="H1324" i="8" s="1"/>
  <c r="J1323" i="8"/>
  <c r="K1322" i="8" s="1"/>
  <c r="B1324" i="8" l="1"/>
  <c r="C1325" i="8"/>
  <c r="D1324" i="8"/>
  <c r="E1322" i="8"/>
  <c r="I1325" i="8"/>
  <c r="H1325" i="8" s="1"/>
  <c r="J1324" i="8"/>
  <c r="E1323" i="8" l="1"/>
  <c r="K1323" i="8"/>
  <c r="B1325" i="8"/>
  <c r="D1325" i="8"/>
  <c r="E1324" i="8" s="1"/>
  <c r="C1326" i="8"/>
  <c r="I1326" i="8"/>
  <c r="H1326" i="8" s="1"/>
  <c r="J1325" i="8"/>
  <c r="K1324" i="8" s="1"/>
  <c r="D1326" i="8" l="1"/>
  <c r="C1327" i="8"/>
  <c r="B1326" i="8"/>
  <c r="I1327" i="8"/>
  <c r="H1327" i="8" s="1"/>
  <c r="J1326" i="8"/>
  <c r="E1325" i="8" l="1"/>
  <c r="C1328" i="8"/>
  <c r="D1327" i="8"/>
  <c r="B1327" i="8"/>
  <c r="K1325" i="8"/>
  <c r="I1328" i="8"/>
  <c r="H1328" i="8" s="1"/>
  <c r="J1327" i="8"/>
  <c r="E1326" i="8" l="1"/>
  <c r="D1328" i="8"/>
  <c r="B1328" i="8"/>
  <c r="C1329" i="8"/>
  <c r="K1326" i="8"/>
  <c r="I1329" i="8"/>
  <c r="H1329" i="8" s="1"/>
  <c r="J1328" i="8"/>
  <c r="C1330" i="8" l="1"/>
  <c r="D1329" i="8"/>
  <c r="B1329" i="8"/>
  <c r="E1327" i="8"/>
  <c r="I1330" i="8"/>
  <c r="H1330" i="8" s="1"/>
  <c r="J1329" i="8"/>
  <c r="K1327" i="8"/>
  <c r="E1328" i="8" l="1"/>
  <c r="C1331" i="8"/>
  <c r="D1330" i="8"/>
  <c r="B1330" i="8"/>
  <c r="I1331" i="8"/>
  <c r="H1331" i="8" s="1"/>
  <c r="J1330" i="8"/>
  <c r="K1328" i="8"/>
  <c r="E1329" i="8" l="1"/>
  <c r="C1332" i="8"/>
  <c r="B1331" i="8"/>
  <c r="D1331" i="8"/>
  <c r="K1329" i="8"/>
  <c r="I1332" i="8"/>
  <c r="H1332" i="8" s="1"/>
  <c r="J1331" i="8"/>
  <c r="E1330" i="8" l="1"/>
  <c r="B1332" i="8"/>
  <c r="C1333" i="8"/>
  <c r="D1332" i="8"/>
  <c r="I1333" i="8"/>
  <c r="H1333" i="8" s="1"/>
  <c r="J1332" i="8"/>
  <c r="K1331" i="8" s="1"/>
  <c r="K1330" i="8"/>
  <c r="E1331" i="8" l="1"/>
  <c r="B1333" i="8"/>
  <c r="C1334" i="8"/>
  <c r="D1333" i="8"/>
  <c r="I1334" i="8"/>
  <c r="H1334" i="8" s="1"/>
  <c r="J1333" i="8"/>
  <c r="D1334" i="8" l="1"/>
  <c r="B1334" i="8"/>
  <c r="C1335" i="8"/>
  <c r="E1332" i="8"/>
  <c r="I1335" i="8"/>
  <c r="H1335" i="8" s="1"/>
  <c r="J1334" i="8"/>
  <c r="K1332" i="8"/>
  <c r="K1333" i="8" l="1"/>
  <c r="E1333" i="8"/>
  <c r="B1335" i="8"/>
  <c r="C1336" i="8"/>
  <c r="D1335" i="8"/>
  <c r="I1336" i="8"/>
  <c r="H1336" i="8" s="1"/>
  <c r="J1335" i="8"/>
  <c r="E1334" i="8" l="1"/>
  <c r="D1336" i="8"/>
  <c r="C1337" i="8"/>
  <c r="B1336" i="8"/>
  <c r="I1337" i="8"/>
  <c r="H1337" i="8" s="1"/>
  <c r="J1336" i="8"/>
  <c r="K1335" i="8" s="1"/>
  <c r="K1334" i="8"/>
  <c r="E1335" i="8" l="1"/>
  <c r="D1337" i="8"/>
  <c r="C1338" i="8"/>
  <c r="B1337" i="8"/>
  <c r="I1338" i="8"/>
  <c r="H1338" i="8" s="1"/>
  <c r="J1337" i="8"/>
  <c r="K1336" i="8" s="1"/>
  <c r="B1338" i="8" l="1"/>
  <c r="C1339" i="8"/>
  <c r="D1338" i="8"/>
  <c r="E1336" i="8"/>
  <c r="I1339" i="8"/>
  <c r="H1339" i="8" s="1"/>
  <c r="J1338" i="8"/>
  <c r="E1337" i="8" l="1"/>
  <c r="C1340" i="8"/>
  <c r="B1339" i="8"/>
  <c r="D1339" i="8"/>
  <c r="I1340" i="8"/>
  <c r="H1340" i="8" s="1"/>
  <c r="J1339" i="8"/>
  <c r="K1337" i="8"/>
  <c r="E1338" i="8" l="1"/>
  <c r="C1341" i="8"/>
  <c r="D1340" i="8"/>
  <c r="B1340" i="8"/>
  <c r="K1338" i="8"/>
  <c r="I1341" i="8"/>
  <c r="H1341" i="8" s="1"/>
  <c r="J1340" i="8"/>
  <c r="E1339" i="8" l="1"/>
  <c r="K1339" i="8"/>
  <c r="D1341" i="8"/>
  <c r="C1342" i="8"/>
  <c r="B1341" i="8"/>
  <c r="I1342" i="8"/>
  <c r="H1342" i="8" s="1"/>
  <c r="J1341" i="8"/>
  <c r="K1340" i="8" s="1"/>
  <c r="C1343" i="8" l="1"/>
  <c r="B1342" i="8"/>
  <c r="D1342" i="8"/>
  <c r="E1340" i="8"/>
  <c r="I1343" i="8"/>
  <c r="H1343" i="8" s="1"/>
  <c r="J1342" i="8"/>
  <c r="K1341" i="8" l="1"/>
  <c r="E1341" i="8"/>
  <c r="B1343" i="8"/>
  <c r="C1344" i="8"/>
  <c r="D1343" i="8"/>
  <c r="E1342" i="8" s="1"/>
  <c r="I1344" i="8"/>
  <c r="H1344" i="8" s="1"/>
  <c r="J1343" i="8"/>
  <c r="B1344" i="8" l="1"/>
  <c r="C1345" i="8"/>
  <c r="D1344" i="8"/>
  <c r="I1345" i="8"/>
  <c r="H1345" i="8" s="1"/>
  <c r="J1344" i="8"/>
  <c r="K1343" i="8" s="1"/>
  <c r="K1342" i="8"/>
  <c r="E1343" i="8" l="1"/>
  <c r="D1345" i="8"/>
  <c r="B1345" i="8"/>
  <c r="C1346" i="8"/>
  <c r="I1346" i="8"/>
  <c r="H1346" i="8" s="1"/>
  <c r="J1345" i="8"/>
  <c r="B1346" i="8" l="1"/>
  <c r="D1346" i="8"/>
  <c r="E1345" i="8" s="1"/>
  <c r="C1347" i="8"/>
  <c r="E1344" i="8"/>
  <c r="I1347" i="8"/>
  <c r="H1347" i="8" s="1"/>
  <c r="J1346" i="8"/>
  <c r="K1345" i="8" s="1"/>
  <c r="K1344" i="8"/>
  <c r="C1348" i="8" l="1"/>
  <c r="B1347" i="8"/>
  <c r="D1347" i="8"/>
  <c r="I1348" i="8"/>
  <c r="H1348" i="8" s="1"/>
  <c r="J1347" i="8"/>
  <c r="K1346" i="8" l="1"/>
  <c r="E1346" i="8"/>
  <c r="D1348" i="8"/>
  <c r="B1348" i="8"/>
  <c r="C1349" i="8"/>
  <c r="I1349" i="8"/>
  <c r="H1349" i="8" s="1"/>
  <c r="J1348" i="8"/>
  <c r="K1347" i="8" s="1"/>
  <c r="E1347" i="8" l="1"/>
  <c r="B1349" i="8"/>
  <c r="D1349" i="8"/>
  <c r="C1350" i="8"/>
  <c r="I1350" i="8"/>
  <c r="H1350" i="8" s="1"/>
  <c r="J1349" i="8"/>
  <c r="B1350" i="8" l="1"/>
  <c r="D1350" i="8"/>
  <c r="C1351" i="8"/>
  <c r="E1348" i="8"/>
  <c r="K1348" i="8"/>
  <c r="I1351" i="8"/>
  <c r="H1351" i="8" s="1"/>
  <c r="J1350" i="8"/>
  <c r="E1349" i="8" l="1"/>
  <c r="D1351" i="8"/>
  <c r="C1352" i="8"/>
  <c r="B1351" i="8"/>
  <c r="K1349" i="8"/>
  <c r="I1352" i="8"/>
  <c r="H1352" i="8" s="1"/>
  <c r="J1351" i="8"/>
  <c r="E1350" i="8" l="1"/>
  <c r="B1352" i="8"/>
  <c r="C1353" i="8"/>
  <c r="D1352" i="8"/>
  <c r="E1351" i="8" s="1"/>
  <c r="I1353" i="8"/>
  <c r="H1353" i="8" s="1"/>
  <c r="J1352" i="8"/>
  <c r="K1350" i="8"/>
  <c r="B1353" i="8" l="1"/>
  <c r="C1354" i="8"/>
  <c r="D1353" i="8"/>
  <c r="K1351" i="8"/>
  <c r="I1354" i="8"/>
  <c r="H1354" i="8" s="1"/>
  <c r="J1353" i="8"/>
  <c r="E1352" i="8" l="1"/>
  <c r="D1354" i="8"/>
  <c r="B1354" i="8"/>
  <c r="C1355" i="8"/>
  <c r="I1355" i="8"/>
  <c r="H1355" i="8" s="1"/>
  <c r="J1354" i="8"/>
  <c r="K1352" i="8"/>
  <c r="B1355" i="8" l="1"/>
  <c r="C1356" i="8"/>
  <c r="D1355" i="8"/>
  <c r="E1353" i="8"/>
  <c r="I1356" i="8"/>
  <c r="H1356" i="8" s="1"/>
  <c r="J1355" i="8"/>
  <c r="K1353" i="8"/>
  <c r="E1354" i="8" l="1"/>
  <c r="C1357" i="8"/>
  <c r="B1356" i="8"/>
  <c r="D1356" i="8"/>
  <c r="I1357" i="8"/>
  <c r="H1357" i="8" s="1"/>
  <c r="J1356" i="8"/>
  <c r="K1355" i="8" s="1"/>
  <c r="K1354" i="8"/>
  <c r="E1355" i="8" l="1"/>
  <c r="D1357" i="8"/>
  <c r="C1358" i="8"/>
  <c r="B1357" i="8"/>
  <c r="I1358" i="8"/>
  <c r="H1358" i="8" s="1"/>
  <c r="J1357" i="8"/>
  <c r="K1356" i="8" s="1"/>
  <c r="D1358" i="8" l="1"/>
  <c r="B1358" i="8"/>
  <c r="C1359" i="8"/>
  <c r="E1356" i="8"/>
  <c r="I1359" i="8"/>
  <c r="H1359" i="8" s="1"/>
  <c r="J1358" i="8"/>
  <c r="K1357" i="8" s="1"/>
  <c r="E1357" i="8" l="1"/>
  <c r="B1359" i="8"/>
  <c r="C1360" i="8"/>
  <c r="D1359" i="8"/>
  <c r="E1358" i="8" s="1"/>
  <c r="I1360" i="8"/>
  <c r="H1360" i="8" s="1"/>
  <c r="J1359" i="8"/>
  <c r="K1358" i="8" s="1"/>
  <c r="B1360" i="8" l="1"/>
  <c r="C1361" i="8"/>
  <c r="D1360" i="8"/>
  <c r="I1361" i="8"/>
  <c r="H1361" i="8" s="1"/>
  <c r="J1360" i="8"/>
  <c r="E1359" i="8" l="1"/>
  <c r="K1359" i="8"/>
  <c r="D1361" i="8"/>
  <c r="C1362" i="8"/>
  <c r="B1361" i="8"/>
  <c r="I1362" i="8"/>
  <c r="H1362" i="8" s="1"/>
  <c r="J1361" i="8"/>
  <c r="K1360" i="8" s="1"/>
  <c r="B1362" i="8" l="1"/>
  <c r="D1362" i="8"/>
  <c r="E1361" i="8" s="1"/>
  <c r="C1363" i="8"/>
  <c r="E1360" i="8"/>
  <c r="I1363" i="8"/>
  <c r="H1363" i="8" s="1"/>
  <c r="J1362" i="8"/>
  <c r="C1364" i="8" l="1"/>
  <c r="D1363" i="8"/>
  <c r="B1363" i="8"/>
  <c r="I1364" i="8"/>
  <c r="H1364" i="8" s="1"/>
  <c r="J1363" i="8"/>
  <c r="K1362" i="8" s="1"/>
  <c r="K1361" i="8"/>
  <c r="E1362" i="8" l="1"/>
  <c r="B1364" i="8"/>
  <c r="D1364" i="8"/>
  <c r="C1365" i="8"/>
  <c r="I1365" i="8"/>
  <c r="H1365" i="8" s="1"/>
  <c r="J1364" i="8"/>
  <c r="C1366" i="8" l="1"/>
  <c r="B1365" i="8"/>
  <c r="D1365" i="8"/>
  <c r="E1363" i="8"/>
  <c r="K1363" i="8"/>
  <c r="I1366" i="8"/>
  <c r="H1366" i="8" s="1"/>
  <c r="J1365" i="8"/>
  <c r="E1364" i="8" l="1"/>
  <c r="K1364" i="8"/>
  <c r="B1366" i="8"/>
  <c r="C1367" i="8"/>
  <c r="D1366" i="8"/>
  <c r="E1365" i="8" s="1"/>
  <c r="I1367" i="8"/>
  <c r="H1367" i="8" s="1"/>
  <c r="J1366" i="8"/>
  <c r="B1367" i="8" l="1"/>
  <c r="C1368" i="8"/>
  <c r="D1367" i="8"/>
  <c r="K1365" i="8"/>
  <c r="I1368" i="8"/>
  <c r="H1368" i="8" s="1"/>
  <c r="J1367" i="8"/>
  <c r="K1366" i="8" s="1"/>
  <c r="E1366" i="8" l="1"/>
  <c r="B1368" i="8"/>
  <c r="D1368" i="8"/>
  <c r="C1369" i="8"/>
  <c r="I1369" i="8"/>
  <c r="H1369" i="8" s="1"/>
  <c r="J1368" i="8"/>
  <c r="E1367" i="8" l="1"/>
  <c r="D1369" i="8"/>
  <c r="B1369" i="8"/>
  <c r="C1370" i="8"/>
  <c r="I1370" i="8"/>
  <c r="H1370" i="8" s="1"/>
  <c r="J1369" i="8"/>
  <c r="K1367" i="8"/>
  <c r="E1368" i="8" l="1"/>
  <c r="C1371" i="8"/>
  <c r="D1370" i="8"/>
  <c r="B1370" i="8"/>
  <c r="I1371" i="8"/>
  <c r="H1371" i="8" s="1"/>
  <c r="J1370" i="8"/>
  <c r="K1368" i="8"/>
  <c r="E1369" i="8" l="1"/>
  <c r="B1371" i="8"/>
  <c r="C1372" i="8"/>
  <c r="D1371" i="8"/>
  <c r="E1370" i="8" s="1"/>
  <c r="I1372" i="8"/>
  <c r="H1372" i="8" s="1"/>
  <c r="J1371" i="8"/>
  <c r="K1369" i="8"/>
  <c r="C1373" i="8" l="1"/>
  <c r="B1372" i="8"/>
  <c r="D1372" i="8"/>
  <c r="I1373" i="8"/>
  <c r="H1373" i="8" s="1"/>
  <c r="J1372" i="8"/>
  <c r="K1370" i="8"/>
  <c r="E1371" i="8" l="1"/>
  <c r="K1371" i="8"/>
  <c r="C1374" i="8"/>
  <c r="D1373" i="8"/>
  <c r="B1373" i="8"/>
  <c r="I1374" i="8"/>
  <c r="H1374" i="8" s="1"/>
  <c r="J1373" i="8"/>
  <c r="K1372" i="8" l="1"/>
  <c r="C1375" i="8"/>
  <c r="B1374" i="8"/>
  <c r="D1374" i="8"/>
  <c r="E1373" i="8" s="1"/>
  <c r="E1372" i="8"/>
  <c r="I1375" i="8"/>
  <c r="H1375" i="8" s="1"/>
  <c r="J1374" i="8"/>
  <c r="K1373" i="8" s="1"/>
  <c r="C1376" i="8" l="1"/>
  <c r="D1375" i="8"/>
  <c r="B1375" i="8"/>
  <c r="I1376" i="8"/>
  <c r="H1376" i="8" s="1"/>
  <c r="J1375" i="8"/>
  <c r="E1374" i="8" l="1"/>
  <c r="B1376" i="8"/>
  <c r="D1376" i="8"/>
  <c r="C1377" i="8"/>
  <c r="K1374" i="8"/>
  <c r="I1377" i="8"/>
  <c r="H1377" i="8" s="1"/>
  <c r="J1376" i="8"/>
  <c r="C1378" i="8" l="1"/>
  <c r="B1377" i="8"/>
  <c r="D1377" i="8"/>
  <c r="K1375" i="8"/>
  <c r="E1375" i="8"/>
  <c r="I1378" i="8"/>
  <c r="H1378" i="8" s="1"/>
  <c r="J1377" i="8"/>
  <c r="E1376" i="8" l="1"/>
  <c r="K1376" i="8"/>
  <c r="D1378" i="8"/>
  <c r="C1379" i="8"/>
  <c r="B1378" i="8"/>
  <c r="I1379" i="8"/>
  <c r="H1379" i="8" s="1"/>
  <c r="J1378" i="8"/>
  <c r="C1380" i="8" l="1"/>
  <c r="D1379" i="8"/>
  <c r="B1379" i="8"/>
  <c r="K1377" i="8"/>
  <c r="E1377" i="8"/>
  <c r="I1380" i="8"/>
  <c r="H1380" i="8" s="1"/>
  <c r="J1379" i="8"/>
  <c r="E1378" i="8" l="1"/>
  <c r="B1380" i="8"/>
  <c r="D1380" i="8"/>
  <c r="C1381" i="8"/>
  <c r="I1381" i="8"/>
  <c r="H1381" i="8" s="1"/>
  <c r="J1380" i="8"/>
  <c r="K1378" i="8"/>
  <c r="E1379" i="8" l="1"/>
  <c r="B1381" i="8"/>
  <c r="C1382" i="8"/>
  <c r="D1381" i="8"/>
  <c r="I1382" i="8"/>
  <c r="H1382" i="8" s="1"/>
  <c r="J1381" i="8"/>
  <c r="K1379" i="8"/>
  <c r="K1380" i="8" l="1"/>
  <c r="E1380" i="8"/>
  <c r="B1382" i="8"/>
  <c r="C1383" i="8"/>
  <c r="D1382" i="8"/>
  <c r="E1381" i="8" s="1"/>
  <c r="I1383" i="8"/>
  <c r="H1383" i="8" s="1"/>
  <c r="J1382" i="8"/>
  <c r="B1383" i="8" l="1"/>
  <c r="C1384" i="8"/>
  <c r="D1383" i="8"/>
  <c r="I1384" i="8"/>
  <c r="H1384" i="8" s="1"/>
  <c r="J1383" i="8"/>
  <c r="K1381" i="8"/>
  <c r="K1382" i="8" l="1"/>
  <c r="B1384" i="8"/>
  <c r="D1384" i="8"/>
  <c r="C1385" i="8"/>
  <c r="E1382" i="8"/>
  <c r="I1385" i="8"/>
  <c r="H1385" i="8" s="1"/>
  <c r="J1384" i="8"/>
  <c r="K1383" i="8" s="1"/>
  <c r="D1385" i="8" l="1"/>
  <c r="C1386" i="8"/>
  <c r="B1385" i="8"/>
  <c r="E1383" i="8"/>
  <c r="I1386" i="8"/>
  <c r="H1386" i="8" s="1"/>
  <c r="J1385" i="8"/>
  <c r="K1384" i="8" s="1"/>
  <c r="D1386" i="8" l="1"/>
  <c r="B1386" i="8"/>
  <c r="C1387" i="8"/>
  <c r="E1384" i="8"/>
  <c r="I1387" i="8"/>
  <c r="H1387" i="8" s="1"/>
  <c r="J1386" i="8"/>
  <c r="B1387" i="8" l="1"/>
  <c r="C1388" i="8"/>
  <c r="D1387" i="8"/>
  <c r="E1385" i="8"/>
  <c r="I1388" i="8"/>
  <c r="H1388" i="8" s="1"/>
  <c r="J1387" i="8"/>
  <c r="K1385" i="8"/>
  <c r="E1386" i="8" l="1"/>
  <c r="B1388" i="8"/>
  <c r="C1389" i="8"/>
  <c r="D1388" i="8"/>
  <c r="I1389" i="8"/>
  <c r="H1389" i="8" s="1"/>
  <c r="J1388" i="8"/>
  <c r="K1386" i="8"/>
  <c r="E1387" i="8" l="1"/>
  <c r="B1389" i="8"/>
  <c r="D1389" i="8"/>
  <c r="C1390" i="8"/>
  <c r="I1390" i="8"/>
  <c r="H1390" i="8" s="1"/>
  <c r="J1389" i="8"/>
  <c r="K1387" i="8"/>
  <c r="E1388" i="8" l="1"/>
  <c r="B1390" i="8"/>
  <c r="D1390" i="8"/>
  <c r="C1391" i="8"/>
  <c r="I1391" i="8"/>
  <c r="H1391" i="8" s="1"/>
  <c r="J1390" i="8"/>
  <c r="K1388" i="8"/>
  <c r="E1389" i="8" l="1"/>
  <c r="C1392" i="8"/>
  <c r="B1391" i="8"/>
  <c r="D1391" i="8"/>
  <c r="K1389" i="8"/>
  <c r="I1392" i="8"/>
  <c r="H1392" i="8" s="1"/>
  <c r="J1391" i="8"/>
  <c r="K1390" i="8" s="1"/>
  <c r="E1390" i="8" l="1"/>
  <c r="B1392" i="8"/>
  <c r="D1392" i="8"/>
  <c r="C1393" i="8"/>
  <c r="I1393" i="8"/>
  <c r="H1393" i="8" s="1"/>
  <c r="J1392" i="8"/>
  <c r="B1393" i="8" l="1"/>
  <c r="C1394" i="8"/>
  <c r="D1393" i="8"/>
  <c r="E1391" i="8"/>
  <c r="I1394" i="8"/>
  <c r="H1394" i="8" s="1"/>
  <c r="J1393" i="8"/>
  <c r="K1391" i="8"/>
  <c r="K1392" i="8" l="1"/>
  <c r="B1394" i="8"/>
  <c r="C1395" i="8"/>
  <c r="D1394" i="8"/>
  <c r="E1392" i="8"/>
  <c r="I1395" i="8"/>
  <c r="H1395" i="8" s="1"/>
  <c r="J1394" i="8"/>
  <c r="E1393" i="8" l="1"/>
  <c r="B1395" i="8"/>
  <c r="C1396" i="8"/>
  <c r="D1395" i="8"/>
  <c r="I1396" i="8"/>
  <c r="H1396" i="8" s="1"/>
  <c r="J1395" i="8"/>
  <c r="K1393" i="8"/>
  <c r="D1396" i="8" l="1"/>
  <c r="B1396" i="8"/>
  <c r="C1397" i="8"/>
  <c r="E1394" i="8"/>
  <c r="I1397" i="8"/>
  <c r="H1397" i="8" s="1"/>
  <c r="J1396" i="8"/>
  <c r="K1394" i="8"/>
  <c r="E1395" i="8" l="1"/>
  <c r="B1397" i="8"/>
  <c r="C1398" i="8"/>
  <c r="D1397" i="8"/>
  <c r="I1398" i="8"/>
  <c r="H1398" i="8" s="1"/>
  <c r="J1397" i="8"/>
  <c r="K1395" i="8"/>
  <c r="B1398" i="8" l="1"/>
  <c r="C1399" i="8"/>
  <c r="D1398" i="8"/>
  <c r="E1396" i="8"/>
  <c r="I1399" i="8"/>
  <c r="H1399" i="8" s="1"/>
  <c r="J1398" i="8"/>
  <c r="K1397" i="8" s="1"/>
  <c r="K1396" i="8"/>
  <c r="E1397" i="8" l="1"/>
  <c r="D1399" i="8"/>
  <c r="B1399" i="8"/>
  <c r="C1400" i="8"/>
  <c r="I1400" i="8"/>
  <c r="H1400" i="8" s="1"/>
  <c r="J1399" i="8"/>
  <c r="E1398" i="8" l="1"/>
  <c r="B1400" i="8"/>
  <c r="C1401" i="8"/>
  <c r="D1400" i="8"/>
  <c r="I1401" i="8"/>
  <c r="H1401" i="8" s="1"/>
  <c r="J1400" i="8"/>
  <c r="K1398" i="8"/>
  <c r="E1399" i="8" l="1"/>
  <c r="D1401" i="8"/>
  <c r="C1402" i="8"/>
  <c r="B1401" i="8"/>
  <c r="I1402" i="8"/>
  <c r="H1402" i="8" s="1"/>
  <c r="J1401" i="8"/>
  <c r="K1400" i="8" s="1"/>
  <c r="K1399" i="8"/>
  <c r="E1400" i="8" l="1"/>
  <c r="B1402" i="8"/>
  <c r="C1403" i="8"/>
  <c r="D1402" i="8"/>
  <c r="I1403" i="8"/>
  <c r="H1403" i="8" s="1"/>
  <c r="J1402" i="8"/>
  <c r="E1401" i="8" l="1"/>
  <c r="D1403" i="8"/>
  <c r="C1404" i="8"/>
  <c r="B1403" i="8"/>
  <c r="I1404" i="8"/>
  <c r="H1404" i="8" s="1"/>
  <c r="J1403" i="8"/>
  <c r="K1401" i="8"/>
  <c r="B1404" i="8" l="1"/>
  <c r="D1404" i="8"/>
  <c r="C1405" i="8"/>
  <c r="E1402" i="8"/>
  <c r="I1405" i="8"/>
  <c r="H1405" i="8" s="1"/>
  <c r="J1404" i="8"/>
  <c r="K1402" i="8"/>
  <c r="E1403" i="8" l="1"/>
  <c r="B1405" i="8"/>
  <c r="C1406" i="8"/>
  <c r="D1405" i="8"/>
  <c r="E1404" i="8" s="1"/>
  <c r="K1403" i="8"/>
  <c r="I1406" i="8"/>
  <c r="H1406" i="8" s="1"/>
  <c r="J1405" i="8"/>
  <c r="B1406" i="8" l="1"/>
  <c r="D1406" i="8"/>
  <c r="C1407" i="8"/>
  <c r="I1407" i="8"/>
  <c r="H1407" i="8" s="1"/>
  <c r="J1406" i="8"/>
  <c r="K1404" i="8"/>
  <c r="C1408" i="8" l="1"/>
  <c r="D1407" i="8"/>
  <c r="B1407" i="8"/>
  <c r="E1405" i="8"/>
  <c r="K1405" i="8"/>
  <c r="I1408" i="8"/>
  <c r="H1408" i="8" s="1"/>
  <c r="J1407" i="8"/>
  <c r="E1406" i="8" l="1"/>
  <c r="D1408" i="8"/>
  <c r="C1409" i="8"/>
  <c r="B1408" i="8"/>
  <c r="I1409" i="8"/>
  <c r="H1409" i="8" s="1"/>
  <c r="J1408" i="8"/>
  <c r="K1407" i="8" s="1"/>
  <c r="K1406" i="8"/>
  <c r="B1409" i="8" l="1"/>
  <c r="C1410" i="8"/>
  <c r="D1409" i="8"/>
  <c r="E1407" i="8"/>
  <c r="I1410" i="8"/>
  <c r="H1410" i="8" s="1"/>
  <c r="J1409" i="8"/>
  <c r="E1408" i="8" l="1"/>
  <c r="D1410" i="8"/>
  <c r="C1411" i="8"/>
  <c r="B1410" i="8"/>
  <c r="K1408" i="8"/>
  <c r="I1411" i="8"/>
  <c r="H1411" i="8" s="1"/>
  <c r="J1410" i="8"/>
  <c r="E1409" i="8" l="1"/>
  <c r="D1411" i="8"/>
  <c r="B1411" i="8"/>
  <c r="C1412" i="8"/>
  <c r="I1412" i="8"/>
  <c r="H1412" i="8" s="1"/>
  <c r="J1411" i="8"/>
  <c r="K1409" i="8"/>
  <c r="E1410" i="8" l="1"/>
  <c r="C1413" i="8"/>
  <c r="D1412" i="8"/>
  <c r="B1412" i="8"/>
  <c r="K1410" i="8"/>
  <c r="I1413" i="8"/>
  <c r="H1413" i="8" s="1"/>
  <c r="J1412" i="8"/>
  <c r="E1411" i="8" l="1"/>
  <c r="B1413" i="8"/>
  <c r="D1413" i="8"/>
  <c r="C1414" i="8"/>
  <c r="K1411" i="8"/>
  <c r="I1414" i="8"/>
  <c r="H1414" i="8" s="1"/>
  <c r="J1413" i="8"/>
  <c r="B1414" i="8" l="1"/>
  <c r="D1414" i="8"/>
  <c r="C1415" i="8"/>
  <c r="E1412" i="8"/>
  <c r="I1415" i="8"/>
  <c r="H1415" i="8" s="1"/>
  <c r="J1414" i="8"/>
  <c r="K1413" i="8" s="1"/>
  <c r="K1412" i="8"/>
  <c r="E1413" i="8" l="1"/>
  <c r="D1415" i="8"/>
  <c r="C1416" i="8"/>
  <c r="B1415" i="8"/>
  <c r="I1416" i="8"/>
  <c r="H1416" i="8" s="1"/>
  <c r="J1415" i="8"/>
  <c r="K1414" i="8" s="1"/>
  <c r="E1414" i="8" l="1"/>
  <c r="B1416" i="8"/>
  <c r="D1416" i="8"/>
  <c r="C1417" i="8"/>
  <c r="I1417" i="8"/>
  <c r="H1417" i="8" s="1"/>
  <c r="J1416" i="8"/>
  <c r="E1415" i="8" l="1"/>
  <c r="C1418" i="8"/>
  <c r="D1417" i="8"/>
  <c r="B1417" i="8"/>
  <c r="I1418" i="8"/>
  <c r="H1418" i="8" s="1"/>
  <c r="J1417" i="8"/>
  <c r="K1416" i="8" s="1"/>
  <c r="K1415" i="8"/>
  <c r="E1416" i="8" l="1"/>
  <c r="B1418" i="8"/>
  <c r="D1418" i="8"/>
  <c r="E1417" i="8" s="1"/>
  <c r="C1419" i="8"/>
  <c r="I1419" i="8"/>
  <c r="H1419" i="8" s="1"/>
  <c r="J1418" i="8"/>
  <c r="C1420" i="8" l="1"/>
  <c r="D1419" i="8"/>
  <c r="B1419" i="8"/>
  <c r="K1417" i="8"/>
  <c r="I1420" i="8"/>
  <c r="H1420" i="8" s="1"/>
  <c r="J1419" i="8"/>
  <c r="E1418" i="8" l="1"/>
  <c r="C1421" i="8"/>
  <c r="B1420" i="8"/>
  <c r="D1420" i="8"/>
  <c r="K1418" i="8"/>
  <c r="I1421" i="8"/>
  <c r="H1421" i="8" s="1"/>
  <c r="J1420" i="8"/>
  <c r="K1419" i="8" s="1"/>
  <c r="C1422" i="8" l="1"/>
  <c r="D1421" i="8"/>
  <c r="B1421" i="8"/>
  <c r="E1419" i="8"/>
  <c r="I1422" i="8"/>
  <c r="H1422" i="8" s="1"/>
  <c r="J1421" i="8"/>
  <c r="E1420" i="8" l="1"/>
  <c r="C1423" i="8"/>
  <c r="B1422" i="8"/>
  <c r="D1422" i="8"/>
  <c r="K1420" i="8"/>
  <c r="I1423" i="8"/>
  <c r="H1423" i="8" s="1"/>
  <c r="J1422" i="8"/>
  <c r="E1421" i="8" l="1"/>
  <c r="C1424" i="8"/>
  <c r="D1423" i="8"/>
  <c r="B1423" i="8"/>
  <c r="I1424" i="8"/>
  <c r="H1424" i="8" s="1"/>
  <c r="J1423" i="8"/>
  <c r="K1421" i="8"/>
  <c r="E1422" i="8" l="1"/>
  <c r="D1424" i="8"/>
  <c r="C1425" i="8"/>
  <c r="B1424" i="8"/>
  <c r="K1422" i="8"/>
  <c r="I1425" i="8"/>
  <c r="H1425" i="8" s="1"/>
  <c r="J1424" i="8"/>
  <c r="E1423" i="8" l="1"/>
  <c r="B1425" i="8"/>
  <c r="C1426" i="8"/>
  <c r="D1425" i="8"/>
  <c r="I1426" i="8"/>
  <c r="H1426" i="8" s="1"/>
  <c r="J1425" i="8"/>
  <c r="K1423" i="8"/>
  <c r="E1424" i="8" l="1"/>
  <c r="B1426" i="8"/>
  <c r="C1427" i="8"/>
  <c r="D1426" i="8"/>
  <c r="I1427" i="8"/>
  <c r="H1427" i="8" s="1"/>
  <c r="J1426" i="8"/>
  <c r="K1424" i="8"/>
  <c r="E1425" i="8" l="1"/>
  <c r="B1427" i="8"/>
  <c r="D1427" i="8"/>
  <c r="C1428" i="8"/>
  <c r="I1428" i="8"/>
  <c r="H1428" i="8" s="1"/>
  <c r="J1427" i="8"/>
  <c r="K1425" i="8"/>
  <c r="E1426" i="8" l="1"/>
  <c r="C1429" i="8"/>
  <c r="B1428" i="8"/>
  <c r="D1428" i="8"/>
  <c r="I1429" i="8"/>
  <c r="H1429" i="8" s="1"/>
  <c r="J1428" i="8"/>
  <c r="K1426" i="8"/>
  <c r="E1427" i="8" l="1"/>
  <c r="D1429" i="8"/>
  <c r="C1430" i="8"/>
  <c r="B1429" i="8"/>
  <c r="I1430" i="8"/>
  <c r="H1430" i="8" s="1"/>
  <c r="J1429" i="8"/>
  <c r="K1427" i="8"/>
  <c r="B1430" i="8" l="1"/>
  <c r="D1430" i="8"/>
  <c r="C1431" i="8"/>
  <c r="E1428" i="8"/>
  <c r="I1431" i="8"/>
  <c r="H1431" i="8" s="1"/>
  <c r="J1430" i="8"/>
  <c r="K1428" i="8"/>
  <c r="E1429" i="8" l="1"/>
  <c r="C1432" i="8"/>
  <c r="D1431" i="8"/>
  <c r="B1431" i="8"/>
  <c r="K1429" i="8"/>
  <c r="I1432" i="8"/>
  <c r="H1432" i="8" s="1"/>
  <c r="J1431" i="8"/>
  <c r="E1430" i="8" l="1"/>
  <c r="K1430" i="8"/>
  <c r="B1432" i="8"/>
  <c r="D1432" i="8"/>
  <c r="C1433" i="8"/>
  <c r="I1433" i="8"/>
  <c r="H1433" i="8" s="1"/>
  <c r="J1432" i="8"/>
  <c r="K1431" i="8" s="1"/>
  <c r="B1433" i="8" l="1"/>
  <c r="C1434" i="8"/>
  <c r="D1433" i="8"/>
  <c r="E1431" i="8"/>
  <c r="I1434" i="8"/>
  <c r="H1434" i="8" s="1"/>
  <c r="J1433" i="8"/>
  <c r="E1432" i="8" l="1"/>
  <c r="B1434" i="8"/>
  <c r="D1434" i="8"/>
  <c r="C1435" i="8"/>
  <c r="I1435" i="8"/>
  <c r="H1435" i="8" s="1"/>
  <c r="J1434" i="8"/>
  <c r="K1432" i="8"/>
  <c r="B1435" i="8" l="1"/>
  <c r="D1435" i="8"/>
  <c r="C1436" i="8"/>
  <c r="E1433" i="8"/>
  <c r="I1436" i="8"/>
  <c r="H1436" i="8" s="1"/>
  <c r="J1435" i="8"/>
  <c r="K1434" i="8" s="1"/>
  <c r="K1433" i="8"/>
  <c r="E1434" i="8" l="1"/>
  <c r="B1436" i="8"/>
  <c r="C1437" i="8"/>
  <c r="D1436" i="8"/>
  <c r="I1437" i="8"/>
  <c r="H1437" i="8" s="1"/>
  <c r="J1436" i="8"/>
  <c r="B1437" i="8" l="1"/>
  <c r="D1437" i="8"/>
  <c r="C1438" i="8"/>
  <c r="E1435" i="8"/>
  <c r="K1435" i="8"/>
  <c r="I1438" i="8"/>
  <c r="H1438" i="8" s="1"/>
  <c r="J1437" i="8"/>
  <c r="C1439" i="8" l="1"/>
  <c r="D1438" i="8"/>
  <c r="B1438" i="8"/>
  <c r="K1436" i="8"/>
  <c r="E1436" i="8"/>
  <c r="I1439" i="8"/>
  <c r="H1439" i="8" s="1"/>
  <c r="J1438" i="8"/>
  <c r="C1440" i="8" l="1"/>
  <c r="B1439" i="8"/>
  <c r="D1439" i="8"/>
  <c r="E1437" i="8"/>
  <c r="K1437" i="8"/>
  <c r="I1440" i="8"/>
  <c r="H1440" i="8" s="1"/>
  <c r="J1439" i="8"/>
  <c r="C1441" i="8" l="1"/>
  <c r="D1440" i="8"/>
  <c r="B1440" i="8"/>
  <c r="E1438" i="8"/>
  <c r="I1441" i="8"/>
  <c r="H1441" i="8" s="1"/>
  <c r="J1440" i="8"/>
  <c r="K1439" i="8" s="1"/>
  <c r="K1438" i="8"/>
  <c r="E1439" i="8" l="1"/>
  <c r="C1442" i="8"/>
  <c r="B1441" i="8"/>
  <c r="D1441" i="8"/>
  <c r="I1442" i="8"/>
  <c r="H1442" i="8" s="1"/>
  <c r="J1441" i="8"/>
  <c r="K1440" i="8" s="1"/>
  <c r="E1440" i="8" l="1"/>
  <c r="D1442" i="8"/>
  <c r="C1443" i="8"/>
  <c r="B1442" i="8"/>
  <c r="I1443" i="8"/>
  <c r="H1443" i="8" s="1"/>
  <c r="J1442" i="8"/>
  <c r="E1441" i="8" l="1"/>
  <c r="C1444" i="8"/>
  <c r="B1443" i="8"/>
  <c r="D1443" i="8"/>
  <c r="K1441" i="8"/>
  <c r="I1444" i="8"/>
  <c r="H1444" i="8" s="1"/>
  <c r="J1443" i="8"/>
  <c r="E1442" i="8" l="1"/>
  <c r="K1442" i="8"/>
  <c r="C1445" i="8"/>
  <c r="B1444" i="8"/>
  <c r="D1444" i="8"/>
  <c r="I1445" i="8"/>
  <c r="H1445" i="8" s="1"/>
  <c r="J1444" i="8"/>
  <c r="E1443" i="8" l="1"/>
  <c r="B1445" i="8"/>
  <c r="D1445" i="8"/>
  <c r="C1446" i="8"/>
  <c r="K1443" i="8"/>
  <c r="I1446" i="8"/>
  <c r="H1446" i="8" s="1"/>
  <c r="J1445" i="8"/>
  <c r="K1444" i="8" s="1"/>
  <c r="E1444" i="8" l="1"/>
  <c r="B1446" i="8"/>
  <c r="C1447" i="8"/>
  <c r="D1446" i="8"/>
  <c r="I1447" i="8"/>
  <c r="H1447" i="8" s="1"/>
  <c r="J1446" i="8"/>
  <c r="D1447" i="8" l="1"/>
  <c r="B1447" i="8"/>
  <c r="C1448" i="8"/>
  <c r="E1445" i="8"/>
  <c r="K1445" i="8"/>
  <c r="I1448" i="8"/>
  <c r="H1448" i="8" s="1"/>
  <c r="J1447" i="8"/>
  <c r="C1449" i="8" l="1"/>
  <c r="D1448" i="8"/>
  <c r="B1448" i="8"/>
  <c r="E1446" i="8"/>
  <c r="I1449" i="8"/>
  <c r="H1449" i="8" s="1"/>
  <c r="J1448" i="8"/>
  <c r="K1447" i="8" s="1"/>
  <c r="K1446" i="8"/>
  <c r="E1447" i="8" l="1"/>
  <c r="D1449" i="8"/>
  <c r="B1449" i="8"/>
  <c r="C1450" i="8"/>
  <c r="I1450" i="8"/>
  <c r="H1450" i="8" s="1"/>
  <c r="J1449" i="8"/>
  <c r="B1450" i="8" l="1"/>
  <c r="D1450" i="8"/>
  <c r="C1451" i="8"/>
  <c r="E1448" i="8"/>
  <c r="K1448" i="8"/>
  <c r="I1451" i="8"/>
  <c r="H1451" i="8" s="1"/>
  <c r="J1450" i="8"/>
  <c r="K1449" i="8" s="1"/>
  <c r="E1449" i="8" l="1"/>
  <c r="B1451" i="8"/>
  <c r="C1452" i="8"/>
  <c r="D1451" i="8"/>
  <c r="I1452" i="8"/>
  <c r="H1452" i="8" s="1"/>
  <c r="J1451" i="8"/>
  <c r="K1450" i="8" l="1"/>
  <c r="D1452" i="8"/>
  <c r="B1452" i="8"/>
  <c r="C1453" i="8"/>
  <c r="E1450" i="8"/>
  <c r="I1453" i="8"/>
  <c r="H1453" i="8" s="1"/>
  <c r="J1452" i="8"/>
  <c r="C1454" i="8" l="1"/>
  <c r="D1453" i="8"/>
  <c r="B1453" i="8"/>
  <c r="E1451" i="8"/>
  <c r="K1451" i="8"/>
  <c r="I1454" i="8"/>
  <c r="H1454" i="8" s="1"/>
  <c r="J1453" i="8"/>
  <c r="E1452" i="8" l="1"/>
  <c r="C1455" i="8"/>
  <c r="D1454" i="8"/>
  <c r="B1454" i="8"/>
  <c r="I1455" i="8"/>
  <c r="H1455" i="8" s="1"/>
  <c r="J1454" i="8"/>
  <c r="K1452" i="8"/>
  <c r="B1455" i="8" l="1"/>
  <c r="D1455" i="8"/>
  <c r="C1456" i="8"/>
  <c r="E1453" i="8"/>
  <c r="I1456" i="8"/>
  <c r="H1456" i="8" s="1"/>
  <c r="J1455" i="8"/>
  <c r="K1453" i="8"/>
  <c r="E1454" i="8" l="1"/>
  <c r="B1456" i="8"/>
  <c r="C1457" i="8"/>
  <c r="D1456" i="8"/>
  <c r="E1455" i="8" s="1"/>
  <c r="K1454" i="8"/>
  <c r="I1457" i="8"/>
  <c r="H1457" i="8" s="1"/>
  <c r="J1456" i="8"/>
  <c r="D1457" i="8" l="1"/>
  <c r="B1457" i="8"/>
  <c r="C1458" i="8"/>
  <c r="I1458" i="8"/>
  <c r="H1458" i="8" s="1"/>
  <c r="J1457" i="8"/>
  <c r="K1455" i="8"/>
  <c r="C1459" i="8" l="1"/>
  <c r="D1458" i="8"/>
  <c r="B1458" i="8"/>
  <c r="E1456" i="8"/>
  <c r="I1459" i="8"/>
  <c r="H1459" i="8" s="1"/>
  <c r="J1458" i="8"/>
  <c r="K1456" i="8"/>
  <c r="E1457" i="8" l="1"/>
  <c r="D1459" i="8"/>
  <c r="C1460" i="8"/>
  <c r="B1459" i="8"/>
  <c r="I1460" i="8"/>
  <c r="H1460" i="8" s="1"/>
  <c r="J1459" i="8"/>
  <c r="K1457" i="8"/>
  <c r="B1460" i="8" l="1"/>
  <c r="C1461" i="8"/>
  <c r="D1460" i="8"/>
  <c r="E1458" i="8"/>
  <c r="I1461" i="8"/>
  <c r="H1461" i="8" s="1"/>
  <c r="J1460" i="8"/>
  <c r="K1458" i="8"/>
  <c r="E1459" i="8" l="1"/>
  <c r="C1462" i="8"/>
  <c r="D1461" i="8"/>
  <c r="B1461" i="8"/>
  <c r="I1462" i="8"/>
  <c r="H1462" i="8" s="1"/>
  <c r="J1461" i="8"/>
  <c r="K1459" i="8"/>
  <c r="E1460" i="8" l="1"/>
  <c r="B1462" i="8"/>
  <c r="C1463" i="8"/>
  <c r="D1462" i="8"/>
  <c r="E1461" i="8" s="1"/>
  <c r="I1463" i="8"/>
  <c r="H1463" i="8" s="1"/>
  <c r="J1462" i="8"/>
  <c r="K1461" i="8" s="1"/>
  <c r="K1460" i="8"/>
  <c r="B1463" i="8" l="1"/>
  <c r="D1463" i="8"/>
  <c r="C1464" i="8"/>
  <c r="I1464" i="8"/>
  <c r="H1464" i="8" s="1"/>
  <c r="J1463" i="8"/>
  <c r="E1462" i="8" l="1"/>
  <c r="B1464" i="8"/>
  <c r="C1465" i="8"/>
  <c r="D1464" i="8"/>
  <c r="K1462" i="8"/>
  <c r="I1465" i="8"/>
  <c r="H1465" i="8" s="1"/>
  <c r="J1464" i="8"/>
  <c r="E1463" i="8" l="1"/>
  <c r="C1466" i="8"/>
  <c r="D1465" i="8"/>
  <c r="B1465" i="8"/>
  <c r="K1463" i="8"/>
  <c r="I1466" i="8"/>
  <c r="H1466" i="8" s="1"/>
  <c r="J1465" i="8"/>
  <c r="K1464" i="8" l="1"/>
  <c r="E1464" i="8"/>
  <c r="C1467" i="8"/>
  <c r="D1466" i="8"/>
  <c r="B1466" i="8"/>
  <c r="I1467" i="8"/>
  <c r="H1467" i="8" s="1"/>
  <c r="J1466" i="8"/>
  <c r="E1465" i="8" l="1"/>
  <c r="C1468" i="8"/>
  <c r="B1467" i="8"/>
  <c r="D1467" i="8"/>
  <c r="K1465" i="8"/>
  <c r="I1468" i="8"/>
  <c r="H1468" i="8" s="1"/>
  <c r="J1467" i="8"/>
  <c r="E1466" i="8" l="1"/>
  <c r="C1469" i="8"/>
  <c r="D1468" i="8"/>
  <c r="B1468" i="8"/>
  <c r="K1466" i="8"/>
  <c r="I1469" i="8"/>
  <c r="H1469" i="8" s="1"/>
  <c r="J1468" i="8"/>
  <c r="K1467" i="8" s="1"/>
  <c r="E1467" i="8" l="1"/>
  <c r="B1469" i="8"/>
  <c r="D1469" i="8"/>
  <c r="C1470" i="8"/>
  <c r="I1470" i="8"/>
  <c r="H1470" i="8" s="1"/>
  <c r="J1469" i="8"/>
  <c r="K1468" i="8" l="1"/>
  <c r="D1470" i="8"/>
  <c r="B1470" i="8"/>
  <c r="C1471" i="8"/>
  <c r="E1468" i="8"/>
  <c r="I1471" i="8"/>
  <c r="H1471" i="8" s="1"/>
  <c r="J1470" i="8"/>
  <c r="E1469" i="8" l="1"/>
  <c r="C1472" i="8"/>
  <c r="B1471" i="8"/>
  <c r="D1471" i="8"/>
  <c r="I1472" i="8"/>
  <c r="H1472" i="8" s="1"/>
  <c r="J1471" i="8"/>
  <c r="K1469" i="8"/>
  <c r="K1470" i="8" l="1"/>
  <c r="E1470" i="8"/>
  <c r="D1472" i="8"/>
  <c r="C1473" i="8"/>
  <c r="B1472" i="8"/>
  <c r="I1473" i="8"/>
  <c r="H1473" i="8" s="1"/>
  <c r="J1472" i="8"/>
  <c r="K1471" i="8" s="1"/>
  <c r="B1473" i="8" l="1"/>
  <c r="C1474" i="8"/>
  <c r="D1473" i="8"/>
  <c r="E1471" i="8"/>
  <c r="I1474" i="8"/>
  <c r="H1474" i="8" s="1"/>
  <c r="J1473" i="8"/>
  <c r="D1474" i="8" l="1"/>
  <c r="C1475" i="8"/>
  <c r="B1474" i="8"/>
  <c r="E1472" i="8"/>
  <c r="I1475" i="8"/>
  <c r="H1475" i="8" s="1"/>
  <c r="J1474" i="8"/>
  <c r="K1472" i="8"/>
  <c r="D1475" i="8" l="1"/>
  <c r="B1475" i="8"/>
  <c r="C1476" i="8"/>
  <c r="E1473" i="8"/>
  <c r="I1476" i="8"/>
  <c r="H1476" i="8" s="1"/>
  <c r="J1475" i="8"/>
  <c r="K1473" i="8"/>
  <c r="E1474" i="8" l="1"/>
  <c r="B1476" i="8"/>
  <c r="C1477" i="8"/>
  <c r="D1476" i="8"/>
  <c r="I1477" i="8"/>
  <c r="H1477" i="8" s="1"/>
  <c r="J1476" i="8"/>
  <c r="K1474" i="8"/>
  <c r="E1475" i="8" l="1"/>
  <c r="C1478" i="8"/>
  <c r="B1477" i="8"/>
  <c r="D1477" i="8"/>
  <c r="K1475" i="8"/>
  <c r="I1478" i="8"/>
  <c r="H1478" i="8" s="1"/>
  <c r="J1477" i="8"/>
  <c r="E1476" i="8" l="1"/>
  <c r="D1478" i="8"/>
  <c r="B1478" i="8"/>
  <c r="C1479" i="8"/>
  <c r="K1476" i="8"/>
  <c r="I1479" i="8"/>
  <c r="H1479" i="8" s="1"/>
  <c r="J1478" i="8"/>
  <c r="K1477" i="8" s="1"/>
  <c r="B1479" i="8" l="1"/>
  <c r="C1480" i="8"/>
  <c r="D1479" i="8"/>
  <c r="E1477" i="8"/>
  <c r="I1480" i="8"/>
  <c r="H1480" i="8" s="1"/>
  <c r="J1479" i="8"/>
  <c r="E1478" i="8" l="1"/>
  <c r="C1481" i="8"/>
  <c r="D1480" i="8"/>
  <c r="B1480" i="8"/>
  <c r="I1481" i="8"/>
  <c r="H1481" i="8" s="1"/>
  <c r="J1480" i="8"/>
  <c r="K1479" i="8" s="1"/>
  <c r="K1478" i="8"/>
  <c r="B1481" i="8" l="1"/>
  <c r="D1481" i="8"/>
  <c r="C1482" i="8"/>
  <c r="E1479" i="8"/>
  <c r="I1482" i="8"/>
  <c r="H1482" i="8" s="1"/>
  <c r="J1481" i="8"/>
  <c r="E1480" i="8" l="1"/>
  <c r="C1483" i="8"/>
  <c r="D1482" i="8"/>
  <c r="B1482" i="8"/>
  <c r="K1480" i="8"/>
  <c r="I1483" i="8"/>
  <c r="H1483" i="8" s="1"/>
  <c r="J1482" i="8"/>
  <c r="K1481" i="8" l="1"/>
  <c r="E1481" i="8"/>
  <c r="B1483" i="8"/>
  <c r="D1483" i="8"/>
  <c r="C1484" i="8"/>
  <c r="I1484" i="8"/>
  <c r="H1484" i="8" s="1"/>
  <c r="J1483" i="8"/>
  <c r="E1482" i="8" l="1"/>
  <c r="B1484" i="8"/>
  <c r="C1485" i="8"/>
  <c r="D1484" i="8"/>
  <c r="E1483" i="8" s="1"/>
  <c r="I1485" i="8"/>
  <c r="H1485" i="8" s="1"/>
  <c r="J1484" i="8"/>
  <c r="K1483" i="8" s="1"/>
  <c r="K1482" i="8"/>
  <c r="D1485" i="8" l="1"/>
  <c r="B1485" i="8"/>
  <c r="C1486" i="8"/>
  <c r="I1486" i="8"/>
  <c r="H1486" i="8" s="1"/>
  <c r="J1485" i="8"/>
  <c r="C1487" i="8" l="1"/>
  <c r="D1486" i="8"/>
  <c r="B1486" i="8"/>
  <c r="E1484" i="8"/>
  <c r="K1484" i="8"/>
  <c r="I1487" i="8"/>
  <c r="H1487" i="8" s="1"/>
  <c r="J1486" i="8"/>
  <c r="E1485" i="8" l="1"/>
  <c r="C1488" i="8"/>
  <c r="B1487" i="8"/>
  <c r="D1487" i="8"/>
  <c r="I1488" i="8"/>
  <c r="H1488" i="8" s="1"/>
  <c r="J1487" i="8"/>
  <c r="K1485" i="8"/>
  <c r="E1486" i="8" l="1"/>
  <c r="B1488" i="8"/>
  <c r="C1489" i="8"/>
  <c r="D1488" i="8"/>
  <c r="I1489" i="8"/>
  <c r="H1489" i="8" s="1"/>
  <c r="J1488" i="8"/>
  <c r="K1486" i="8"/>
  <c r="K1487" i="8" l="1"/>
  <c r="E1487" i="8"/>
  <c r="B1489" i="8"/>
  <c r="D1489" i="8"/>
  <c r="C1490" i="8"/>
  <c r="I1490" i="8"/>
  <c r="H1490" i="8" s="1"/>
  <c r="J1489" i="8"/>
  <c r="E1488" i="8" l="1"/>
  <c r="B1490" i="8"/>
  <c r="C1491" i="8"/>
  <c r="D1490" i="8"/>
  <c r="K1488" i="8"/>
  <c r="I1491" i="8"/>
  <c r="H1491" i="8" s="1"/>
  <c r="J1490" i="8"/>
  <c r="C1492" i="8" l="1"/>
  <c r="D1491" i="8"/>
  <c r="B1491" i="8"/>
  <c r="E1489" i="8"/>
  <c r="I1492" i="8"/>
  <c r="H1492" i="8" s="1"/>
  <c r="J1491" i="8"/>
  <c r="K1489" i="8"/>
  <c r="E1490" i="8" l="1"/>
  <c r="D1492" i="8"/>
  <c r="B1492" i="8"/>
  <c r="C1493" i="8"/>
  <c r="I1493" i="8"/>
  <c r="H1493" i="8" s="1"/>
  <c r="J1492" i="8"/>
  <c r="K1490" i="8"/>
  <c r="E1491" i="8" l="1"/>
  <c r="B1493" i="8"/>
  <c r="C1494" i="8"/>
  <c r="D1493" i="8"/>
  <c r="E1492" i="8" s="1"/>
  <c r="I1494" i="8"/>
  <c r="H1494" i="8" s="1"/>
  <c r="J1493" i="8"/>
  <c r="K1491" i="8"/>
  <c r="D1494" i="8" l="1"/>
  <c r="C1495" i="8"/>
  <c r="B1494" i="8"/>
  <c r="K1492" i="8"/>
  <c r="I1495" i="8"/>
  <c r="H1495" i="8" s="1"/>
  <c r="J1494" i="8"/>
  <c r="K1493" i="8" l="1"/>
  <c r="B1495" i="8"/>
  <c r="C1496" i="8"/>
  <c r="D1495" i="8"/>
  <c r="E1493" i="8"/>
  <c r="I1496" i="8"/>
  <c r="H1496" i="8" s="1"/>
  <c r="J1495" i="8"/>
  <c r="K1494" i="8" l="1"/>
  <c r="C1497" i="8"/>
  <c r="B1496" i="8"/>
  <c r="D1496" i="8"/>
  <c r="E1494" i="8"/>
  <c r="I1497" i="8"/>
  <c r="H1497" i="8" s="1"/>
  <c r="J1496" i="8"/>
  <c r="D1497" i="8" l="1"/>
  <c r="B1497" i="8"/>
  <c r="C1498" i="8"/>
  <c r="E1495" i="8"/>
  <c r="I1498" i="8"/>
  <c r="H1498" i="8" s="1"/>
  <c r="J1497" i="8"/>
  <c r="K1495" i="8"/>
  <c r="E1496" i="8" l="1"/>
  <c r="C1499" i="8"/>
  <c r="D1498" i="8"/>
  <c r="B1498" i="8"/>
  <c r="I1499" i="8"/>
  <c r="H1499" i="8" s="1"/>
  <c r="J1498" i="8"/>
  <c r="K1497" i="8" s="1"/>
  <c r="K1496" i="8"/>
  <c r="E1497" i="8" l="1"/>
  <c r="D1499" i="8"/>
  <c r="B1499" i="8"/>
  <c r="C1500" i="8"/>
  <c r="I1500" i="8"/>
  <c r="H1500" i="8" s="1"/>
  <c r="J1499" i="8"/>
  <c r="K1498" i="8" s="1"/>
  <c r="B1500" i="8" l="1"/>
  <c r="C1501" i="8"/>
  <c r="D1500" i="8"/>
  <c r="E1498" i="8"/>
  <c r="I1501" i="8"/>
  <c r="H1501" i="8" s="1"/>
  <c r="J1500" i="8"/>
  <c r="E1499" i="8" l="1"/>
  <c r="B1501" i="8"/>
  <c r="D1501" i="8"/>
  <c r="C1502" i="8"/>
  <c r="K1499" i="8"/>
  <c r="I1502" i="8"/>
  <c r="H1502" i="8" s="1"/>
  <c r="J1501" i="8"/>
  <c r="K1500" i="8" s="1"/>
  <c r="E1500" i="8" l="1"/>
  <c r="C1503" i="8"/>
  <c r="D1502" i="8"/>
  <c r="B1502" i="8"/>
  <c r="I1503" i="8"/>
  <c r="H1503" i="8" s="1"/>
  <c r="J1502" i="8"/>
  <c r="E1501" i="8" l="1"/>
  <c r="K1501" i="8"/>
  <c r="C1504" i="8"/>
  <c r="B1503" i="8"/>
  <c r="D1503" i="8"/>
  <c r="I1504" i="8"/>
  <c r="H1504" i="8" s="1"/>
  <c r="J1503" i="8"/>
  <c r="B1504" i="8" l="1"/>
  <c r="C1505" i="8"/>
  <c r="D1504" i="8"/>
  <c r="E1502" i="8"/>
  <c r="I1505" i="8"/>
  <c r="H1505" i="8" s="1"/>
  <c r="J1504" i="8"/>
  <c r="K1503" i="8" s="1"/>
  <c r="K1502" i="8"/>
  <c r="E1503" i="8" l="1"/>
  <c r="D1505" i="8"/>
  <c r="C1506" i="8"/>
  <c r="B1505" i="8"/>
  <c r="I1506" i="8"/>
  <c r="H1506" i="8" s="1"/>
  <c r="J1505" i="8"/>
  <c r="E1504" i="8" l="1"/>
  <c r="D1506" i="8"/>
  <c r="C1507" i="8"/>
  <c r="B1506" i="8"/>
  <c r="I1507" i="8"/>
  <c r="H1507" i="8" s="1"/>
  <c r="J1506" i="8"/>
  <c r="K1504" i="8"/>
  <c r="C1508" i="8" l="1"/>
  <c r="B1507" i="8"/>
  <c r="D1507" i="8"/>
  <c r="E1505" i="8"/>
  <c r="I1508" i="8"/>
  <c r="H1508" i="8" s="1"/>
  <c r="J1507" i="8"/>
  <c r="K1505" i="8"/>
  <c r="E1506" i="8" l="1"/>
  <c r="B1508" i="8"/>
  <c r="C1509" i="8"/>
  <c r="D1508" i="8"/>
  <c r="E1507" i="8" s="1"/>
  <c r="I1509" i="8"/>
  <c r="H1509" i="8" s="1"/>
  <c r="J1508" i="8"/>
  <c r="K1506" i="8"/>
  <c r="B1509" i="8" l="1"/>
  <c r="C1510" i="8"/>
  <c r="D1509" i="8"/>
  <c r="I1510" i="8"/>
  <c r="H1510" i="8" s="1"/>
  <c r="J1509" i="8"/>
  <c r="K1507" i="8"/>
  <c r="E1508" i="8" l="1"/>
  <c r="C1511" i="8"/>
  <c r="D1510" i="8"/>
  <c r="B1510" i="8"/>
  <c r="K1508" i="8"/>
  <c r="I1511" i="8"/>
  <c r="H1511" i="8" s="1"/>
  <c r="J1510" i="8"/>
  <c r="E1509" i="8" l="1"/>
  <c r="B1511" i="8"/>
  <c r="C1512" i="8"/>
  <c r="D1511" i="8"/>
  <c r="K1509" i="8"/>
  <c r="I1512" i="8"/>
  <c r="H1512" i="8" s="1"/>
  <c r="J1511" i="8"/>
  <c r="K1510" i="8" l="1"/>
  <c r="B1512" i="8"/>
  <c r="C1513" i="8"/>
  <c r="D1512" i="8"/>
  <c r="E1510" i="8"/>
  <c r="I1513" i="8"/>
  <c r="H1513" i="8" s="1"/>
  <c r="J1512" i="8"/>
  <c r="E1511" i="8" l="1"/>
  <c r="C1514" i="8"/>
  <c r="B1513" i="8"/>
  <c r="D1513" i="8"/>
  <c r="I1514" i="8"/>
  <c r="H1514" i="8" s="1"/>
  <c r="J1513" i="8"/>
  <c r="K1511" i="8"/>
  <c r="C1515" i="8" l="1"/>
  <c r="D1514" i="8"/>
  <c r="B1514" i="8"/>
  <c r="E1512" i="8"/>
  <c r="I1515" i="8"/>
  <c r="H1515" i="8" s="1"/>
  <c r="J1514" i="8"/>
  <c r="K1512" i="8"/>
  <c r="D1515" i="8" l="1"/>
  <c r="C1516" i="8"/>
  <c r="B1515" i="8"/>
  <c r="E1513" i="8"/>
  <c r="I1516" i="8"/>
  <c r="H1516" i="8" s="1"/>
  <c r="J1515" i="8"/>
  <c r="K1514" i="8" s="1"/>
  <c r="K1513" i="8"/>
  <c r="E1514" i="8" l="1"/>
  <c r="D1516" i="8"/>
  <c r="B1516" i="8"/>
  <c r="C1517" i="8"/>
  <c r="I1517" i="8"/>
  <c r="H1517" i="8" s="1"/>
  <c r="J1516" i="8"/>
  <c r="E1515" i="8" l="1"/>
  <c r="C1518" i="8"/>
  <c r="B1517" i="8"/>
  <c r="D1517" i="8"/>
  <c r="I1518" i="8"/>
  <c r="H1518" i="8" s="1"/>
  <c r="J1517" i="8"/>
  <c r="K1515" i="8"/>
  <c r="E1516" i="8" l="1"/>
  <c r="C1519" i="8"/>
  <c r="D1518" i="8"/>
  <c r="B1518" i="8"/>
  <c r="K1516" i="8"/>
  <c r="I1519" i="8"/>
  <c r="H1519" i="8" s="1"/>
  <c r="J1518" i="8"/>
  <c r="B1519" i="8" l="1"/>
  <c r="D1519" i="8"/>
  <c r="C1520" i="8"/>
  <c r="E1517" i="8"/>
  <c r="I1520" i="8"/>
  <c r="H1520" i="8" s="1"/>
  <c r="J1519" i="8"/>
  <c r="K1517" i="8"/>
  <c r="K1518" i="8" l="1"/>
  <c r="E1518" i="8"/>
  <c r="B1520" i="8"/>
  <c r="C1521" i="8"/>
  <c r="D1520" i="8"/>
  <c r="I1521" i="8"/>
  <c r="H1521" i="8" s="1"/>
  <c r="J1520" i="8"/>
  <c r="E1519" i="8" l="1"/>
  <c r="B1521" i="8"/>
  <c r="C1522" i="8"/>
  <c r="D1521" i="8"/>
  <c r="K1519" i="8"/>
  <c r="I1522" i="8"/>
  <c r="H1522" i="8" s="1"/>
  <c r="J1521" i="8"/>
  <c r="B1522" i="8" l="1"/>
  <c r="D1522" i="8"/>
  <c r="C1523" i="8"/>
  <c r="E1520" i="8"/>
  <c r="I1523" i="8"/>
  <c r="H1523" i="8" s="1"/>
  <c r="J1522" i="8"/>
  <c r="K1520" i="8"/>
  <c r="E1521" i="8" l="1"/>
  <c r="D1523" i="8"/>
  <c r="C1524" i="8"/>
  <c r="B1523" i="8"/>
  <c r="I1524" i="8"/>
  <c r="H1524" i="8" s="1"/>
  <c r="J1523" i="8"/>
  <c r="K1521" i="8"/>
  <c r="C1525" i="8" l="1"/>
  <c r="D1524" i="8"/>
  <c r="B1524" i="8"/>
  <c r="E1522" i="8"/>
  <c r="I1525" i="8"/>
  <c r="H1525" i="8" s="1"/>
  <c r="J1524" i="8"/>
  <c r="K1523" i="8" s="1"/>
  <c r="K1522" i="8"/>
  <c r="E1523" i="8" l="1"/>
  <c r="D1525" i="8"/>
  <c r="C1526" i="8"/>
  <c r="B1525" i="8"/>
  <c r="I1526" i="8"/>
  <c r="H1526" i="8" s="1"/>
  <c r="J1525" i="8"/>
  <c r="E1524" i="8" l="1"/>
  <c r="C1527" i="8"/>
  <c r="B1526" i="8"/>
  <c r="D1526" i="8"/>
  <c r="I1527" i="8"/>
  <c r="H1527" i="8" s="1"/>
  <c r="J1526" i="8"/>
  <c r="K1524" i="8"/>
  <c r="E1525" i="8" l="1"/>
  <c r="K1525" i="8"/>
  <c r="C1528" i="8"/>
  <c r="D1527" i="8"/>
  <c r="B1527" i="8"/>
  <c r="I1528" i="8"/>
  <c r="H1528" i="8" s="1"/>
  <c r="J1527" i="8"/>
  <c r="K1526" i="8" s="1"/>
  <c r="B1528" i="8" l="1"/>
  <c r="C1529" i="8"/>
  <c r="D1528" i="8"/>
  <c r="E1526" i="8"/>
  <c r="I1529" i="8"/>
  <c r="H1529" i="8" s="1"/>
  <c r="J1528" i="8"/>
  <c r="E1527" i="8" l="1"/>
  <c r="B1529" i="8"/>
  <c r="C1530" i="8"/>
  <c r="D1529" i="8"/>
  <c r="I1530" i="8"/>
  <c r="H1530" i="8" s="1"/>
  <c r="J1529" i="8"/>
  <c r="K1528" i="8" s="1"/>
  <c r="K1527" i="8"/>
  <c r="E1528" i="8" l="1"/>
  <c r="B1530" i="8"/>
  <c r="D1530" i="8"/>
  <c r="C1531" i="8"/>
  <c r="I1531" i="8"/>
  <c r="H1531" i="8" s="1"/>
  <c r="J1530" i="8"/>
  <c r="B1531" i="8" l="1"/>
  <c r="C1532" i="8"/>
  <c r="D1531" i="8"/>
  <c r="E1529" i="8"/>
  <c r="K1529" i="8"/>
  <c r="I1532" i="8"/>
  <c r="H1532" i="8" s="1"/>
  <c r="J1531" i="8"/>
  <c r="E1530" i="8" l="1"/>
  <c r="D1532" i="8"/>
  <c r="C1533" i="8"/>
  <c r="B1532" i="8"/>
  <c r="I1533" i="8"/>
  <c r="H1533" i="8" s="1"/>
  <c r="J1532" i="8"/>
  <c r="K1530" i="8"/>
  <c r="D1533" i="8" l="1"/>
  <c r="B1533" i="8"/>
  <c r="C1534" i="8"/>
  <c r="E1531" i="8"/>
  <c r="I1534" i="8"/>
  <c r="H1534" i="8" s="1"/>
  <c r="J1533" i="8"/>
  <c r="K1531" i="8"/>
  <c r="E1532" i="8" l="1"/>
  <c r="C1535" i="8"/>
  <c r="B1534" i="8"/>
  <c r="D1534" i="8"/>
  <c r="I1535" i="8"/>
  <c r="H1535" i="8" s="1"/>
  <c r="J1534" i="8"/>
  <c r="K1532" i="8"/>
  <c r="E1533" i="8" l="1"/>
  <c r="D1535" i="8"/>
  <c r="C1536" i="8"/>
  <c r="B1535" i="8"/>
  <c r="I1536" i="8"/>
  <c r="H1536" i="8" s="1"/>
  <c r="J1535" i="8"/>
  <c r="K1533" i="8"/>
  <c r="D1536" i="8" l="1"/>
  <c r="B1536" i="8"/>
  <c r="C1537" i="8"/>
  <c r="E1534" i="8"/>
  <c r="I1537" i="8"/>
  <c r="H1537" i="8" s="1"/>
  <c r="J1536" i="8"/>
  <c r="K1534" i="8"/>
  <c r="E1535" i="8" l="1"/>
  <c r="B1537" i="8"/>
  <c r="C1538" i="8"/>
  <c r="D1537" i="8"/>
  <c r="E1536" i="8" s="1"/>
  <c r="I1538" i="8"/>
  <c r="H1538" i="8" s="1"/>
  <c r="J1537" i="8"/>
  <c r="K1536" i="8" s="1"/>
  <c r="K1535" i="8"/>
  <c r="C1539" i="8" l="1"/>
  <c r="B1538" i="8"/>
  <c r="D1538" i="8"/>
  <c r="E1537" i="8" s="1"/>
  <c r="I1539" i="8"/>
  <c r="H1539" i="8" s="1"/>
  <c r="J1538" i="8"/>
  <c r="C1540" i="8" l="1"/>
  <c r="D1539" i="8"/>
  <c r="B1539" i="8"/>
  <c r="K1537" i="8"/>
  <c r="I1540" i="8"/>
  <c r="H1540" i="8" s="1"/>
  <c r="J1539" i="8"/>
  <c r="E1538" i="8" l="1"/>
  <c r="C1541" i="8"/>
  <c r="B1540" i="8"/>
  <c r="D1540" i="8"/>
  <c r="I1541" i="8"/>
  <c r="H1541" i="8" s="1"/>
  <c r="J1540" i="8"/>
  <c r="K1539" i="8" s="1"/>
  <c r="K1538" i="8"/>
  <c r="E1539" i="8" l="1"/>
  <c r="C1542" i="8"/>
  <c r="D1541" i="8"/>
  <c r="B1541" i="8"/>
  <c r="I1542" i="8"/>
  <c r="H1542" i="8" s="1"/>
  <c r="J1541" i="8"/>
  <c r="K1540" i="8" s="1"/>
  <c r="E1540" i="8" l="1"/>
  <c r="C1543" i="8"/>
  <c r="D1542" i="8"/>
  <c r="B1542" i="8"/>
  <c r="I1543" i="8"/>
  <c r="H1543" i="8" s="1"/>
  <c r="J1542" i="8"/>
  <c r="E1541" i="8" l="1"/>
  <c r="C1544" i="8"/>
  <c r="B1543" i="8"/>
  <c r="D1543" i="8"/>
  <c r="K1541" i="8"/>
  <c r="I1544" i="8"/>
  <c r="H1544" i="8" s="1"/>
  <c r="J1543" i="8"/>
  <c r="E1542" i="8" l="1"/>
  <c r="D1544" i="8"/>
  <c r="C1545" i="8"/>
  <c r="B1544" i="8"/>
  <c r="K1542" i="8"/>
  <c r="I1545" i="8"/>
  <c r="H1545" i="8" s="1"/>
  <c r="J1544" i="8"/>
  <c r="D1545" i="8" l="1"/>
  <c r="C1546" i="8"/>
  <c r="B1545" i="8"/>
  <c r="E1543" i="8"/>
  <c r="I1546" i="8"/>
  <c r="H1546" i="8" s="1"/>
  <c r="J1545" i="8"/>
  <c r="K1543" i="8"/>
  <c r="C1547" i="8" l="1"/>
  <c r="B1546" i="8"/>
  <c r="D1546" i="8"/>
  <c r="E1544" i="8"/>
  <c r="I1547" i="8"/>
  <c r="H1547" i="8" s="1"/>
  <c r="J1546" i="8"/>
  <c r="K1545" i="8" s="1"/>
  <c r="K1544" i="8"/>
  <c r="E1545" i="8" l="1"/>
  <c r="C1548" i="8"/>
  <c r="D1547" i="8"/>
  <c r="B1547" i="8"/>
  <c r="I1548" i="8"/>
  <c r="H1548" i="8" s="1"/>
  <c r="J1547" i="8"/>
  <c r="E1546" i="8" l="1"/>
  <c r="D1548" i="8"/>
  <c r="B1548" i="8"/>
  <c r="C1549" i="8"/>
  <c r="K1546" i="8"/>
  <c r="I1549" i="8"/>
  <c r="H1549" i="8" s="1"/>
  <c r="J1548" i="8"/>
  <c r="E1547" i="8" l="1"/>
  <c r="B1549" i="8"/>
  <c r="C1550" i="8"/>
  <c r="D1549" i="8"/>
  <c r="I1550" i="8"/>
  <c r="H1550" i="8" s="1"/>
  <c r="J1549" i="8"/>
  <c r="K1548" i="8" s="1"/>
  <c r="K1547" i="8"/>
  <c r="B1550" i="8" l="1"/>
  <c r="D1550" i="8"/>
  <c r="C1551" i="8"/>
  <c r="E1548" i="8"/>
  <c r="I1551" i="8"/>
  <c r="H1551" i="8" s="1"/>
  <c r="J1550" i="8"/>
  <c r="K1549" i="8" s="1"/>
  <c r="E1549" i="8" l="1"/>
  <c r="D1551" i="8"/>
  <c r="B1551" i="8"/>
  <c r="C1552" i="8"/>
  <c r="I1552" i="8"/>
  <c r="H1552" i="8" s="1"/>
  <c r="J1551" i="8"/>
  <c r="K1550" i="8" l="1"/>
  <c r="D1552" i="8"/>
  <c r="B1552" i="8"/>
  <c r="C1553" i="8"/>
  <c r="E1550" i="8"/>
  <c r="I1553" i="8"/>
  <c r="H1553" i="8" s="1"/>
  <c r="J1552" i="8"/>
  <c r="E1551" i="8" l="1"/>
  <c r="K1551" i="8"/>
  <c r="C1554" i="8"/>
  <c r="D1553" i="8"/>
  <c r="B1553" i="8"/>
  <c r="I1554" i="8"/>
  <c r="H1554" i="8" s="1"/>
  <c r="J1553" i="8"/>
  <c r="E1552" i="8" l="1"/>
  <c r="K1552" i="8"/>
  <c r="B1554" i="8"/>
  <c r="C1555" i="8"/>
  <c r="D1554" i="8"/>
  <c r="I1555" i="8"/>
  <c r="H1555" i="8" s="1"/>
  <c r="J1554" i="8"/>
  <c r="K1553" i="8" l="1"/>
  <c r="D1555" i="8"/>
  <c r="C1556" i="8"/>
  <c r="B1555" i="8"/>
  <c r="E1553" i="8"/>
  <c r="I1556" i="8"/>
  <c r="H1556" i="8" s="1"/>
  <c r="J1555" i="8"/>
  <c r="E1554" i="8" l="1"/>
  <c r="B1556" i="8"/>
  <c r="D1556" i="8"/>
  <c r="C1557" i="8"/>
  <c r="I1557" i="8"/>
  <c r="H1557" i="8" s="1"/>
  <c r="J1556" i="8"/>
  <c r="K1554" i="8"/>
  <c r="E1555" i="8" l="1"/>
  <c r="C1558" i="8"/>
  <c r="D1557" i="8"/>
  <c r="B1557" i="8"/>
  <c r="I1558" i="8"/>
  <c r="H1558" i="8" s="1"/>
  <c r="J1557" i="8"/>
  <c r="K1555" i="8"/>
  <c r="C1559" i="8" l="1"/>
  <c r="B1558" i="8"/>
  <c r="D1558" i="8"/>
  <c r="K1556" i="8"/>
  <c r="E1556" i="8"/>
  <c r="I1559" i="8"/>
  <c r="H1559" i="8" s="1"/>
  <c r="J1558" i="8"/>
  <c r="B1559" i="8" l="1"/>
  <c r="C1560" i="8"/>
  <c r="D1559" i="8"/>
  <c r="E1557" i="8"/>
  <c r="K1557" i="8"/>
  <c r="I1560" i="8"/>
  <c r="H1560" i="8" s="1"/>
  <c r="J1559" i="8"/>
  <c r="E1558" i="8" l="1"/>
  <c r="B1560" i="8"/>
  <c r="C1561" i="8"/>
  <c r="D1560" i="8"/>
  <c r="K1558" i="8"/>
  <c r="I1561" i="8"/>
  <c r="H1561" i="8" s="1"/>
  <c r="J1560" i="8"/>
  <c r="K1559" i="8" l="1"/>
  <c r="B1561" i="8"/>
  <c r="D1561" i="8"/>
  <c r="C1562" i="8"/>
  <c r="E1559" i="8"/>
  <c r="I1562" i="8"/>
  <c r="H1562" i="8" s="1"/>
  <c r="J1561" i="8"/>
  <c r="K1560" i="8" l="1"/>
  <c r="D1562" i="8"/>
  <c r="B1562" i="8"/>
  <c r="C1563" i="8"/>
  <c r="E1560" i="8"/>
  <c r="I1563" i="8"/>
  <c r="H1563" i="8" s="1"/>
  <c r="J1562" i="8"/>
  <c r="B1563" i="8" l="1"/>
  <c r="C1564" i="8"/>
  <c r="D1563" i="8"/>
  <c r="E1561" i="8"/>
  <c r="I1564" i="8"/>
  <c r="H1564" i="8" s="1"/>
  <c r="J1563" i="8"/>
  <c r="K1562" i="8" s="1"/>
  <c r="K1561" i="8"/>
  <c r="B1564" i="8" l="1"/>
  <c r="C1565" i="8"/>
  <c r="D1564" i="8"/>
  <c r="E1562" i="8"/>
  <c r="I1565" i="8"/>
  <c r="H1565" i="8" s="1"/>
  <c r="J1564" i="8"/>
  <c r="E1563" i="8" l="1"/>
  <c r="B1565" i="8"/>
  <c r="D1565" i="8"/>
  <c r="C1566" i="8"/>
  <c r="K1563" i="8"/>
  <c r="I1566" i="8"/>
  <c r="H1566" i="8" s="1"/>
  <c r="J1565" i="8"/>
  <c r="K1564" i="8" s="1"/>
  <c r="D1566" i="8" l="1"/>
  <c r="B1566" i="8"/>
  <c r="C1567" i="8"/>
  <c r="E1564" i="8"/>
  <c r="I1567" i="8"/>
  <c r="H1567" i="8" s="1"/>
  <c r="J1566" i="8"/>
  <c r="E1565" i="8" l="1"/>
  <c r="B1567" i="8"/>
  <c r="C1568" i="8"/>
  <c r="D1567" i="8"/>
  <c r="E1566" i="8" s="1"/>
  <c r="I1568" i="8"/>
  <c r="H1568" i="8" s="1"/>
  <c r="J1567" i="8"/>
  <c r="K1565" i="8"/>
  <c r="C1569" i="8" l="1"/>
  <c r="D1568" i="8"/>
  <c r="B1568" i="8"/>
  <c r="K1566" i="8"/>
  <c r="I1569" i="8"/>
  <c r="H1569" i="8" s="1"/>
  <c r="J1568" i="8"/>
  <c r="C1570" i="8" l="1"/>
  <c r="D1569" i="8"/>
  <c r="B1569" i="8"/>
  <c r="E1567" i="8"/>
  <c r="I1570" i="8"/>
  <c r="H1570" i="8" s="1"/>
  <c r="J1569" i="8"/>
  <c r="K1567" i="8"/>
  <c r="B1570" i="8" l="1"/>
  <c r="C1571" i="8"/>
  <c r="D1570" i="8"/>
  <c r="E1568" i="8"/>
  <c r="K1568" i="8"/>
  <c r="I1571" i="8"/>
  <c r="H1571" i="8" s="1"/>
  <c r="J1570" i="8"/>
  <c r="D1571" i="8" l="1"/>
  <c r="C1572" i="8"/>
  <c r="B1571" i="8"/>
  <c r="E1569" i="8"/>
  <c r="I1572" i="8"/>
  <c r="H1572" i="8" s="1"/>
  <c r="J1571" i="8"/>
  <c r="K1569" i="8"/>
  <c r="E1570" i="8" l="1"/>
  <c r="B1572" i="8"/>
  <c r="D1572" i="8"/>
  <c r="C1573" i="8"/>
  <c r="I1573" i="8"/>
  <c r="H1573" i="8" s="1"/>
  <c r="J1572" i="8"/>
  <c r="K1571" i="8" s="1"/>
  <c r="K1570" i="8"/>
  <c r="E1571" i="8" l="1"/>
  <c r="C1574" i="8"/>
  <c r="B1573" i="8"/>
  <c r="D1573" i="8"/>
  <c r="I1574" i="8"/>
  <c r="H1574" i="8" s="1"/>
  <c r="J1573" i="8"/>
  <c r="E1572" i="8" l="1"/>
  <c r="B1574" i="8"/>
  <c r="C1575" i="8"/>
  <c r="D1574" i="8"/>
  <c r="K1572" i="8"/>
  <c r="I1575" i="8"/>
  <c r="H1575" i="8" s="1"/>
  <c r="J1574" i="8"/>
  <c r="K1573" i="8" s="1"/>
  <c r="E1573" i="8" l="1"/>
  <c r="B1575" i="8"/>
  <c r="D1575" i="8"/>
  <c r="C1576" i="8"/>
  <c r="I1576" i="8"/>
  <c r="H1576" i="8" s="1"/>
  <c r="J1575" i="8"/>
  <c r="K1574" i="8" s="1"/>
  <c r="E1574" i="8" l="1"/>
  <c r="D1576" i="8"/>
  <c r="C1577" i="8"/>
  <c r="B1576" i="8"/>
  <c r="I1577" i="8"/>
  <c r="H1577" i="8" s="1"/>
  <c r="J1576" i="8"/>
  <c r="B1577" i="8" l="1"/>
  <c r="D1577" i="8"/>
  <c r="C1578" i="8"/>
  <c r="E1575" i="8"/>
  <c r="I1578" i="8"/>
  <c r="H1578" i="8" s="1"/>
  <c r="J1577" i="8"/>
  <c r="K1576" i="8" s="1"/>
  <c r="K1575" i="8"/>
  <c r="C1579" i="8" l="1"/>
  <c r="D1578" i="8"/>
  <c r="B1578" i="8"/>
  <c r="E1576" i="8"/>
  <c r="I1579" i="8"/>
  <c r="H1579" i="8" s="1"/>
  <c r="J1578" i="8"/>
  <c r="E1577" i="8" l="1"/>
  <c r="C1580" i="8"/>
  <c r="B1579" i="8"/>
  <c r="D1579" i="8"/>
  <c r="I1580" i="8"/>
  <c r="H1580" i="8" s="1"/>
  <c r="J1579" i="8"/>
  <c r="K1577" i="8"/>
  <c r="C1581" i="8" l="1"/>
  <c r="D1580" i="8"/>
  <c r="B1580" i="8"/>
  <c r="E1578" i="8"/>
  <c r="I1581" i="8"/>
  <c r="H1581" i="8" s="1"/>
  <c r="J1580" i="8"/>
  <c r="K1579" i="8" s="1"/>
  <c r="K1578" i="8"/>
  <c r="C1582" i="8" l="1"/>
  <c r="B1581" i="8"/>
  <c r="D1581" i="8"/>
  <c r="E1579" i="8"/>
  <c r="I1582" i="8"/>
  <c r="H1582" i="8" s="1"/>
  <c r="J1581" i="8"/>
  <c r="E1580" i="8" l="1"/>
  <c r="K1580" i="8"/>
  <c r="B1582" i="8"/>
  <c r="D1582" i="8"/>
  <c r="C1583" i="8"/>
  <c r="I1583" i="8"/>
  <c r="H1583" i="8" s="1"/>
  <c r="J1582" i="8"/>
  <c r="K1581" i="8" s="1"/>
  <c r="C1584" i="8" l="1"/>
  <c r="D1583" i="8"/>
  <c r="B1583" i="8"/>
  <c r="E1581" i="8"/>
  <c r="I1584" i="8"/>
  <c r="H1584" i="8" s="1"/>
  <c r="J1583" i="8"/>
  <c r="E1582" i="8" l="1"/>
  <c r="B1584" i="8"/>
  <c r="C1585" i="8"/>
  <c r="D1584" i="8"/>
  <c r="I1585" i="8"/>
  <c r="H1585" i="8" s="1"/>
  <c r="J1584" i="8"/>
  <c r="K1582" i="8"/>
  <c r="C1586" i="8" l="1"/>
  <c r="B1585" i="8"/>
  <c r="D1585" i="8"/>
  <c r="E1583" i="8"/>
  <c r="I1586" i="8"/>
  <c r="H1586" i="8" s="1"/>
  <c r="J1585" i="8"/>
  <c r="K1584" i="8" s="1"/>
  <c r="K1583" i="8"/>
  <c r="E1584" i="8" l="1"/>
  <c r="C1587" i="8"/>
  <c r="D1586" i="8"/>
  <c r="B1586" i="8"/>
  <c r="I1587" i="8"/>
  <c r="H1587" i="8" s="1"/>
  <c r="J1586" i="8"/>
  <c r="K1585" i="8" s="1"/>
  <c r="E1585" i="8" l="1"/>
  <c r="D1587" i="8"/>
  <c r="B1587" i="8"/>
  <c r="C1588" i="8"/>
  <c r="I1588" i="8"/>
  <c r="H1588" i="8" s="1"/>
  <c r="J1587" i="8"/>
  <c r="E1586" i="8" l="1"/>
  <c r="B1588" i="8"/>
  <c r="C1589" i="8"/>
  <c r="D1588" i="8"/>
  <c r="I1589" i="8"/>
  <c r="H1589" i="8" s="1"/>
  <c r="J1588" i="8"/>
  <c r="K1586" i="8"/>
  <c r="B1589" i="8" l="1"/>
  <c r="C1590" i="8"/>
  <c r="D1589" i="8"/>
  <c r="E1587" i="8"/>
  <c r="I1590" i="8"/>
  <c r="H1590" i="8" s="1"/>
  <c r="J1589" i="8"/>
  <c r="K1587" i="8"/>
  <c r="D1590" i="8" l="1"/>
  <c r="C1591" i="8"/>
  <c r="B1590" i="8"/>
  <c r="E1588" i="8"/>
  <c r="I1591" i="8"/>
  <c r="H1591" i="8" s="1"/>
  <c r="J1590" i="8"/>
  <c r="K1588" i="8"/>
  <c r="E1589" i="8" l="1"/>
  <c r="C1592" i="8"/>
  <c r="D1591" i="8"/>
  <c r="B1591" i="8"/>
  <c r="K1589" i="8"/>
  <c r="I1592" i="8"/>
  <c r="H1592" i="8" s="1"/>
  <c r="J1591" i="8"/>
  <c r="E1590" i="8" l="1"/>
  <c r="D1592" i="8"/>
  <c r="B1592" i="8"/>
  <c r="C1593" i="8"/>
  <c r="I1593" i="8"/>
  <c r="H1593" i="8" s="1"/>
  <c r="J1592" i="8"/>
  <c r="K1590" i="8"/>
  <c r="C1594" i="8" l="1"/>
  <c r="B1593" i="8"/>
  <c r="D1593" i="8"/>
  <c r="E1591" i="8"/>
  <c r="I1594" i="8"/>
  <c r="H1594" i="8" s="1"/>
  <c r="J1593" i="8"/>
  <c r="K1591" i="8"/>
  <c r="E1592" i="8" l="1"/>
  <c r="B1594" i="8"/>
  <c r="C1595" i="8"/>
  <c r="D1594" i="8"/>
  <c r="I1595" i="8"/>
  <c r="H1595" i="8" s="1"/>
  <c r="J1594" i="8"/>
  <c r="K1592" i="8"/>
  <c r="B1595" i="8" l="1"/>
  <c r="C1596" i="8"/>
  <c r="D1595" i="8"/>
  <c r="E1593" i="8"/>
  <c r="I1596" i="8"/>
  <c r="H1596" i="8" s="1"/>
  <c r="J1595" i="8"/>
  <c r="K1593" i="8"/>
  <c r="E1594" i="8" l="1"/>
  <c r="B1596" i="8"/>
  <c r="D1596" i="8"/>
  <c r="C1597" i="8"/>
  <c r="I1597" i="8"/>
  <c r="H1597" i="8" s="1"/>
  <c r="J1596" i="8"/>
  <c r="K1594" i="8"/>
  <c r="E1595" i="8" l="1"/>
  <c r="B1597" i="8"/>
  <c r="D1597" i="8"/>
  <c r="C1598" i="8"/>
  <c r="K1595" i="8"/>
  <c r="I1598" i="8"/>
  <c r="H1598" i="8" s="1"/>
  <c r="J1597" i="8"/>
  <c r="D1598" i="8" l="1"/>
  <c r="B1598" i="8"/>
  <c r="C1599" i="8"/>
  <c r="E1596" i="8"/>
  <c r="I1599" i="8"/>
  <c r="H1599" i="8" s="1"/>
  <c r="J1598" i="8"/>
  <c r="K1597" i="8" s="1"/>
  <c r="K1596" i="8"/>
  <c r="E1597" i="8" l="1"/>
  <c r="D1599" i="8"/>
  <c r="B1599" i="8"/>
  <c r="C1600" i="8"/>
  <c r="I1600" i="8"/>
  <c r="H1600" i="8" s="1"/>
  <c r="J1599" i="8"/>
  <c r="K1598" i="8" l="1"/>
  <c r="E1598" i="8"/>
  <c r="C1601" i="8"/>
  <c r="D1600" i="8"/>
  <c r="B1600" i="8"/>
  <c r="I1601" i="8"/>
  <c r="H1601" i="8" s="1"/>
  <c r="J1600" i="8"/>
  <c r="K1599" i="8" s="1"/>
  <c r="E1599" i="8" l="1"/>
  <c r="B1601" i="8"/>
  <c r="D1601" i="8"/>
  <c r="C1602" i="8"/>
  <c r="I1602" i="8"/>
  <c r="H1602" i="8" s="1"/>
  <c r="J1601" i="8"/>
  <c r="K1600" i="8" s="1"/>
  <c r="E1600" i="8" l="1"/>
  <c r="B1602" i="8"/>
  <c r="D1602" i="8"/>
  <c r="C1603" i="8"/>
  <c r="I1603" i="8"/>
  <c r="H1603" i="8" s="1"/>
  <c r="J1602" i="8"/>
  <c r="E1601" i="8" l="1"/>
  <c r="B1603" i="8"/>
  <c r="C1604" i="8"/>
  <c r="D1603" i="8"/>
  <c r="I1604" i="8"/>
  <c r="H1604" i="8" s="1"/>
  <c r="J1603" i="8"/>
  <c r="K1602" i="8" s="1"/>
  <c r="K1601" i="8"/>
  <c r="E1602" i="8" l="1"/>
  <c r="D1604" i="8"/>
  <c r="C1605" i="8"/>
  <c r="B1604" i="8"/>
  <c r="I1605" i="8"/>
  <c r="H1605" i="8" s="1"/>
  <c r="J1604" i="8"/>
  <c r="E1603" i="8" l="1"/>
  <c r="B1605" i="8"/>
  <c r="D1605" i="8"/>
  <c r="C1606" i="8"/>
  <c r="I1606" i="8"/>
  <c r="H1606" i="8" s="1"/>
  <c r="J1605" i="8"/>
  <c r="K1604" i="8" s="1"/>
  <c r="K1603" i="8"/>
  <c r="B1606" i="8" l="1"/>
  <c r="C1607" i="8"/>
  <c r="D1606" i="8"/>
  <c r="E1604" i="8"/>
  <c r="I1607" i="8"/>
  <c r="H1607" i="8" s="1"/>
  <c r="J1606" i="8"/>
  <c r="K1605" i="8" s="1"/>
  <c r="D1607" i="8" l="1"/>
  <c r="B1607" i="8"/>
  <c r="C1608" i="8"/>
  <c r="E1605" i="8"/>
  <c r="I1608" i="8"/>
  <c r="H1608" i="8" s="1"/>
  <c r="J1607" i="8"/>
  <c r="E1606" i="8" l="1"/>
  <c r="C1609" i="8"/>
  <c r="D1608" i="8"/>
  <c r="B1608" i="8"/>
  <c r="I1609" i="8"/>
  <c r="H1609" i="8" s="1"/>
  <c r="J1608" i="8"/>
  <c r="K1606" i="8"/>
  <c r="K1607" i="8" l="1"/>
  <c r="E1607" i="8"/>
  <c r="D1609" i="8"/>
  <c r="B1609" i="8"/>
  <c r="C1610" i="8"/>
  <c r="I1610" i="8"/>
  <c r="H1610" i="8" s="1"/>
  <c r="J1609" i="8"/>
  <c r="K1608" i="8" s="1"/>
  <c r="E1608" i="8" l="1"/>
  <c r="D1610" i="8"/>
  <c r="B1610" i="8"/>
  <c r="C1611" i="8"/>
  <c r="I1611" i="8"/>
  <c r="H1611" i="8" s="1"/>
  <c r="J1610" i="8"/>
  <c r="K1609" i="8" s="1"/>
  <c r="E1609" i="8" l="1"/>
  <c r="B1611" i="8"/>
  <c r="C1612" i="8"/>
  <c r="D1611" i="8"/>
  <c r="I1612" i="8"/>
  <c r="H1612" i="8" s="1"/>
  <c r="J1611" i="8"/>
  <c r="C1613" i="8" l="1"/>
  <c r="D1612" i="8"/>
  <c r="B1612" i="8"/>
  <c r="E1610" i="8"/>
  <c r="I1613" i="8"/>
  <c r="H1613" i="8" s="1"/>
  <c r="J1612" i="8"/>
  <c r="K1610" i="8"/>
  <c r="E1611" i="8" l="1"/>
  <c r="C1614" i="8"/>
  <c r="B1613" i="8"/>
  <c r="D1613" i="8"/>
  <c r="K1611" i="8"/>
  <c r="I1614" i="8"/>
  <c r="H1614" i="8" s="1"/>
  <c r="J1613" i="8"/>
  <c r="E1612" i="8" l="1"/>
  <c r="K1612" i="8"/>
  <c r="D1614" i="8"/>
  <c r="C1615" i="8"/>
  <c r="B1614" i="8"/>
  <c r="I1615" i="8"/>
  <c r="H1615" i="8" s="1"/>
  <c r="J1614" i="8"/>
  <c r="C1616" i="8" l="1"/>
  <c r="B1615" i="8"/>
  <c r="D1615" i="8"/>
  <c r="E1613" i="8"/>
  <c r="K1613" i="8"/>
  <c r="I1616" i="8"/>
  <c r="H1616" i="8" s="1"/>
  <c r="J1615" i="8"/>
  <c r="E1614" i="8" l="1"/>
  <c r="B1616" i="8"/>
  <c r="C1617" i="8"/>
  <c r="D1616" i="8"/>
  <c r="K1614" i="8"/>
  <c r="I1617" i="8"/>
  <c r="H1617" i="8" s="1"/>
  <c r="J1616" i="8"/>
  <c r="D1617" i="8" l="1"/>
  <c r="C1618" i="8"/>
  <c r="B1617" i="8"/>
  <c r="E1615" i="8"/>
  <c r="I1618" i="8"/>
  <c r="H1618" i="8" s="1"/>
  <c r="J1617" i="8"/>
  <c r="K1615" i="8"/>
  <c r="E1616" i="8" l="1"/>
  <c r="C1619" i="8"/>
  <c r="D1618" i="8"/>
  <c r="B1618" i="8"/>
  <c r="I1619" i="8"/>
  <c r="H1619" i="8" s="1"/>
  <c r="J1618" i="8"/>
  <c r="K1616" i="8"/>
  <c r="E1617" i="8" l="1"/>
  <c r="B1619" i="8"/>
  <c r="C1620" i="8"/>
  <c r="D1619" i="8"/>
  <c r="I1620" i="8"/>
  <c r="H1620" i="8" s="1"/>
  <c r="J1619" i="8"/>
  <c r="K1617" i="8"/>
  <c r="C1621" i="8" l="1"/>
  <c r="D1620" i="8"/>
  <c r="B1620" i="8"/>
  <c r="E1618" i="8"/>
  <c r="K1618" i="8"/>
  <c r="I1621" i="8"/>
  <c r="H1621" i="8" s="1"/>
  <c r="J1620" i="8"/>
  <c r="E1619" i="8" l="1"/>
  <c r="C1622" i="8"/>
  <c r="B1621" i="8"/>
  <c r="D1621" i="8"/>
  <c r="E1620" i="8" s="1"/>
  <c r="K1619" i="8"/>
  <c r="I1622" i="8"/>
  <c r="H1622" i="8" s="1"/>
  <c r="J1621" i="8"/>
  <c r="C1623" i="8" l="1"/>
  <c r="D1622" i="8"/>
  <c r="B1622" i="8"/>
  <c r="I1623" i="8"/>
  <c r="H1623" i="8" s="1"/>
  <c r="J1622" i="8"/>
  <c r="K1621" i="8" s="1"/>
  <c r="K1620" i="8"/>
  <c r="E1621" i="8" l="1"/>
  <c r="B1623" i="8"/>
  <c r="C1624" i="8"/>
  <c r="D1623" i="8"/>
  <c r="I1624" i="8"/>
  <c r="H1624" i="8" s="1"/>
  <c r="J1623" i="8"/>
  <c r="E1622" i="8" l="1"/>
  <c r="C1625" i="8"/>
  <c r="B1624" i="8"/>
  <c r="D1624" i="8"/>
  <c r="I1625" i="8"/>
  <c r="H1625" i="8" s="1"/>
  <c r="J1624" i="8"/>
  <c r="K1622" i="8"/>
  <c r="E1623" i="8" l="1"/>
  <c r="K1623" i="8"/>
  <c r="B1625" i="8"/>
  <c r="D1625" i="8"/>
  <c r="E1624" i="8" s="1"/>
  <c r="C1626" i="8"/>
  <c r="I1626" i="8"/>
  <c r="H1626" i="8" s="1"/>
  <c r="J1625" i="8"/>
  <c r="K1624" i="8" l="1"/>
  <c r="B1626" i="8"/>
  <c r="C1627" i="8"/>
  <c r="D1626" i="8"/>
  <c r="I1627" i="8"/>
  <c r="H1627" i="8" s="1"/>
  <c r="J1626" i="8"/>
  <c r="D1627" i="8" l="1"/>
  <c r="B1627" i="8"/>
  <c r="C1628" i="8"/>
  <c r="K1625" i="8"/>
  <c r="E1625" i="8"/>
  <c r="I1628" i="8"/>
  <c r="H1628" i="8" s="1"/>
  <c r="J1627" i="8"/>
  <c r="C1629" i="8" l="1"/>
  <c r="D1628" i="8"/>
  <c r="B1628" i="8"/>
  <c r="E1626" i="8"/>
  <c r="K1626" i="8"/>
  <c r="I1629" i="8"/>
  <c r="H1629" i="8" s="1"/>
  <c r="J1628" i="8"/>
  <c r="K1627" i="8" s="1"/>
  <c r="E1627" i="8" l="1"/>
  <c r="B1629" i="8"/>
  <c r="D1629" i="8"/>
  <c r="C1630" i="8"/>
  <c r="I1630" i="8"/>
  <c r="H1630" i="8" s="1"/>
  <c r="J1629" i="8"/>
  <c r="K1628" i="8" s="1"/>
  <c r="D1630" i="8" l="1"/>
  <c r="C1631" i="8"/>
  <c r="B1630" i="8"/>
  <c r="E1628" i="8"/>
  <c r="I1631" i="8"/>
  <c r="H1631" i="8" s="1"/>
  <c r="J1630" i="8"/>
  <c r="E1629" i="8" l="1"/>
  <c r="D1631" i="8"/>
  <c r="B1631" i="8"/>
  <c r="C1632" i="8"/>
  <c r="I1632" i="8"/>
  <c r="H1632" i="8" s="1"/>
  <c r="J1631" i="8"/>
  <c r="K1629" i="8"/>
  <c r="D1632" i="8" l="1"/>
  <c r="B1632" i="8"/>
  <c r="C1633" i="8"/>
  <c r="E1630" i="8"/>
  <c r="I1633" i="8"/>
  <c r="H1633" i="8" s="1"/>
  <c r="J1632" i="8"/>
  <c r="K1631" i="8" s="1"/>
  <c r="K1630" i="8"/>
  <c r="E1631" i="8" l="1"/>
  <c r="C1634" i="8"/>
  <c r="D1633" i="8"/>
  <c r="B1633" i="8"/>
  <c r="I1634" i="8"/>
  <c r="H1634" i="8" s="1"/>
  <c r="J1633" i="8"/>
  <c r="E1632" i="8" l="1"/>
  <c r="C1635" i="8"/>
  <c r="B1634" i="8"/>
  <c r="D1634" i="8"/>
  <c r="I1635" i="8"/>
  <c r="H1635" i="8" s="1"/>
  <c r="J1634" i="8"/>
  <c r="K1633" i="8" s="1"/>
  <c r="K1632" i="8"/>
  <c r="E1633" i="8" l="1"/>
  <c r="B1635" i="8"/>
  <c r="C1636" i="8"/>
  <c r="D1635" i="8"/>
  <c r="I1636" i="8"/>
  <c r="H1636" i="8" s="1"/>
  <c r="J1635" i="8"/>
  <c r="K1634" i="8" l="1"/>
  <c r="B1636" i="8"/>
  <c r="C1637" i="8"/>
  <c r="D1636" i="8"/>
  <c r="E1634" i="8"/>
  <c r="I1637" i="8"/>
  <c r="H1637" i="8" s="1"/>
  <c r="J1636" i="8"/>
  <c r="E1635" i="8" l="1"/>
  <c r="B1637" i="8"/>
  <c r="C1638" i="8"/>
  <c r="D1637" i="8"/>
  <c r="K1635" i="8"/>
  <c r="I1638" i="8"/>
  <c r="H1638" i="8" s="1"/>
  <c r="J1637" i="8"/>
  <c r="K1636" i="8" s="1"/>
  <c r="E1636" i="8" l="1"/>
  <c r="D1638" i="8"/>
  <c r="B1638" i="8"/>
  <c r="C1639" i="8"/>
  <c r="I1639" i="8"/>
  <c r="H1639" i="8" s="1"/>
  <c r="J1638" i="8"/>
  <c r="E1637" i="8" l="1"/>
  <c r="B1639" i="8"/>
  <c r="C1640" i="8"/>
  <c r="D1639" i="8"/>
  <c r="K1637" i="8"/>
  <c r="I1640" i="8"/>
  <c r="H1640" i="8" s="1"/>
  <c r="J1639" i="8"/>
  <c r="E1638" i="8" l="1"/>
  <c r="C1641" i="8"/>
  <c r="D1640" i="8"/>
  <c r="B1640" i="8"/>
  <c r="I1641" i="8"/>
  <c r="H1641" i="8" s="1"/>
  <c r="J1640" i="8"/>
  <c r="K1639" i="8" s="1"/>
  <c r="K1638" i="8"/>
  <c r="C1642" i="8" l="1"/>
  <c r="D1641" i="8"/>
  <c r="B1641" i="8"/>
  <c r="E1639" i="8"/>
  <c r="I1642" i="8"/>
  <c r="H1642" i="8" s="1"/>
  <c r="J1641" i="8"/>
  <c r="B1642" i="8" l="1"/>
  <c r="C1643" i="8"/>
  <c r="D1642" i="8"/>
  <c r="K1640" i="8"/>
  <c r="E1640" i="8"/>
  <c r="I1643" i="8"/>
  <c r="H1643" i="8" s="1"/>
  <c r="J1642" i="8"/>
  <c r="K1641" i="8" s="1"/>
  <c r="E1641" i="8" l="1"/>
  <c r="C1644" i="8"/>
  <c r="D1643" i="8"/>
  <c r="B1643" i="8"/>
  <c r="I1644" i="8"/>
  <c r="H1644" i="8" s="1"/>
  <c r="J1643" i="8"/>
  <c r="E1642" i="8" l="1"/>
  <c r="B1644" i="8"/>
  <c r="C1645" i="8"/>
  <c r="D1644" i="8"/>
  <c r="I1645" i="8"/>
  <c r="H1645" i="8" s="1"/>
  <c r="J1644" i="8"/>
  <c r="K1643" i="8" s="1"/>
  <c r="K1642" i="8"/>
  <c r="E1643" i="8" l="1"/>
  <c r="D1645" i="8"/>
  <c r="C1646" i="8"/>
  <c r="B1645" i="8"/>
  <c r="I1646" i="8"/>
  <c r="H1646" i="8" s="1"/>
  <c r="J1645" i="8"/>
  <c r="B1646" i="8" l="1"/>
  <c r="C1647" i="8"/>
  <c r="D1646" i="8"/>
  <c r="E1644" i="8"/>
  <c r="I1647" i="8"/>
  <c r="H1647" i="8" s="1"/>
  <c r="J1646" i="8"/>
  <c r="K1645" i="8" s="1"/>
  <c r="K1644" i="8"/>
  <c r="E1645" i="8" l="1"/>
  <c r="B1647" i="8"/>
  <c r="C1648" i="8"/>
  <c r="D1647" i="8"/>
  <c r="I1648" i="8"/>
  <c r="H1648" i="8" s="1"/>
  <c r="J1647" i="8"/>
  <c r="K1646" i="8" s="1"/>
  <c r="E1646" i="8" l="1"/>
  <c r="D1648" i="8"/>
  <c r="C1649" i="8"/>
  <c r="B1648" i="8"/>
  <c r="I1649" i="8"/>
  <c r="H1649" i="8" s="1"/>
  <c r="J1648" i="8"/>
  <c r="E1647" i="8" l="1"/>
  <c r="D1649" i="8"/>
  <c r="B1649" i="8"/>
  <c r="C1650" i="8"/>
  <c r="I1650" i="8"/>
  <c r="H1650" i="8" s="1"/>
  <c r="J1649" i="8"/>
  <c r="K1647" i="8"/>
  <c r="C1651" i="8" l="1"/>
  <c r="D1650" i="8"/>
  <c r="B1650" i="8"/>
  <c r="E1648" i="8"/>
  <c r="K1648" i="8"/>
  <c r="I1651" i="8"/>
  <c r="H1651" i="8" s="1"/>
  <c r="J1650" i="8"/>
  <c r="E1649" i="8" l="1"/>
  <c r="K1649" i="8"/>
  <c r="C1652" i="8"/>
  <c r="B1651" i="8"/>
  <c r="D1651" i="8"/>
  <c r="I1652" i="8"/>
  <c r="H1652" i="8" s="1"/>
  <c r="J1651" i="8"/>
  <c r="D1652" i="8" l="1"/>
  <c r="C1653" i="8"/>
  <c r="B1652" i="8"/>
  <c r="E1650" i="8"/>
  <c r="K1650" i="8"/>
  <c r="I1653" i="8"/>
  <c r="H1653" i="8" s="1"/>
  <c r="J1652" i="8"/>
  <c r="E1651" i="8" l="1"/>
  <c r="B1653" i="8"/>
  <c r="D1653" i="8"/>
  <c r="C1654" i="8"/>
  <c r="K1651" i="8"/>
  <c r="I1654" i="8"/>
  <c r="H1654" i="8" s="1"/>
  <c r="J1653" i="8"/>
  <c r="B1654" i="8" l="1"/>
  <c r="D1654" i="8"/>
  <c r="C1655" i="8"/>
  <c r="E1652" i="8"/>
  <c r="I1655" i="8"/>
  <c r="H1655" i="8" s="1"/>
  <c r="J1654" i="8"/>
  <c r="K1652" i="8"/>
  <c r="K1653" i="8" l="1"/>
  <c r="E1653" i="8"/>
  <c r="B1655" i="8"/>
  <c r="C1656" i="8"/>
  <c r="D1655" i="8"/>
  <c r="I1656" i="8"/>
  <c r="H1656" i="8" s="1"/>
  <c r="J1655" i="8"/>
  <c r="C1657" i="8" l="1"/>
  <c r="B1656" i="8"/>
  <c r="D1656" i="8"/>
  <c r="E1654" i="8"/>
  <c r="K1654" i="8"/>
  <c r="I1657" i="8"/>
  <c r="H1657" i="8" s="1"/>
  <c r="J1656" i="8"/>
  <c r="C1658" i="8" l="1"/>
  <c r="D1657" i="8"/>
  <c r="B1657" i="8"/>
  <c r="E1655" i="8"/>
  <c r="I1658" i="8"/>
  <c r="H1658" i="8" s="1"/>
  <c r="J1657" i="8"/>
  <c r="K1655" i="8"/>
  <c r="B1658" i="8" l="1"/>
  <c r="C1659" i="8"/>
  <c r="D1658" i="8"/>
  <c r="E1656" i="8"/>
  <c r="I1659" i="8"/>
  <c r="H1659" i="8" s="1"/>
  <c r="J1658" i="8"/>
  <c r="K1656" i="8"/>
  <c r="E1657" i="8" l="1"/>
  <c r="C1660" i="8"/>
  <c r="D1659" i="8"/>
  <c r="B1659" i="8"/>
  <c r="I1660" i="8"/>
  <c r="H1660" i="8" s="1"/>
  <c r="J1659" i="8"/>
  <c r="K1657" i="8"/>
  <c r="E1658" i="8" l="1"/>
  <c r="C1661" i="8"/>
  <c r="B1660" i="8"/>
  <c r="D1660" i="8"/>
  <c r="I1661" i="8"/>
  <c r="H1661" i="8" s="1"/>
  <c r="J1660" i="8"/>
  <c r="K1658" i="8"/>
  <c r="E1659" i="8" l="1"/>
  <c r="B1661" i="8"/>
  <c r="C1662" i="8"/>
  <c r="D1661" i="8"/>
  <c r="I1662" i="8"/>
  <c r="H1662" i="8" s="1"/>
  <c r="J1661" i="8"/>
  <c r="K1659" i="8"/>
  <c r="E1660" i="8" l="1"/>
  <c r="B1662" i="8"/>
  <c r="D1662" i="8"/>
  <c r="C1663" i="8"/>
  <c r="I1663" i="8"/>
  <c r="H1663" i="8" s="1"/>
  <c r="J1662" i="8"/>
  <c r="K1660" i="8"/>
  <c r="K1661" i="8" l="1"/>
  <c r="B1663" i="8"/>
  <c r="C1664" i="8"/>
  <c r="D1663" i="8"/>
  <c r="E1661" i="8"/>
  <c r="I1664" i="8"/>
  <c r="H1664" i="8" s="1"/>
  <c r="J1663" i="8"/>
  <c r="E1662" i="8" l="1"/>
  <c r="C1665" i="8"/>
  <c r="D1664" i="8"/>
  <c r="B1664" i="8"/>
  <c r="I1665" i="8"/>
  <c r="H1665" i="8" s="1"/>
  <c r="J1664" i="8"/>
  <c r="K1663" i="8" s="1"/>
  <c r="K1662" i="8"/>
  <c r="E1663" i="8" l="1"/>
  <c r="B1665" i="8"/>
  <c r="D1665" i="8"/>
  <c r="C1666" i="8"/>
  <c r="I1666" i="8"/>
  <c r="H1666" i="8" s="1"/>
  <c r="J1665" i="8"/>
  <c r="E1664" i="8" l="1"/>
  <c r="C1667" i="8"/>
  <c r="B1666" i="8"/>
  <c r="D1666" i="8"/>
  <c r="I1667" i="8"/>
  <c r="H1667" i="8" s="1"/>
  <c r="J1666" i="8"/>
  <c r="K1664" i="8"/>
  <c r="E1665" i="8" l="1"/>
  <c r="B1667" i="8"/>
  <c r="C1668" i="8"/>
  <c r="D1667" i="8"/>
  <c r="I1668" i="8"/>
  <c r="H1668" i="8" s="1"/>
  <c r="J1667" i="8"/>
  <c r="K1665" i="8"/>
  <c r="E1666" i="8" l="1"/>
  <c r="D1668" i="8"/>
  <c r="B1668" i="8"/>
  <c r="C1669" i="8"/>
  <c r="I1669" i="8"/>
  <c r="H1669" i="8" s="1"/>
  <c r="J1668" i="8"/>
  <c r="K1666" i="8"/>
  <c r="E1667" i="8" l="1"/>
  <c r="B1669" i="8"/>
  <c r="C1670" i="8"/>
  <c r="D1669" i="8"/>
  <c r="K1667" i="8"/>
  <c r="I1670" i="8"/>
  <c r="H1670" i="8" s="1"/>
  <c r="J1669" i="8"/>
  <c r="E1668" i="8" l="1"/>
  <c r="C1671" i="8"/>
  <c r="D1670" i="8"/>
  <c r="B1670" i="8"/>
  <c r="I1671" i="8"/>
  <c r="H1671" i="8" s="1"/>
  <c r="J1670" i="8"/>
  <c r="K1668" i="8"/>
  <c r="E1669" i="8" l="1"/>
  <c r="D1671" i="8"/>
  <c r="B1671" i="8"/>
  <c r="C1672" i="8"/>
  <c r="I1672" i="8"/>
  <c r="H1672" i="8" s="1"/>
  <c r="J1671" i="8"/>
  <c r="K1669" i="8"/>
  <c r="E1670" i="8" l="1"/>
  <c r="B1672" i="8"/>
  <c r="C1673" i="8"/>
  <c r="D1672" i="8"/>
  <c r="I1673" i="8"/>
  <c r="H1673" i="8" s="1"/>
  <c r="J1672" i="8"/>
  <c r="K1670" i="8"/>
  <c r="C1674" i="8" l="1"/>
  <c r="D1673" i="8"/>
  <c r="B1673" i="8"/>
  <c r="E1671" i="8"/>
  <c r="I1674" i="8"/>
  <c r="H1674" i="8" s="1"/>
  <c r="J1673" i="8"/>
  <c r="K1671" i="8"/>
  <c r="E1672" i="8" l="1"/>
  <c r="B1674" i="8"/>
  <c r="D1674" i="8"/>
  <c r="C1675" i="8"/>
  <c r="I1675" i="8"/>
  <c r="H1675" i="8" s="1"/>
  <c r="J1674" i="8"/>
  <c r="K1672" i="8"/>
  <c r="D1675" i="8" l="1"/>
  <c r="B1675" i="8"/>
  <c r="C1676" i="8"/>
  <c r="E1673" i="8"/>
  <c r="I1676" i="8"/>
  <c r="H1676" i="8" s="1"/>
  <c r="J1675" i="8"/>
  <c r="K1673" i="8"/>
  <c r="E1674" i="8" l="1"/>
  <c r="B1676" i="8"/>
  <c r="C1677" i="8"/>
  <c r="D1676" i="8"/>
  <c r="I1677" i="8"/>
  <c r="H1677" i="8" s="1"/>
  <c r="J1676" i="8"/>
  <c r="K1674" i="8"/>
  <c r="E1675" i="8" l="1"/>
  <c r="B1677" i="8"/>
  <c r="C1678" i="8"/>
  <c r="D1677" i="8"/>
  <c r="K1675" i="8"/>
  <c r="I1678" i="8"/>
  <c r="H1678" i="8" s="1"/>
  <c r="J1677" i="8"/>
  <c r="D1678" i="8" l="1"/>
  <c r="C1679" i="8"/>
  <c r="B1678" i="8"/>
  <c r="K1676" i="8"/>
  <c r="E1676" i="8"/>
  <c r="I1679" i="8"/>
  <c r="H1679" i="8" s="1"/>
  <c r="J1678" i="8"/>
  <c r="E1677" i="8" l="1"/>
  <c r="D1679" i="8"/>
  <c r="B1679" i="8"/>
  <c r="C1680" i="8"/>
  <c r="K1677" i="8"/>
  <c r="I1680" i="8"/>
  <c r="H1680" i="8" s="1"/>
  <c r="J1679" i="8"/>
  <c r="C1681" i="8" l="1"/>
  <c r="D1680" i="8"/>
  <c r="B1680" i="8"/>
  <c r="E1678" i="8"/>
  <c r="I1681" i="8"/>
  <c r="H1681" i="8" s="1"/>
  <c r="J1680" i="8"/>
  <c r="K1678" i="8"/>
  <c r="E1679" i="8" l="1"/>
  <c r="D1681" i="8"/>
  <c r="B1681" i="8"/>
  <c r="C1682" i="8"/>
  <c r="I1682" i="8"/>
  <c r="H1682" i="8" s="1"/>
  <c r="J1681" i="8"/>
  <c r="K1679" i="8"/>
  <c r="D1682" i="8" l="1"/>
  <c r="C1683" i="8"/>
  <c r="B1682" i="8"/>
  <c r="E1680" i="8"/>
  <c r="I1683" i="8"/>
  <c r="H1683" i="8" s="1"/>
  <c r="J1682" i="8"/>
  <c r="K1681" i="8" s="1"/>
  <c r="K1680" i="8"/>
  <c r="C1684" i="8" l="1"/>
  <c r="B1683" i="8"/>
  <c r="D1683" i="8"/>
  <c r="E1681" i="8"/>
  <c r="I1684" i="8"/>
  <c r="H1684" i="8" s="1"/>
  <c r="J1683" i="8"/>
  <c r="E1682" i="8" l="1"/>
  <c r="B1684" i="8"/>
  <c r="C1685" i="8"/>
  <c r="D1684" i="8"/>
  <c r="I1685" i="8"/>
  <c r="H1685" i="8" s="1"/>
  <c r="J1684" i="8"/>
  <c r="K1682" i="8"/>
  <c r="C1686" i="8" l="1"/>
  <c r="D1685" i="8"/>
  <c r="B1685" i="8"/>
  <c r="E1683" i="8"/>
  <c r="K1683" i="8"/>
  <c r="I1686" i="8"/>
  <c r="H1686" i="8" s="1"/>
  <c r="J1685" i="8"/>
  <c r="E1684" i="8" l="1"/>
  <c r="B1686" i="8"/>
  <c r="C1687" i="8"/>
  <c r="D1686" i="8"/>
  <c r="I1687" i="8"/>
  <c r="H1687" i="8" s="1"/>
  <c r="J1686" i="8"/>
  <c r="K1685" i="8" s="1"/>
  <c r="K1684" i="8"/>
  <c r="C1688" i="8" l="1"/>
  <c r="D1687" i="8"/>
  <c r="B1687" i="8"/>
  <c r="E1685" i="8"/>
  <c r="I1688" i="8"/>
  <c r="H1688" i="8" s="1"/>
  <c r="J1687" i="8"/>
  <c r="E1686" i="8" l="1"/>
  <c r="B1688" i="8"/>
  <c r="D1688" i="8"/>
  <c r="C1689" i="8"/>
  <c r="I1689" i="8"/>
  <c r="H1689" i="8" s="1"/>
  <c r="J1688" i="8"/>
  <c r="K1687" i="8" s="1"/>
  <c r="K1686" i="8"/>
  <c r="D1689" i="8" l="1"/>
  <c r="C1690" i="8"/>
  <c r="B1689" i="8"/>
  <c r="E1687" i="8"/>
  <c r="I1690" i="8"/>
  <c r="H1690" i="8" s="1"/>
  <c r="J1689" i="8"/>
  <c r="E1688" i="8" l="1"/>
  <c r="C1691" i="8"/>
  <c r="D1690" i="8"/>
  <c r="B1690" i="8"/>
  <c r="K1688" i="8"/>
  <c r="I1691" i="8"/>
  <c r="H1691" i="8" s="1"/>
  <c r="J1690" i="8"/>
  <c r="E1689" i="8" l="1"/>
  <c r="B1691" i="8"/>
  <c r="C1692" i="8"/>
  <c r="D1691" i="8"/>
  <c r="E1690" i="8" s="1"/>
  <c r="I1692" i="8"/>
  <c r="H1692" i="8" s="1"/>
  <c r="J1691" i="8"/>
  <c r="K1689" i="8"/>
  <c r="B1692" i="8" l="1"/>
  <c r="C1693" i="8"/>
  <c r="D1692" i="8"/>
  <c r="I1693" i="8"/>
  <c r="H1693" i="8" s="1"/>
  <c r="J1692" i="8"/>
  <c r="K1690" i="8"/>
  <c r="B1693" i="8" l="1"/>
  <c r="C1694" i="8"/>
  <c r="D1693" i="8"/>
  <c r="E1691" i="8"/>
  <c r="I1694" i="8"/>
  <c r="H1694" i="8" s="1"/>
  <c r="J1693" i="8"/>
  <c r="K1691" i="8"/>
  <c r="B1694" i="8" l="1"/>
  <c r="D1694" i="8"/>
  <c r="C1695" i="8"/>
  <c r="E1692" i="8"/>
  <c r="K1692" i="8"/>
  <c r="I1695" i="8"/>
  <c r="H1695" i="8" s="1"/>
  <c r="J1694" i="8"/>
  <c r="E1693" i="8" l="1"/>
  <c r="K1693" i="8"/>
  <c r="C1696" i="8"/>
  <c r="D1695" i="8"/>
  <c r="B1695" i="8"/>
  <c r="I1696" i="8"/>
  <c r="H1696" i="8" s="1"/>
  <c r="J1695" i="8"/>
  <c r="K1694" i="8" s="1"/>
  <c r="E1694" i="8" l="1"/>
  <c r="D1696" i="8"/>
  <c r="C1697" i="8"/>
  <c r="B1696" i="8"/>
  <c r="I1697" i="8"/>
  <c r="H1697" i="8" s="1"/>
  <c r="J1696" i="8"/>
  <c r="C1698" i="8" l="1"/>
  <c r="B1697" i="8"/>
  <c r="D1697" i="8"/>
  <c r="K1695" i="8"/>
  <c r="E1695" i="8"/>
  <c r="I1698" i="8"/>
  <c r="H1698" i="8" s="1"/>
  <c r="J1697" i="8"/>
  <c r="E1696" i="8" l="1"/>
  <c r="D1698" i="8"/>
  <c r="C1699" i="8"/>
  <c r="B1698" i="8"/>
  <c r="K1696" i="8"/>
  <c r="I1699" i="8"/>
  <c r="H1699" i="8" s="1"/>
  <c r="J1698" i="8"/>
  <c r="D1699" i="8" l="1"/>
  <c r="C1700" i="8"/>
  <c r="B1699" i="8"/>
  <c r="K1697" i="8"/>
  <c r="E1697" i="8"/>
  <c r="I1700" i="8"/>
  <c r="H1700" i="8" s="1"/>
  <c r="J1699" i="8"/>
  <c r="E1698" i="8" l="1"/>
  <c r="C1701" i="8"/>
  <c r="D1700" i="8"/>
  <c r="B1700" i="8"/>
  <c r="I1701" i="8"/>
  <c r="H1701" i="8" s="1"/>
  <c r="J1700" i="8"/>
  <c r="K1698" i="8"/>
  <c r="E1699" i="8" l="1"/>
  <c r="B1701" i="8"/>
  <c r="C1702" i="8"/>
  <c r="D1701" i="8"/>
  <c r="I1702" i="8"/>
  <c r="H1702" i="8" s="1"/>
  <c r="J1701" i="8"/>
  <c r="K1699" i="8"/>
  <c r="K1700" i="8" l="1"/>
  <c r="C1703" i="8"/>
  <c r="B1702" i="8"/>
  <c r="D1702" i="8"/>
  <c r="E1700" i="8"/>
  <c r="I1703" i="8"/>
  <c r="H1703" i="8" s="1"/>
  <c r="J1702" i="8"/>
  <c r="D1703" i="8" l="1"/>
  <c r="B1703" i="8"/>
  <c r="C1704" i="8"/>
  <c r="E1701" i="8"/>
  <c r="K1701" i="8"/>
  <c r="I1704" i="8"/>
  <c r="H1704" i="8" s="1"/>
  <c r="J1703" i="8"/>
  <c r="K1702" i="8" s="1"/>
  <c r="E1702" i="8" l="1"/>
  <c r="B1704" i="8"/>
  <c r="C1705" i="8"/>
  <c r="D1704" i="8"/>
  <c r="I1705" i="8"/>
  <c r="H1705" i="8" s="1"/>
  <c r="J1704" i="8"/>
  <c r="B1705" i="8" l="1"/>
  <c r="D1705" i="8"/>
  <c r="C1706" i="8"/>
  <c r="E1703" i="8"/>
  <c r="I1706" i="8"/>
  <c r="H1706" i="8" s="1"/>
  <c r="J1705" i="8"/>
  <c r="K1703" i="8"/>
  <c r="B1706" i="8" l="1"/>
  <c r="C1707" i="8"/>
  <c r="D1706" i="8"/>
  <c r="E1704" i="8"/>
  <c r="I1707" i="8"/>
  <c r="H1707" i="8" s="1"/>
  <c r="J1706" i="8"/>
  <c r="K1704" i="8"/>
  <c r="C1708" i="8" l="1"/>
  <c r="D1707" i="8"/>
  <c r="B1707" i="8"/>
  <c r="E1705" i="8"/>
  <c r="I1708" i="8"/>
  <c r="H1708" i="8" s="1"/>
  <c r="J1707" i="8"/>
  <c r="K1705" i="8"/>
  <c r="E1706" i="8" l="1"/>
  <c r="B1708" i="8"/>
  <c r="D1708" i="8"/>
  <c r="C1709" i="8"/>
  <c r="I1709" i="8"/>
  <c r="H1709" i="8" s="1"/>
  <c r="J1708" i="8"/>
  <c r="K1706" i="8"/>
  <c r="B1709" i="8" l="1"/>
  <c r="C1710" i="8"/>
  <c r="D1709" i="8"/>
  <c r="E1707" i="8"/>
  <c r="I1710" i="8"/>
  <c r="H1710" i="8" s="1"/>
  <c r="J1709" i="8"/>
  <c r="K1707" i="8"/>
  <c r="E1708" i="8" l="1"/>
  <c r="K1708" i="8"/>
  <c r="B1710" i="8"/>
  <c r="C1711" i="8"/>
  <c r="D1710" i="8"/>
  <c r="E1709" i="8" s="1"/>
  <c r="I1711" i="8"/>
  <c r="H1711" i="8" s="1"/>
  <c r="J1710" i="8"/>
  <c r="K1709" i="8" s="1"/>
  <c r="B1711" i="8" l="1"/>
  <c r="D1711" i="8"/>
  <c r="C1712" i="8"/>
  <c r="I1712" i="8"/>
  <c r="H1712" i="8" s="1"/>
  <c r="J1711" i="8"/>
  <c r="E1710" i="8" l="1"/>
  <c r="B1712" i="8"/>
  <c r="D1712" i="8"/>
  <c r="C1713" i="8"/>
  <c r="K1710" i="8"/>
  <c r="I1713" i="8"/>
  <c r="H1713" i="8" s="1"/>
  <c r="J1712" i="8"/>
  <c r="E1711" i="8" l="1"/>
  <c r="B1713" i="8"/>
  <c r="D1713" i="8"/>
  <c r="C1714" i="8"/>
  <c r="I1714" i="8"/>
  <c r="H1714" i="8" s="1"/>
  <c r="J1713" i="8"/>
  <c r="K1711" i="8"/>
  <c r="E1712" i="8" l="1"/>
  <c r="C1715" i="8"/>
  <c r="D1714" i="8"/>
  <c r="B1714" i="8"/>
  <c r="I1715" i="8"/>
  <c r="H1715" i="8" s="1"/>
  <c r="J1714" i="8"/>
  <c r="K1712" i="8"/>
  <c r="E1713" i="8" l="1"/>
  <c r="K1713" i="8"/>
  <c r="D1715" i="8"/>
  <c r="B1715" i="8"/>
  <c r="C1716" i="8"/>
  <c r="I1716" i="8"/>
  <c r="H1716" i="8" s="1"/>
  <c r="J1715" i="8"/>
  <c r="K1714" i="8" s="1"/>
  <c r="E1714" i="8" l="1"/>
  <c r="B1716" i="8"/>
  <c r="D1716" i="8"/>
  <c r="C1717" i="8"/>
  <c r="I1717" i="8"/>
  <c r="H1717" i="8" s="1"/>
  <c r="J1716" i="8"/>
  <c r="C1718" i="8" l="1"/>
  <c r="D1717" i="8"/>
  <c r="B1717" i="8"/>
  <c r="K1715" i="8"/>
  <c r="E1715" i="8"/>
  <c r="I1718" i="8"/>
  <c r="H1718" i="8" s="1"/>
  <c r="J1717" i="8"/>
  <c r="E1716" i="8" l="1"/>
  <c r="C1719" i="8"/>
  <c r="B1718" i="8"/>
  <c r="D1718" i="8"/>
  <c r="K1716" i="8"/>
  <c r="I1719" i="8"/>
  <c r="H1719" i="8" s="1"/>
  <c r="J1718" i="8"/>
  <c r="K1717" i="8" l="1"/>
  <c r="E1717" i="8"/>
  <c r="B1719" i="8"/>
  <c r="C1720" i="8"/>
  <c r="D1719" i="8"/>
  <c r="I1720" i="8"/>
  <c r="H1720" i="8" s="1"/>
  <c r="J1719" i="8"/>
  <c r="K1718" i="8" l="1"/>
  <c r="D1720" i="8"/>
  <c r="C1721" i="8"/>
  <c r="B1720" i="8"/>
  <c r="E1718" i="8"/>
  <c r="I1721" i="8"/>
  <c r="H1721" i="8" s="1"/>
  <c r="J1720" i="8"/>
  <c r="E1719" i="8" l="1"/>
  <c r="K1719" i="8"/>
  <c r="B1721" i="8"/>
  <c r="C1722" i="8"/>
  <c r="D1721" i="8"/>
  <c r="I1722" i="8"/>
  <c r="H1722" i="8" s="1"/>
  <c r="J1721" i="8"/>
  <c r="D1722" i="8" l="1"/>
  <c r="B1722" i="8"/>
  <c r="C1723" i="8"/>
  <c r="E1720" i="8"/>
  <c r="I1723" i="8"/>
  <c r="H1723" i="8" s="1"/>
  <c r="J1722" i="8"/>
  <c r="K1721" i="8" s="1"/>
  <c r="K1720" i="8"/>
  <c r="E1721" i="8" l="1"/>
  <c r="C1724" i="8"/>
  <c r="D1723" i="8"/>
  <c r="B1723" i="8"/>
  <c r="I1724" i="8"/>
  <c r="H1724" i="8" s="1"/>
  <c r="J1723" i="8"/>
  <c r="K1722" i="8" s="1"/>
  <c r="E1722" i="8" l="1"/>
  <c r="B1724" i="8"/>
  <c r="D1724" i="8"/>
  <c r="C1725" i="8"/>
  <c r="I1725" i="8"/>
  <c r="H1725" i="8" s="1"/>
  <c r="J1724" i="8"/>
  <c r="E1723" i="8" l="1"/>
  <c r="B1725" i="8"/>
  <c r="C1726" i="8"/>
  <c r="D1725" i="8"/>
  <c r="K1723" i="8"/>
  <c r="I1726" i="8"/>
  <c r="H1726" i="8" s="1"/>
  <c r="J1725" i="8"/>
  <c r="B1726" i="8" l="1"/>
  <c r="D1726" i="8"/>
  <c r="C1727" i="8"/>
  <c r="E1724" i="8"/>
  <c r="I1727" i="8"/>
  <c r="H1727" i="8" s="1"/>
  <c r="J1726" i="8"/>
  <c r="K1724" i="8"/>
  <c r="E1725" i="8" l="1"/>
  <c r="K1725" i="8"/>
  <c r="B1727" i="8"/>
  <c r="C1728" i="8"/>
  <c r="D1727" i="8"/>
  <c r="I1728" i="8"/>
  <c r="H1728" i="8" s="1"/>
  <c r="J1727" i="8"/>
  <c r="K1726" i="8" s="1"/>
  <c r="C1729" i="8" l="1"/>
  <c r="B1728" i="8"/>
  <c r="D1728" i="8"/>
  <c r="E1726" i="8"/>
  <c r="I1729" i="8"/>
  <c r="H1729" i="8" s="1"/>
  <c r="J1728" i="8"/>
  <c r="C1730" i="8" l="1"/>
  <c r="B1729" i="8"/>
  <c r="D1729" i="8"/>
  <c r="K1727" i="8"/>
  <c r="E1727" i="8"/>
  <c r="I1730" i="8"/>
  <c r="H1730" i="8" s="1"/>
  <c r="J1729" i="8"/>
  <c r="K1728" i="8" l="1"/>
  <c r="C1731" i="8"/>
  <c r="B1730" i="8"/>
  <c r="D1730" i="8"/>
  <c r="E1728" i="8"/>
  <c r="I1731" i="8"/>
  <c r="H1731" i="8" s="1"/>
  <c r="J1730" i="8"/>
  <c r="C1732" i="8" l="1"/>
  <c r="D1731" i="8"/>
  <c r="B1731" i="8"/>
  <c r="E1729" i="8"/>
  <c r="K1729" i="8"/>
  <c r="I1732" i="8"/>
  <c r="H1732" i="8" s="1"/>
  <c r="J1731" i="8"/>
  <c r="E1730" i="8" l="1"/>
  <c r="D1732" i="8"/>
  <c r="B1732" i="8"/>
  <c r="C1733" i="8"/>
  <c r="I1733" i="8"/>
  <c r="H1733" i="8" s="1"/>
  <c r="J1732" i="8"/>
  <c r="K1731" i="8" s="1"/>
  <c r="K1730" i="8"/>
  <c r="C1734" i="8" l="1"/>
  <c r="D1733" i="8"/>
  <c r="B1733" i="8"/>
  <c r="E1731" i="8"/>
  <c r="I1734" i="8"/>
  <c r="H1734" i="8" s="1"/>
  <c r="J1733" i="8"/>
  <c r="E1732" i="8" l="1"/>
  <c r="D1734" i="8"/>
  <c r="C1735" i="8"/>
  <c r="B1734" i="8"/>
  <c r="I1735" i="8"/>
  <c r="H1735" i="8" s="1"/>
  <c r="J1734" i="8"/>
  <c r="K1732" i="8"/>
  <c r="E1733" i="8" l="1"/>
  <c r="C1736" i="8"/>
  <c r="B1735" i="8"/>
  <c r="D1735" i="8"/>
  <c r="K1733" i="8"/>
  <c r="I1736" i="8"/>
  <c r="H1736" i="8" s="1"/>
  <c r="J1735" i="8"/>
  <c r="K1734" i="8" l="1"/>
  <c r="E1734" i="8"/>
  <c r="C1737" i="8"/>
  <c r="D1736" i="8"/>
  <c r="B1736" i="8"/>
  <c r="I1737" i="8"/>
  <c r="H1737" i="8" s="1"/>
  <c r="J1736" i="8"/>
  <c r="K1735" i="8" s="1"/>
  <c r="E1735" i="8" l="1"/>
  <c r="B1737" i="8"/>
  <c r="D1737" i="8"/>
  <c r="C1738" i="8"/>
  <c r="I1738" i="8"/>
  <c r="H1738" i="8" s="1"/>
  <c r="J1737" i="8"/>
  <c r="E1736" i="8" l="1"/>
  <c r="B1738" i="8"/>
  <c r="D1738" i="8"/>
  <c r="C1739" i="8"/>
  <c r="K1736" i="8"/>
  <c r="I1739" i="8"/>
  <c r="H1739" i="8" s="1"/>
  <c r="J1738" i="8"/>
  <c r="E1737" i="8" l="1"/>
  <c r="B1739" i="8"/>
  <c r="C1740" i="8"/>
  <c r="D1739" i="8"/>
  <c r="I1740" i="8"/>
  <c r="H1740" i="8" s="1"/>
  <c r="J1739" i="8"/>
  <c r="K1737" i="8"/>
  <c r="E1738" i="8" l="1"/>
  <c r="B1740" i="8"/>
  <c r="C1741" i="8"/>
  <c r="D1740" i="8"/>
  <c r="I1741" i="8"/>
  <c r="H1741" i="8" s="1"/>
  <c r="J1740" i="8"/>
  <c r="K1739" i="8" s="1"/>
  <c r="K1738" i="8"/>
  <c r="E1739" i="8" l="1"/>
  <c r="C1742" i="8"/>
  <c r="B1741" i="8"/>
  <c r="D1741" i="8"/>
  <c r="I1742" i="8"/>
  <c r="H1742" i="8" s="1"/>
  <c r="J1741" i="8"/>
  <c r="K1740" i="8" s="1"/>
  <c r="B1742" i="8" l="1"/>
  <c r="C1743" i="8"/>
  <c r="D1742" i="8"/>
  <c r="E1740" i="8"/>
  <c r="I1743" i="8"/>
  <c r="H1743" i="8" s="1"/>
  <c r="J1742" i="8"/>
  <c r="E1741" i="8" l="1"/>
  <c r="C1744" i="8"/>
  <c r="D1743" i="8"/>
  <c r="B1743" i="8"/>
  <c r="I1744" i="8"/>
  <c r="H1744" i="8" s="1"/>
  <c r="J1743" i="8"/>
  <c r="K1741" i="8"/>
  <c r="E1742" i="8" l="1"/>
  <c r="C1745" i="8"/>
  <c r="D1744" i="8"/>
  <c r="B1744" i="8"/>
  <c r="I1745" i="8"/>
  <c r="H1745" i="8" s="1"/>
  <c r="J1744" i="8"/>
  <c r="K1742" i="8"/>
  <c r="E1743" i="8" l="1"/>
  <c r="C1746" i="8"/>
  <c r="D1745" i="8"/>
  <c r="B1745" i="8"/>
  <c r="K1743" i="8"/>
  <c r="I1746" i="8"/>
  <c r="H1746" i="8" s="1"/>
  <c r="J1745" i="8"/>
  <c r="B1746" i="8" l="1"/>
  <c r="D1746" i="8"/>
  <c r="C1747" i="8"/>
  <c r="E1744" i="8"/>
  <c r="I1747" i="8"/>
  <c r="H1747" i="8" s="1"/>
  <c r="J1746" i="8"/>
  <c r="K1744" i="8"/>
  <c r="E1745" i="8" l="1"/>
  <c r="D1747" i="8"/>
  <c r="B1747" i="8"/>
  <c r="C1748" i="8"/>
  <c r="I1748" i="8"/>
  <c r="H1748" i="8" s="1"/>
  <c r="J1747" i="8"/>
  <c r="K1745" i="8"/>
  <c r="E1746" i="8" l="1"/>
  <c r="D1748" i="8"/>
  <c r="C1749" i="8"/>
  <c r="B1748" i="8"/>
  <c r="K1746" i="8"/>
  <c r="I1749" i="8"/>
  <c r="H1749" i="8" s="1"/>
  <c r="J1748" i="8"/>
  <c r="E1747" i="8" l="1"/>
  <c r="D1749" i="8"/>
  <c r="C1750" i="8"/>
  <c r="B1749" i="8"/>
  <c r="K1747" i="8"/>
  <c r="I1750" i="8"/>
  <c r="H1750" i="8" s="1"/>
  <c r="J1749" i="8"/>
  <c r="K1748" i="8" s="1"/>
  <c r="B1750" i="8" l="1"/>
  <c r="C1751" i="8"/>
  <c r="D1750" i="8"/>
  <c r="E1748" i="8"/>
  <c r="I1751" i="8"/>
  <c r="H1751" i="8" s="1"/>
  <c r="J1750" i="8"/>
  <c r="E1749" i="8" l="1"/>
  <c r="B1751" i="8"/>
  <c r="C1752" i="8"/>
  <c r="D1751" i="8"/>
  <c r="I1752" i="8"/>
  <c r="H1752" i="8" s="1"/>
  <c r="J1751" i="8"/>
  <c r="K1749" i="8"/>
  <c r="E1750" i="8" l="1"/>
  <c r="C1753" i="8"/>
  <c r="B1752" i="8"/>
  <c r="D1752" i="8"/>
  <c r="K1750" i="8"/>
  <c r="I1753" i="8"/>
  <c r="H1753" i="8" s="1"/>
  <c r="J1752" i="8"/>
  <c r="C1754" i="8" l="1"/>
  <c r="B1753" i="8"/>
  <c r="D1753" i="8"/>
  <c r="E1751" i="8"/>
  <c r="K1751" i="8"/>
  <c r="I1754" i="8"/>
  <c r="H1754" i="8" s="1"/>
  <c r="J1753" i="8"/>
  <c r="K1752" i="8" l="1"/>
  <c r="D1754" i="8"/>
  <c r="B1754" i="8"/>
  <c r="C1755" i="8"/>
  <c r="E1752" i="8"/>
  <c r="I1755" i="8"/>
  <c r="H1755" i="8" s="1"/>
  <c r="J1754" i="8"/>
  <c r="C1756" i="8" l="1"/>
  <c r="D1755" i="8"/>
  <c r="B1755" i="8"/>
  <c r="E1753" i="8"/>
  <c r="I1756" i="8"/>
  <c r="H1756" i="8" s="1"/>
  <c r="J1755" i="8"/>
  <c r="K1753" i="8"/>
  <c r="C1757" i="8" l="1"/>
  <c r="D1756" i="8"/>
  <c r="B1756" i="8"/>
  <c r="E1754" i="8"/>
  <c r="K1754" i="8"/>
  <c r="I1757" i="8"/>
  <c r="H1757" i="8" s="1"/>
  <c r="J1756" i="8"/>
  <c r="E1755" i="8" l="1"/>
  <c r="K1755" i="8"/>
  <c r="B1757" i="8"/>
  <c r="D1757" i="8"/>
  <c r="C1758" i="8"/>
  <c r="I1758" i="8"/>
  <c r="H1758" i="8" s="1"/>
  <c r="J1757" i="8"/>
  <c r="E1756" i="8" l="1"/>
  <c r="C1759" i="8"/>
  <c r="B1758" i="8"/>
  <c r="D1758" i="8"/>
  <c r="I1759" i="8"/>
  <c r="H1759" i="8" s="1"/>
  <c r="J1758" i="8"/>
  <c r="K1757" i="8" s="1"/>
  <c r="K1756" i="8"/>
  <c r="E1757" i="8" l="1"/>
  <c r="B1759" i="8"/>
  <c r="C1760" i="8"/>
  <c r="D1759" i="8"/>
  <c r="I1760" i="8"/>
  <c r="H1760" i="8" s="1"/>
  <c r="J1759" i="8"/>
  <c r="K1758" i="8" s="1"/>
  <c r="E1758" i="8" l="1"/>
  <c r="D1760" i="8"/>
  <c r="C1761" i="8"/>
  <c r="B1760" i="8"/>
  <c r="I1761" i="8"/>
  <c r="H1761" i="8" s="1"/>
  <c r="J1760" i="8"/>
  <c r="B1761" i="8" l="1"/>
  <c r="D1761" i="8"/>
  <c r="C1762" i="8"/>
  <c r="E1759" i="8"/>
  <c r="I1762" i="8"/>
  <c r="H1762" i="8" s="1"/>
  <c r="J1761" i="8"/>
  <c r="K1760" i="8" s="1"/>
  <c r="K1759" i="8"/>
  <c r="E1760" i="8" l="1"/>
  <c r="D1762" i="8"/>
  <c r="B1762" i="8"/>
  <c r="C1763" i="8"/>
  <c r="I1763" i="8"/>
  <c r="H1763" i="8" s="1"/>
  <c r="J1762" i="8"/>
  <c r="C1764" i="8" l="1"/>
  <c r="D1763" i="8"/>
  <c r="B1763" i="8"/>
  <c r="E1761" i="8"/>
  <c r="K1761" i="8"/>
  <c r="I1764" i="8"/>
  <c r="H1764" i="8" s="1"/>
  <c r="J1763" i="8"/>
  <c r="E1762" i="8" l="1"/>
  <c r="C1765" i="8"/>
  <c r="D1764" i="8"/>
  <c r="B1764" i="8"/>
  <c r="K1762" i="8"/>
  <c r="I1765" i="8"/>
  <c r="H1765" i="8" s="1"/>
  <c r="J1764" i="8"/>
  <c r="E1763" i="8" l="1"/>
  <c r="B1765" i="8"/>
  <c r="C1766" i="8"/>
  <c r="D1765" i="8"/>
  <c r="I1766" i="8"/>
  <c r="H1766" i="8" s="1"/>
  <c r="J1765" i="8"/>
  <c r="K1763" i="8"/>
  <c r="K1764" i="8" l="1"/>
  <c r="E1764" i="8"/>
  <c r="C1767" i="8"/>
  <c r="B1766" i="8"/>
  <c r="D1766" i="8"/>
  <c r="E1765" i="8" s="1"/>
  <c r="I1767" i="8"/>
  <c r="H1767" i="8" s="1"/>
  <c r="J1766" i="8"/>
  <c r="K1765" i="8" s="1"/>
  <c r="C1768" i="8" l="1"/>
  <c r="D1767" i="8"/>
  <c r="B1767" i="8"/>
  <c r="I1768" i="8"/>
  <c r="H1768" i="8" s="1"/>
  <c r="J1767" i="8"/>
  <c r="E1766" i="8" l="1"/>
  <c r="C1769" i="8"/>
  <c r="D1768" i="8"/>
  <c r="B1768" i="8"/>
  <c r="I1769" i="8"/>
  <c r="H1769" i="8" s="1"/>
  <c r="J1768" i="8"/>
  <c r="K1766" i="8"/>
  <c r="E1767" i="8" l="1"/>
  <c r="B1769" i="8"/>
  <c r="D1769" i="8"/>
  <c r="C1770" i="8"/>
  <c r="K1767" i="8"/>
  <c r="I1770" i="8"/>
  <c r="H1770" i="8" s="1"/>
  <c r="J1769" i="8"/>
  <c r="C1771" i="8" l="1"/>
  <c r="B1770" i="8"/>
  <c r="D1770" i="8"/>
  <c r="E1768" i="8"/>
  <c r="I1771" i="8"/>
  <c r="H1771" i="8" s="1"/>
  <c r="J1770" i="8"/>
  <c r="K1768" i="8"/>
  <c r="E1769" i="8" l="1"/>
  <c r="C1772" i="8"/>
  <c r="D1771" i="8"/>
  <c r="B1771" i="8"/>
  <c r="I1772" i="8"/>
  <c r="H1772" i="8" s="1"/>
  <c r="J1771" i="8"/>
  <c r="K1769" i="8"/>
  <c r="C1773" i="8" l="1"/>
  <c r="B1772" i="8"/>
  <c r="D1772" i="8"/>
  <c r="E1770" i="8"/>
  <c r="I1773" i="8"/>
  <c r="H1773" i="8" s="1"/>
  <c r="J1772" i="8"/>
  <c r="K1770" i="8"/>
  <c r="E1771" i="8" l="1"/>
  <c r="B1773" i="8"/>
  <c r="D1773" i="8"/>
  <c r="C1774" i="8"/>
  <c r="K1771" i="8"/>
  <c r="I1774" i="8"/>
  <c r="H1774" i="8" s="1"/>
  <c r="J1773" i="8"/>
  <c r="B1774" i="8" l="1"/>
  <c r="C1775" i="8"/>
  <c r="D1774" i="8"/>
  <c r="K1772" i="8"/>
  <c r="E1772" i="8"/>
  <c r="I1775" i="8"/>
  <c r="H1775" i="8" s="1"/>
  <c r="J1774" i="8"/>
  <c r="K1773" i="8" s="1"/>
  <c r="E1773" i="8" l="1"/>
  <c r="B1775" i="8"/>
  <c r="C1776" i="8"/>
  <c r="D1775" i="8"/>
  <c r="I1776" i="8"/>
  <c r="H1776" i="8" s="1"/>
  <c r="J1775" i="8"/>
  <c r="E1774" i="8" l="1"/>
  <c r="B1776" i="8"/>
  <c r="D1776" i="8"/>
  <c r="C1777" i="8"/>
  <c r="I1777" i="8"/>
  <c r="H1777" i="8" s="1"/>
  <c r="J1776" i="8"/>
  <c r="K1774" i="8"/>
  <c r="E1775" i="8" l="1"/>
  <c r="B1777" i="8"/>
  <c r="D1777" i="8"/>
  <c r="C1778" i="8"/>
  <c r="I1778" i="8"/>
  <c r="H1778" i="8" s="1"/>
  <c r="J1777" i="8"/>
  <c r="K1775" i="8"/>
  <c r="E1776" i="8" l="1"/>
  <c r="D1778" i="8"/>
  <c r="B1778" i="8"/>
  <c r="C1779" i="8"/>
  <c r="I1779" i="8"/>
  <c r="H1779" i="8" s="1"/>
  <c r="J1778" i="8"/>
  <c r="K1776" i="8"/>
  <c r="E1777" i="8" l="1"/>
  <c r="D1779" i="8"/>
  <c r="B1779" i="8"/>
  <c r="C1780" i="8"/>
  <c r="K1777" i="8"/>
  <c r="I1780" i="8"/>
  <c r="H1780" i="8" s="1"/>
  <c r="J1779" i="8"/>
  <c r="C1781" i="8" l="1"/>
  <c r="B1780" i="8"/>
  <c r="D1780" i="8"/>
  <c r="E1779" i="8" s="1"/>
  <c r="K1778" i="8"/>
  <c r="E1778" i="8"/>
  <c r="I1781" i="8"/>
  <c r="H1781" i="8" s="1"/>
  <c r="J1780" i="8"/>
  <c r="D1781" i="8" l="1"/>
  <c r="C1782" i="8"/>
  <c r="B1781" i="8"/>
  <c r="I1782" i="8"/>
  <c r="H1782" i="8" s="1"/>
  <c r="J1781" i="8"/>
  <c r="K1779" i="8"/>
  <c r="C1783" i="8" l="1"/>
  <c r="D1782" i="8"/>
  <c r="B1782" i="8"/>
  <c r="E1780" i="8"/>
  <c r="I1783" i="8"/>
  <c r="H1783" i="8" s="1"/>
  <c r="J1782" i="8"/>
  <c r="K1780" i="8"/>
  <c r="E1781" i="8" l="1"/>
  <c r="B1783" i="8"/>
  <c r="C1784" i="8"/>
  <c r="D1783" i="8"/>
  <c r="I1784" i="8"/>
  <c r="H1784" i="8" s="1"/>
  <c r="J1783" i="8"/>
  <c r="K1781" i="8"/>
  <c r="K1782" i="8" l="1"/>
  <c r="E1782" i="8"/>
  <c r="D1784" i="8"/>
  <c r="B1784" i="8"/>
  <c r="C1785" i="8"/>
  <c r="I1785" i="8"/>
  <c r="H1785" i="8" s="1"/>
  <c r="J1784" i="8"/>
  <c r="E1783" i="8" l="1"/>
  <c r="B1785" i="8"/>
  <c r="D1785" i="8"/>
  <c r="C1786" i="8"/>
  <c r="I1786" i="8"/>
  <c r="H1786" i="8" s="1"/>
  <c r="J1785" i="8"/>
  <c r="K1783" i="8"/>
  <c r="B1786" i="8" l="1"/>
  <c r="C1787" i="8"/>
  <c r="D1786" i="8"/>
  <c r="E1784" i="8"/>
  <c r="K1784" i="8"/>
  <c r="I1787" i="8"/>
  <c r="H1787" i="8" s="1"/>
  <c r="J1786" i="8"/>
  <c r="E1785" i="8" l="1"/>
  <c r="B1787" i="8"/>
  <c r="C1788" i="8"/>
  <c r="D1787" i="8"/>
  <c r="K1785" i="8"/>
  <c r="I1788" i="8"/>
  <c r="H1788" i="8" s="1"/>
  <c r="J1787" i="8"/>
  <c r="K1786" i="8" s="1"/>
  <c r="E1786" i="8" l="1"/>
  <c r="B1788" i="8"/>
  <c r="C1789" i="8"/>
  <c r="D1788" i="8"/>
  <c r="I1789" i="8"/>
  <c r="H1789" i="8" s="1"/>
  <c r="J1788" i="8"/>
  <c r="E1787" i="8" l="1"/>
  <c r="C1790" i="8"/>
  <c r="B1789" i="8"/>
  <c r="D1789" i="8"/>
  <c r="I1790" i="8"/>
  <c r="H1790" i="8" s="1"/>
  <c r="J1789" i="8"/>
  <c r="K1787" i="8"/>
  <c r="E1788" i="8" l="1"/>
  <c r="B1790" i="8"/>
  <c r="D1790" i="8"/>
  <c r="E1789" i="8" s="1"/>
  <c r="C1791" i="8"/>
  <c r="I1791" i="8"/>
  <c r="H1791" i="8" s="1"/>
  <c r="J1790" i="8"/>
  <c r="K1789" i="8" s="1"/>
  <c r="K1788" i="8"/>
  <c r="D1791" i="8" l="1"/>
  <c r="B1791" i="8"/>
  <c r="C1792" i="8"/>
  <c r="I1792" i="8"/>
  <c r="H1792" i="8" s="1"/>
  <c r="J1791" i="8"/>
  <c r="B1792" i="8" l="1"/>
  <c r="C1793" i="8"/>
  <c r="D1792" i="8"/>
  <c r="E1790" i="8"/>
  <c r="K1790" i="8"/>
  <c r="I1793" i="8"/>
  <c r="H1793" i="8" s="1"/>
  <c r="J1792" i="8"/>
  <c r="E1791" i="8" l="1"/>
  <c r="B1793" i="8"/>
  <c r="C1794" i="8"/>
  <c r="D1793" i="8"/>
  <c r="I1794" i="8"/>
  <c r="H1794" i="8" s="1"/>
  <c r="J1793" i="8"/>
  <c r="K1791" i="8"/>
  <c r="K1792" i="8" l="1"/>
  <c r="B1794" i="8"/>
  <c r="C1795" i="8"/>
  <c r="D1794" i="8"/>
  <c r="E1792" i="8"/>
  <c r="I1795" i="8"/>
  <c r="H1795" i="8" s="1"/>
  <c r="J1794" i="8"/>
  <c r="C1796" i="8" l="1"/>
  <c r="D1795" i="8"/>
  <c r="B1795" i="8"/>
  <c r="E1793" i="8"/>
  <c r="I1796" i="8"/>
  <c r="H1796" i="8" s="1"/>
  <c r="J1795" i="8"/>
  <c r="K1793" i="8"/>
  <c r="B1796" i="8" l="1"/>
  <c r="D1796" i="8"/>
  <c r="C1797" i="8"/>
  <c r="E1794" i="8"/>
  <c r="I1797" i="8"/>
  <c r="H1797" i="8" s="1"/>
  <c r="J1796" i="8"/>
  <c r="K1795" i="8" s="1"/>
  <c r="K1794" i="8"/>
  <c r="E1795" i="8" l="1"/>
  <c r="D1797" i="8"/>
  <c r="B1797" i="8"/>
  <c r="C1798" i="8"/>
  <c r="I1798" i="8"/>
  <c r="H1798" i="8" s="1"/>
  <c r="J1797" i="8"/>
  <c r="B1798" i="8" l="1"/>
  <c r="C1799" i="8"/>
  <c r="D1798" i="8"/>
  <c r="E1796" i="8"/>
  <c r="I1799" i="8"/>
  <c r="H1799" i="8" s="1"/>
  <c r="J1798" i="8"/>
  <c r="K1797" i="8" s="1"/>
  <c r="K1796" i="8"/>
  <c r="E1797" i="8" l="1"/>
  <c r="B1799" i="8"/>
  <c r="C1800" i="8"/>
  <c r="D1799" i="8"/>
  <c r="I1800" i="8"/>
  <c r="H1800" i="8" s="1"/>
  <c r="J1799" i="8"/>
  <c r="E1798" i="8" l="1"/>
  <c r="B1800" i="8"/>
  <c r="C1801" i="8"/>
  <c r="D1800" i="8"/>
  <c r="I1801" i="8"/>
  <c r="H1801" i="8" s="1"/>
  <c r="J1800" i="8"/>
  <c r="K1798" i="8"/>
  <c r="C1802" i="8" l="1"/>
  <c r="B1801" i="8"/>
  <c r="D1801" i="8"/>
  <c r="E1800" i="8" s="1"/>
  <c r="E1799" i="8"/>
  <c r="I1802" i="8"/>
  <c r="H1802" i="8" s="1"/>
  <c r="J1801" i="8"/>
  <c r="K1800" i="8" s="1"/>
  <c r="K1799" i="8"/>
  <c r="B1802" i="8" l="1"/>
  <c r="C1803" i="8"/>
  <c r="D1802" i="8"/>
  <c r="I1803" i="8"/>
  <c r="H1803" i="8" s="1"/>
  <c r="J1802" i="8"/>
  <c r="B1803" i="8" l="1"/>
  <c r="C1804" i="8"/>
  <c r="D1803" i="8"/>
  <c r="E1801" i="8"/>
  <c r="K1801" i="8"/>
  <c r="I1804" i="8"/>
  <c r="H1804" i="8" s="1"/>
  <c r="J1803" i="8"/>
  <c r="E1802" i="8" l="1"/>
  <c r="B1804" i="8"/>
  <c r="D1804" i="8"/>
  <c r="C1805" i="8"/>
  <c r="I1805" i="8"/>
  <c r="H1805" i="8" s="1"/>
  <c r="J1804" i="8"/>
  <c r="K1803" i="8" s="1"/>
  <c r="K1802" i="8"/>
  <c r="E1803" i="8" l="1"/>
  <c r="B1805" i="8"/>
  <c r="C1806" i="8"/>
  <c r="D1805" i="8"/>
  <c r="I1806" i="8"/>
  <c r="H1806" i="8" s="1"/>
  <c r="J1805" i="8"/>
  <c r="E1804" i="8" l="1"/>
  <c r="B1806" i="8"/>
  <c r="C1807" i="8"/>
  <c r="D1806" i="8"/>
  <c r="I1807" i="8"/>
  <c r="H1807" i="8" s="1"/>
  <c r="J1806" i="8"/>
  <c r="K1804" i="8"/>
  <c r="E1805" i="8" l="1"/>
  <c r="K1805" i="8"/>
  <c r="D1807" i="8"/>
  <c r="B1807" i="8"/>
  <c r="C1808" i="8"/>
  <c r="I1808" i="8"/>
  <c r="H1808" i="8" s="1"/>
  <c r="J1807" i="8"/>
  <c r="C1809" i="8" l="1"/>
  <c r="D1808" i="8"/>
  <c r="B1808" i="8"/>
  <c r="E1806" i="8"/>
  <c r="K1806" i="8"/>
  <c r="I1809" i="8"/>
  <c r="H1809" i="8" s="1"/>
  <c r="J1808" i="8"/>
  <c r="E1807" i="8" l="1"/>
  <c r="D1809" i="8"/>
  <c r="C1810" i="8"/>
  <c r="B1809" i="8"/>
  <c r="I1810" i="8"/>
  <c r="H1810" i="8" s="1"/>
  <c r="J1809" i="8"/>
  <c r="K1808" i="8" s="1"/>
  <c r="K1807" i="8"/>
  <c r="E1808" i="8" l="1"/>
  <c r="B1810" i="8"/>
  <c r="C1811" i="8"/>
  <c r="D1810" i="8"/>
  <c r="I1811" i="8"/>
  <c r="H1811" i="8" s="1"/>
  <c r="J1810" i="8"/>
  <c r="E1809" i="8" l="1"/>
  <c r="B1811" i="8"/>
  <c r="D1811" i="8"/>
  <c r="C1812" i="8"/>
  <c r="I1812" i="8"/>
  <c r="H1812" i="8" s="1"/>
  <c r="J1811" i="8"/>
  <c r="K1810" i="8" s="1"/>
  <c r="K1809" i="8"/>
  <c r="E1810" i="8" l="1"/>
  <c r="B1812" i="8"/>
  <c r="C1813" i="8"/>
  <c r="D1812" i="8"/>
  <c r="I1813" i="8"/>
  <c r="H1813" i="8" s="1"/>
  <c r="J1812" i="8"/>
  <c r="B1813" i="8" l="1"/>
  <c r="C1814" i="8"/>
  <c r="D1813" i="8"/>
  <c r="E1811" i="8"/>
  <c r="I1814" i="8"/>
  <c r="H1814" i="8" s="1"/>
  <c r="J1813" i="8"/>
  <c r="K1812" i="8" s="1"/>
  <c r="K1811" i="8"/>
  <c r="B1814" i="8" l="1"/>
  <c r="D1814" i="8"/>
  <c r="C1815" i="8"/>
  <c r="E1812" i="8"/>
  <c r="I1815" i="8"/>
  <c r="H1815" i="8" s="1"/>
  <c r="J1814" i="8"/>
  <c r="E1813" i="8" l="1"/>
  <c r="B1815" i="8"/>
  <c r="C1816" i="8"/>
  <c r="D1815" i="8"/>
  <c r="E1814" i="8" s="1"/>
  <c r="K1813" i="8"/>
  <c r="I1816" i="8"/>
  <c r="H1816" i="8" s="1"/>
  <c r="J1815" i="8"/>
  <c r="B1816" i="8" l="1"/>
  <c r="D1816" i="8"/>
  <c r="C1817" i="8"/>
  <c r="I1817" i="8"/>
  <c r="H1817" i="8" s="1"/>
  <c r="J1816" i="8"/>
  <c r="K1814" i="8"/>
  <c r="C1818" i="8" l="1"/>
  <c r="B1817" i="8"/>
  <c r="D1817" i="8"/>
  <c r="E1815" i="8"/>
  <c r="I1818" i="8"/>
  <c r="H1818" i="8" s="1"/>
  <c r="J1817" i="8"/>
  <c r="K1816" i="8" s="1"/>
  <c r="K1815" i="8"/>
  <c r="E1816" i="8" l="1"/>
  <c r="D1818" i="8"/>
  <c r="C1819" i="8"/>
  <c r="B1818" i="8"/>
  <c r="I1819" i="8"/>
  <c r="H1819" i="8" s="1"/>
  <c r="J1818" i="8"/>
  <c r="B1819" i="8" l="1"/>
  <c r="C1820" i="8"/>
  <c r="D1819" i="8"/>
  <c r="K1817" i="8"/>
  <c r="E1817" i="8"/>
  <c r="I1820" i="8"/>
  <c r="H1820" i="8" s="1"/>
  <c r="J1819" i="8"/>
  <c r="E1818" i="8" l="1"/>
  <c r="B1820" i="8"/>
  <c r="C1821" i="8"/>
  <c r="D1820" i="8"/>
  <c r="I1821" i="8"/>
  <c r="H1821" i="8" s="1"/>
  <c r="J1820" i="8"/>
  <c r="K1818" i="8"/>
  <c r="E1819" i="8" l="1"/>
  <c r="B1821" i="8"/>
  <c r="C1822" i="8"/>
  <c r="D1821" i="8"/>
  <c r="I1822" i="8"/>
  <c r="H1822" i="8" s="1"/>
  <c r="J1821" i="8"/>
  <c r="K1819" i="8"/>
  <c r="K1820" i="8" l="1"/>
  <c r="D1822" i="8"/>
  <c r="C1823" i="8"/>
  <c r="B1822" i="8"/>
  <c r="E1820" i="8"/>
  <c r="I1823" i="8"/>
  <c r="H1823" i="8" s="1"/>
  <c r="J1822" i="8"/>
  <c r="K1821" i="8" s="1"/>
  <c r="D1823" i="8" l="1"/>
  <c r="C1824" i="8"/>
  <c r="B1823" i="8"/>
  <c r="E1821" i="8"/>
  <c r="I1824" i="8"/>
  <c r="H1824" i="8" s="1"/>
  <c r="J1823" i="8"/>
  <c r="E1822" i="8" l="1"/>
  <c r="D1824" i="8"/>
  <c r="C1825" i="8"/>
  <c r="B1824" i="8"/>
  <c r="K1822" i="8"/>
  <c r="I1825" i="8"/>
  <c r="H1825" i="8" s="1"/>
  <c r="J1824" i="8"/>
  <c r="E1823" i="8" l="1"/>
  <c r="K1823" i="8"/>
  <c r="B1825" i="8"/>
  <c r="D1825" i="8"/>
  <c r="C1826" i="8"/>
  <c r="I1826" i="8"/>
  <c r="H1826" i="8" s="1"/>
  <c r="J1825" i="8"/>
  <c r="K1824" i="8" s="1"/>
  <c r="E1824" i="8" l="1"/>
  <c r="B1826" i="8"/>
  <c r="C1827" i="8"/>
  <c r="D1826" i="8"/>
  <c r="I1827" i="8"/>
  <c r="H1827" i="8" s="1"/>
  <c r="J1826" i="8"/>
  <c r="E1825" i="8" l="1"/>
  <c r="B1827" i="8"/>
  <c r="D1827" i="8"/>
  <c r="E1826" i="8" s="1"/>
  <c r="C1828" i="8"/>
  <c r="I1828" i="8"/>
  <c r="H1828" i="8" s="1"/>
  <c r="J1827" i="8"/>
  <c r="K1826" i="8" s="1"/>
  <c r="K1825" i="8"/>
  <c r="B1828" i="8" l="1"/>
  <c r="C1829" i="8"/>
  <c r="D1828" i="8"/>
  <c r="I1829" i="8"/>
  <c r="H1829" i="8" s="1"/>
  <c r="J1828" i="8"/>
  <c r="E1827" i="8" l="1"/>
  <c r="C1830" i="8"/>
  <c r="D1829" i="8"/>
  <c r="B1829" i="8"/>
  <c r="K1827" i="8"/>
  <c r="I1830" i="8"/>
  <c r="H1830" i="8" s="1"/>
  <c r="J1829" i="8"/>
  <c r="K1828" i="8" s="1"/>
  <c r="E1828" i="8" l="1"/>
  <c r="D1830" i="8"/>
  <c r="C1831" i="8"/>
  <c r="B1830" i="8"/>
  <c r="I1831" i="8"/>
  <c r="H1831" i="8" s="1"/>
  <c r="J1830" i="8"/>
  <c r="E1829" i="8" l="1"/>
  <c r="C1832" i="8"/>
  <c r="D1831" i="8"/>
  <c r="B1831" i="8"/>
  <c r="K1829" i="8"/>
  <c r="I1832" i="8"/>
  <c r="H1832" i="8" s="1"/>
  <c r="J1831" i="8"/>
  <c r="E1830" i="8" l="1"/>
  <c r="C1833" i="8"/>
  <c r="D1832" i="8"/>
  <c r="B1832" i="8"/>
  <c r="I1833" i="8"/>
  <c r="H1833" i="8" s="1"/>
  <c r="J1832" i="8"/>
  <c r="K1830" i="8"/>
  <c r="K1831" i="8" l="1"/>
  <c r="E1831" i="8"/>
  <c r="C1834" i="8"/>
  <c r="D1833" i="8"/>
  <c r="B1833" i="8"/>
  <c r="I1834" i="8"/>
  <c r="H1834" i="8" s="1"/>
  <c r="J1833" i="8"/>
  <c r="E1832" i="8" l="1"/>
  <c r="C1835" i="8"/>
  <c r="B1834" i="8"/>
  <c r="D1834" i="8"/>
  <c r="K1832" i="8"/>
  <c r="I1835" i="8"/>
  <c r="H1835" i="8" s="1"/>
  <c r="J1834" i="8"/>
  <c r="C1836" i="8" l="1"/>
  <c r="D1835" i="8"/>
  <c r="B1835" i="8"/>
  <c r="E1833" i="8"/>
  <c r="K1833" i="8"/>
  <c r="I1836" i="8"/>
  <c r="H1836" i="8" s="1"/>
  <c r="J1835" i="8"/>
  <c r="E1834" i="8" l="1"/>
  <c r="K1834" i="8"/>
  <c r="B1836" i="8"/>
  <c r="C1837" i="8"/>
  <c r="D1836" i="8"/>
  <c r="E1835" i="8" s="1"/>
  <c r="I1837" i="8"/>
  <c r="H1837" i="8" s="1"/>
  <c r="J1836" i="8"/>
  <c r="K1835" i="8" s="1"/>
  <c r="B1837" i="8" l="1"/>
  <c r="C1838" i="8"/>
  <c r="D1837" i="8"/>
  <c r="I1838" i="8"/>
  <c r="H1838" i="8" s="1"/>
  <c r="J1837" i="8"/>
  <c r="K1836" i="8" s="1"/>
  <c r="E1836" i="8" l="1"/>
  <c r="C1839" i="8"/>
  <c r="B1838" i="8"/>
  <c r="D1838" i="8"/>
  <c r="E1837" i="8" s="1"/>
  <c r="I1839" i="8"/>
  <c r="H1839" i="8" s="1"/>
  <c r="J1838" i="8"/>
  <c r="D1839" i="8" l="1"/>
  <c r="B1839" i="8"/>
  <c r="C1840" i="8"/>
  <c r="K1837" i="8"/>
  <c r="I1840" i="8"/>
  <c r="H1840" i="8" s="1"/>
  <c r="J1839" i="8"/>
  <c r="D1840" i="8" l="1"/>
  <c r="B1840" i="8"/>
  <c r="C1841" i="8"/>
  <c r="E1838" i="8"/>
  <c r="I1841" i="8"/>
  <c r="H1841" i="8" s="1"/>
  <c r="J1840" i="8"/>
  <c r="K1838" i="8"/>
  <c r="E1839" i="8" l="1"/>
  <c r="D1841" i="8"/>
  <c r="B1841" i="8"/>
  <c r="C1842" i="8"/>
  <c r="I1842" i="8"/>
  <c r="H1842" i="8" s="1"/>
  <c r="J1841" i="8"/>
  <c r="K1839" i="8"/>
  <c r="B1842" i="8" l="1"/>
  <c r="C1843" i="8"/>
  <c r="D1842" i="8"/>
  <c r="E1841" i="8" s="1"/>
  <c r="E1840" i="8"/>
  <c r="I1843" i="8"/>
  <c r="H1843" i="8" s="1"/>
  <c r="J1842" i="8"/>
  <c r="K1840" i="8"/>
  <c r="B1843" i="8" l="1"/>
  <c r="C1844" i="8"/>
  <c r="D1843" i="8"/>
  <c r="I1844" i="8"/>
  <c r="H1844" i="8" s="1"/>
  <c r="J1843" i="8"/>
  <c r="K1841" i="8"/>
  <c r="D1844" i="8" l="1"/>
  <c r="C1845" i="8"/>
  <c r="B1844" i="8"/>
  <c r="E1842" i="8"/>
  <c r="K1842" i="8"/>
  <c r="I1845" i="8"/>
  <c r="H1845" i="8" s="1"/>
  <c r="J1844" i="8"/>
  <c r="E1843" i="8" l="1"/>
  <c r="D1845" i="8"/>
  <c r="C1846" i="8"/>
  <c r="B1845" i="8"/>
  <c r="K1843" i="8"/>
  <c r="I1846" i="8"/>
  <c r="H1846" i="8" s="1"/>
  <c r="J1845" i="8"/>
  <c r="D1846" i="8" l="1"/>
  <c r="C1847" i="8"/>
  <c r="B1846" i="8"/>
  <c r="E1844" i="8"/>
  <c r="I1847" i="8"/>
  <c r="H1847" i="8" s="1"/>
  <c r="J1846" i="8"/>
  <c r="K1844" i="8"/>
  <c r="E1845" i="8" l="1"/>
  <c r="D1847" i="8"/>
  <c r="C1848" i="8"/>
  <c r="B1847" i="8"/>
  <c r="I1848" i="8"/>
  <c r="H1848" i="8" s="1"/>
  <c r="J1847" i="8"/>
  <c r="K1846" i="8" s="1"/>
  <c r="K1845" i="8"/>
  <c r="E1846" i="8" l="1"/>
  <c r="B1848" i="8"/>
  <c r="C1849" i="8"/>
  <c r="D1848" i="8"/>
  <c r="E1847" i="8" s="1"/>
  <c r="I1849" i="8"/>
  <c r="H1849" i="8" s="1"/>
  <c r="J1848" i="8"/>
  <c r="K1847" i="8" s="1"/>
  <c r="B1849" i="8" l="1"/>
  <c r="D1849" i="8"/>
  <c r="C1850" i="8"/>
  <c r="I1850" i="8"/>
  <c r="H1850" i="8" s="1"/>
  <c r="J1849" i="8"/>
  <c r="K1848" i="8" l="1"/>
  <c r="D1850" i="8"/>
  <c r="B1850" i="8"/>
  <c r="C1851" i="8"/>
  <c r="E1848" i="8"/>
  <c r="I1851" i="8"/>
  <c r="H1851" i="8" s="1"/>
  <c r="J1850" i="8"/>
  <c r="E1849" i="8" l="1"/>
  <c r="C1852" i="8"/>
  <c r="D1851" i="8"/>
  <c r="B1851" i="8"/>
  <c r="I1852" i="8"/>
  <c r="H1852" i="8" s="1"/>
  <c r="J1851" i="8"/>
  <c r="K1849" i="8"/>
  <c r="E1850" i="8" l="1"/>
  <c r="K1850" i="8"/>
  <c r="B1852" i="8"/>
  <c r="D1852" i="8"/>
  <c r="C1853" i="8"/>
  <c r="I1853" i="8"/>
  <c r="H1853" i="8" s="1"/>
  <c r="J1852" i="8"/>
  <c r="D1853" i="8" l="1"/>
  <c r="C1854" i="8"/>
  <c r="B1853" i="8"/>
  <c r="E1851" i="8"/>
  <c r="K1851" i="8"/>
  <c r="I1854" i="8"/>
  <c r="H1854" i="8" s="1"/>
  <c r="J1853" i="8"/>
  <c r="E1852" i="8" l="1"/>
  <c r="K1852" i="8"/>
  <c r="B1854" i="8"/>
  <c r="C1855" i="8"/>
  <c r="D1854" i="8"/>
  <c r="I1855" i="8"/>
  <c r="H1855" i="8" s="1"/>
  <c r="J1854" i="8"/>
  <c r="B1855" i="8" l="1"/>
  <c r="C1856" i="8"/>
  <c r="D1855" i="8"/>
  <c r="E1853" i="8"/>
  <c r="K1853" i="8"/>
  <c r="I1856" i="8"/>
  <c r="H1856" i="8" s="1"/>
  <c r="J1855" i="8"/>
  <c r="K1854" i="8" s="1"/>
  <c r="B1856" i="8" l="1"/>
  <c r="C1857" i="8"/>
  <c r="D1856" i="8"/>
  <c r="E1854" i="8"/>
  <c r="I1857" i="8"/>
  <c r="H1857" i="8" s="1"/>
  <c r="J1856" i="8"/>
  <c r="D1857" i="8" l="1"/>
  <c r="C1858" i="8"/>
  <c r="B1857" i="8"/>
  <c r="E1855" i="8"/>
  <c r="K1855" i="8"/>
  <c r="I1858" i="8"/>
  <c r="H1858" i="8" s="1"/>
  <c r="J1857" i="8"/>
  <c r="B1858" i="8" l="1"/>
  <c r="C1859" i="8"/>
  <c r="D1858" i="8"/>
  <c r="E1856" i="8"/>
  <c r="I1859" i="8"/>
  <c r="H1859" i="8" s="1"/>
  <c r="J1858" i="8"/>
  <c r="K1856" i="8"/>
  <c r="E1857" i="8" l="1"/>
  <c r="K1857" i="8"/>
  <c r="D1859" i="8"/>
  <c r="C1860" i="8"/>
  <c r="B1859" i="8"/>
  <c r="I1860" i="8"/>
  <c r="H1860" i="8" s="1"/>
  <c r="J1859" i="8"/>
  <c r="C1861" i="8" l="1"/>
  <c r="B1860" i="8"/>
  <c r="D1860" i="8"/>
  <c r="E1858" i="8"/>
  <c r="K1858" i="8"/>
  <c r="I1861" i="8"/>
  <c r="H1861" i="8" s="1"/>
  <c r="J1860" i="8"/>
  <c r="E1859" i="8" l="1"/>
  <c r="K1859" i="8"/>
  <c r="D1861" i="8"/>
  <c r="B1861" i="8"/>
  <c r="C1862" i="8"/>
  <c r="I1862" i="8"/>
  <c r="H1862" i="8" s="1"/>
  <c r="J1861" i="8"/>
  <c r="K1860" i="8" s="1"/>
  <c r="B1862" i="8" l="1"/>
  <c r="C1863" i="8"/>
  <c r="D1862" i="8"/>
  <c r="E1860" i="8"/>
  <c r="I1863" i="8"/>
  <c r="H1863" i="8" s="1"/>
  <c r="J1862" i="8"/>
  <c r="E1861" i="8" l="1"/>
  <c r="C1864" i="8"/>
  <c r="D1863" i="8"/>
  <c r="B1863" i="8"/>
  <c r="K1861" i="8"/>
  <c r="I1864" i="8"/>
  <c r="H1864" i="8" s="1"/>
  <c r="J1863" i="8"/>
  <c r="E1862" i="8" l="1"/>
  <c r="K1862" i="8"/>
  <c r="B1864" i="8"/>
  <c r="D1864" i="8"/>
  <c r="C1865" i="8"/>
  <c r="I1865" i="8"/>
  <c r="H1865" i="8" s="1"/>
  <c r="J1864" i="8"/>
  <c r="E1863" i="8" l="1"/>
  <c r="C1866" i="8"/>
  <c r="D1865" i="8"/>
  <c r="B1865" i="8"/>
  <c r="K1863" i="8"/>
  <c r="I1866" i="8"/>
  <c r="H1866" i="8" s="1"/>
  <c r="J1865" i="8"/>
  <c r="K1864" i="8" s="1"/>
  <c r="D1866" i="8" l="1"/>
  <c r="B1866" i="8"/>
  <c r="C1867" i="8"/>
  <c r="E1864" i="8"/>
  <c r="I1867" i="8"/>
  <c r="H1867" i="8" s="1"/>
  <c r="J1866" i="8"/>
  <c r="E1865" i="8" l="1"/>
  <c r="C1868" i="8"/>
  <c r="B1867" i="8"/>
  <c r="D1867" i="8"/>
  <c r="K1865" i="8"/>
  <c r="I1868" i="8"/>
  <c r="H1868" i="8" s="1"/>
  <c r="J1867" i="8"/>
  <c r="K1866" i="8" s="1"/>
  <c r="E1866" i="8" l="1"/>
  <c r="C1869" i="8"/>
  <c r="D1868" i="8"/>
  <c r="B1868" i="8"/>
  <c r="I1869" i="8"/>
  <c r="H1869" i="8" s="1"/>
  <c r="J1868" i="8"/>
  <c r="K1867" i="8" s="1"/>
  <c r="B1869" i="8" l="1"/>
  <c r="D1869" i="8"/>
  <c r="C1870" i="8"/>
  <c r="E1867" i="8"/>
  <c r="I1870" i="8"/>
  <c r="H1870" i="8" s="1"/>
  <c r="J1869" i="8"/>
  <c r="D1870" i="8" l="1"/>
  <c r="C1871" i="8"/>
  <c r="B1870" i="8"/>
  <c r="E1868" i="8"/>
  <c r="K1868" i="8"/>
  <c r="I1871" i="8"/>
  <c r="H1871" i="8" s="1"/>
  <c r="J1870" i="8"/>
  <c r="E1869" i="8" l="1"/>
  <c r="D1871" i="8"/>
  <c r="B1871" i="8"/>
  <c r="C1872" i="8"/>
  <c r="I1872" i="8"/>
  <c r="H1872" i="8" s="1"/>
  <c r="J1871" i="8"/>
  <c r="K1869" i="8"/>
  <c r="E1870" i="8" l="1"/>
  <c r="B1872" i="8"/>
  <c r="C1873" i="8"/>
  <c r="D1872" i="8"/>
  <c r="E1871" i="8" s="1"/>
  <c r="K1870" i="8"/>
  <c r="I1873" i="8"/>
  <c r="H1873" i="8" s="1"/>
  <c r="J1872" i="8"/>
  <c r="K1871" i="8" l="1"/>
  <c r="C1874" i="8"/>
  <c r="D1873" i="8"/>
  <c r="B1873" i="8"/>
  <c r="I1874" i="8"/>
  <c r="H1874" i="8" s="1"/>
  <c r="J1873" i="8"/>
  <c r="E1872" i="8" l="1"/>
  <c r="B1874" i="8"/>
  <c r="C1875" i="8"/>
  <c r="D1874" i="8"/>
  <c r="K1872" i="8"/>
  <c r="I1875" i="8"/>
  <c r="H1875" i="8" s="1"/>
  <c r="J1874" i="8"/>
  <c r="D1875" i="8" l="1"/>
  <c r="B1875" i="8"/>
  <c r="C1876" i="8"/>
  <c r="E1873" i="8"/>
  <c r="I1876" i="8"/>
  <c r="H1876" i="8" s="1"/>
  <c r="J1875" i="8"/>
  <c r="K1873" i="8"/>
  <c r="E1874" i="8" l="1"/>
  <c r="B1876" i="8"/>
  <c r="C1877" i="8"/>
  <c r="D1876" i="8"/>
  <c r="K1874" i="8"/>
  <c r="I1877" i="8"/>
  <c r="H1877" i="8" s="1"/>
  <c r="J1876" i="8"/>
  <c r="K1875" i="8" s="1"/>
  <c r="E1875" i="8" l="1"/>
  <c r="D1877" i="8"/>
  <c r="B1877" i="8"/>
  <c r="C1878" i="8"/>
  <c r="I1878" i="8"/>
  <c r="H1878" i="8" s="1"/>
  <c r="J1877" i="8"/>
  <c r="C1879" i="8" l="1"/>
  <c r="B1878" i="8"/>
  <c r="D1878" i="8"/>
  <c r="E1876" i="8"/>
  <c r="I1879" i="8"/>
  <c r="H1879" i="8" s="1"/>
  <c r="J1878" i="8"/>
  <c r="K1877" i="8" s="1"/>
  <c r="K1876" i="8"/>
  <c r="E1877" i="8" l="1"/>
  <c r="D1879" i="8"/>
  <c r="C1880" i="8"/>
  <c r="B1879" i="8"/>
  <c r="I1880" i="8"/>
  <c r="H1880" i="8" s="1"/>
  <c r="J1879" i="8"/>
  <c r="E1878" i="8" l="1"/>
  <c r="B1880" i="8"/>
  <c r="C1881" i="8"/>
  <c r="D1880" i="8"/>
  <c r="E1879" i="8" s="1"/>
  <c r="I1881" i="8"/>
  <c r="H1881" i="8" s="1"/>
  <c r="J1880" i="8"/>
  <c r="K1879" i="8" s="1"/>
  <c r="K1878" i="8"/>
  <c r="D1881" i="8" l="1"/>
  <c r="C1882" i="8"/>
  <c r="B1881" i="8"/>
  <c r="I1882" i="8"/>
  <c r="H1882" i="8" s="1"/>
  <c r="J1881" i="8"/>
  <c r="C1883" i="8" l="1"/>
  <c r="D1882" i="8"/>
  <c r="B1882" i="8"/>
  <c r="E1880" i="8"/>
  <c r="I1883" i="8"/>
  <c r="H1883" i="8" s="1"/>
  <c r="J1882" i="8"/>
  <c r="K1881" i="8" s="1"/>
  <c r="K1880" i="8"/>
  <c r="E1881" i="8" l="1"/>
  <c r="B1883" i="8"/>
  <c r="D1883" i="8"/>
  <c r="E1882" i="8" s="1"/>
  <c r="C1884" i="8"/>
  <c r="I1884" i="8"/>
  <c r="H1884" i="8" s="1"/>
  <c r="J1883" i="8"/>
  <c r="B1884" i="8" l="1"/>
  <c r="C1885" i="8"/>
  <c r="D1884" i="8"/>
  <c r="I1885" i="8"/>
  <c r="H1885" i="8" s="1"/>
  <c r="J1884" i="8"/>
  <c r="K1882" i="8"/>
  <c r="D1885" i="8" l="1"/>
  <c r="B1885" i="8"/>
  <c r="C1886" i="8"/>
  <c r="E1883" i="8"/>
  <c r="I1886" i="8"/>
  <c r="H1886" i="8" s="1"/>
  <c r="J1885" i="8"/>
  <c r="K1883" i="8"/>
  <c r="B1886" i="8" l="1"/>
  <c r="C1887" i="8"/>
  <c r="D1886" i="8"/>
  <c r="E1884" i="8"/>
  <c r="I1887" i="8"/>
  <c r="H1887" i="8" s="1"/>
  <c r="J1886" i="8"/>
  <c r="K1885" i="8" s="1"/>
  <c r="K1884" i="8"/>
  <c r="E1885" i="8" l="1"/>
  <c r="C1888" i="8"/>
  <c r="D1887" i="8"/>
  <c r="B1887" i="8"/>
  <c r="I1888" i="8"/>
  <c r="H1888" i="8" s="1"/>
  <c r="J1887" i="8"/>
  <c r="E1886" i="8" l="1"/>
  <c r="B1888" i="8"/>
  <c r="C1889" i="8"/>
  <c r="D1888" i="8"/>
  <c r="I1889" i="8"/>
  <c r="H1889" i="8" s="1"/>
  <c r="J1888" i="8"/>
  <c r="K1887" i="8" s="1"/>
  <c r="K1886" i="8"/>
  <c r="E1887" i="8" l="1"/>
  <c r="B1889" i="8"/>
  <c r="C1890" i="8"/>
  <c r="D1889" i="8"/>
  <c r="I1890" i="8"/>
  <c r="H1890" i="8" s="1"/>
  <c r="J1889" i="8"/>
  <c r="B1890" i="8" l="1"/>
  <c r="C1891" i="8"/>
  <c r="D1890" i="8"/>
  <c r="E1888" i="8"/>
  <c r="I1891" i="8"/>
  <c r="H1891" i="8" s="1"/>
  <c r="J1890" i="8"/>
  <c r="K1888" i="8"/>
  <c r="C1892" i="8" l="1"/>
  <c r="B1891" i="8"/>
  <c r="D1891" i="8"/>
  <c r="E1890" i="8" s="1"/>
  <c r="E1889" i="8"/>
  <c r="I1892" i="8"/>
  <c r="H1892" i="8" s="1"/>
  <c r="J1891" i="8"/>
  <c r="K1890" i="8" s="1"/>
  <c r="K1889" i="8"/>
  <c r="B1892" i="8" l="1"/>
  <c r="D1892" i="8"/>
  <c r="C1893" i="8"/>
  <c r="I1893" i="8"/>
  <c r="H1893" i="8" s="1"/>
  <c r="J1892" i="8"/>
  <c r="C1894" i="8" l="1"/>
  <c r="B1893" i="8"/>
  <c r="D1893" i="8"/>
  <c r="E1891" i="8"/>
  <c r="I1894" i="8"/>
  <c r="H1894" i="8" s="1"/>
  <c r="J1893" i="8"/>
  <c r="K1891" i="8"/>
  <c r="B1894" i="8" l="1"/>
  <c r="C1895" i="8"/>
  <c r="D1894" i="8"/>
  <c r="E1892" i="8"/>
  <c r="I1895" i="8"/>
  <c r="H1895" i="8" s="1"/>
  <c r="J1894" i="8"/>
  <c r="K1892" i="8"/>
  <c r="E1893" i="8" l="1"/>
  <c r="C1896" i="8"/>
  <c r="B1895" i="8"/>
  <c r="D1895" i="8"/>
  <c r="I1896" i="8"/>
  <c r="H1896" i="8" s="1"/>
  <c r="J1895" i="8"/>
  <c r="K1894" i="8" s="1"/>
  <c r="K1893" i="8"/>
  <c r="E1894" i="8" l="1"/>
  <c r="B1896" i="8"/>
  <c r="D1896" i="8"/>
  <c r="C1897" i="8"/>
  <c r="I1897" i="8"/>
  <c r="H1897" i="8" s="1"/>
  <c r="J1896" i="8"/>
  <c r="E1895" i="8" l="1"/>
  <c r="B1897" i="8"/>
  <c r="C1898" i="8"/>
  <c r="D1897" i="8"/>
  <c r="K1895" i="8"/>
  <c r="I1898" i="8"/>
  <c r="H1898" i="8" s="1"/>
  <c r="J1897" i="8"/>
  <c r="E1896" i="8" l="1"/>
  <c r="K1896" i="8"/>
  <c r="B1898" i="8"/>
  <c r="C1899" i="8"/>
  <c r="D1898" i="8"/>
  <c r="I1899" i="8"/>
  <c r="H1899" i="8" s="1"/>
  <c r="J1898" i="8"/>
  <c r="D1899" i="8" l="1"/>
  <c r="B1899" i="8"/>
  <c r="C1900" i="8"/>
  <c r="E1897" i="8"/>
  <c r="K1897" i="8"/>
  <c r="I1900" i="8"/>
  <c r="H1900" i="8" s="1"/>
  <c r="J1899" i="8"/>
  <c r="E1898" i="8" l="1"/>
  <c r="D1900" i="8"/>
  <c r="B1900" i="8"/>
  <c r="C1901" i="8"/>
  <c r="K1898" i="8"/>
  <c r="I1901" i="8"/>
  <c r="H1901" i="8" s="1"/>
  <c r="J1900" i="8"/>
  <c r="E1899" i="8" l="1"/>
  <c r="K1899" i="8"/>
  <c r="D1901" i="8"/>
  <c r="C1902" i="8"/>
  <c r="B1901" i="8"/>
  <c r="I1902" i="8"/>
  <c r="H1902" i="8" s="1"/>
  <c r="J1901" i="8"/>
  <c r="K1900" i="8" s="1"/>
  <c r="E1900" i="8" l="1"/>
  <c r="C1903" i="8"/>
  <c r="D1902" i="8"/>
  <c r="B1902" i="8"/>
  <c r="I1903" i="8"/>
  <c r="H1903" i="8" s="1"/>
  <c r="J1902" i="8"/>
  <c r="E1901" i="8" l="1"/>
  <c r="D1903" i="8"/>
  <c r="B1903" i="8"/>
  <c r="C1904" i="8"/>
  <c r="I1904" i="8"/>
  <c r="H1904" i="8" s="1"/>
  <c r="J1903" i="8"/>
  <c r="K1902" i="8" s="1"/>
  <c r="K1901" i="8"/>
  <c r="E1902" i="8" l="1"/>
  <c r="B1904" i="8"/>
  <c r="D1904" i="8"/>
  <c r="C1905" i="8"/>
  <c r="I1905" i="8"/>
  <c r="H1905" i="8" s="1"/>
  <c r="J1904" i="8"/>
  <c r="E1903" i="8" l="1"/>
  <c r="B1905" i="8"/>
  <c r="D1905" i="8"/>
  <c r="C1906" i="8"/>
  <c r="I1906" i="8"/>
  <c r="H1906" i="8" s="1"/>
  <c r="J1905" i="8"/>
  <c r="K1903" i="8"/>
  <c r="B1906" i="8" l="1"/>
  <c r="D1906" i="8"/>
  <c r="C1907" i="8"/>
  <c r="E1904" i="8"/>
  <c r="I1907" i="8"/>
  <c r="H1907" i="8" s="1"/>
  <c r="J1906" i="8"/>
  <c r="K1904" i="8"/>
  <c r="E1905" i="8" l="1"/>
  <c r="B1907" i="8"/>
  <c r="D1907" i="8"/>
  <c r="C1908" i="8"/>
  <c r="I1908" i="8"/>
  <c r="H1908" i="8" s="1"/>
  <c r="J1907" i="8"/>
  <c r="K1906" i="8" s="1"/>
  <c r="K1905" i="8"/>
  <c r="B1908" i="8" l="1"/>
  <c r="D1908" i="8"/>
  <c r="C1909" i="8"/>
  <c r="E1906" i="8"/>
  <c r="I1909" i="8"/>
  <c r="H1909" i="8" s="1"/>
  <c r="J1908" i="8"/>
  <c r="E1907" i="8" l="1"/>
  <c r="B1909" i="8"/>
  <c r="D1909" i="8"/>
  <c r="C1910" i="8"/>
  <c r="I1910" i="8"/>
  <c r="H1910" i="8" s="1"/>
  <c r="J1909" i="8"/>
  <c r="K1907" i="8"/>
  <c r="B1910" i="8" l="1"/>
  <c r="D1910" i="8"/>
  <c r="E1909" i="8" s="1"/>
  <c r="C1911" i="8"/>
  <c r="E1908" i="8"/>
  <c r="K1908" i="8"/>
  <c r="I1911" i="8"/>
  <c r="H1911" i="8" s="1"/>
  <c r="J1910" i="8"/>
  <c r="K1909" i="8" l="1"/>
  <c r="D1911" i="8"/>
  <c r="B1911" i="8"/>
  <c r="C1912" i="8"/>
  <c r="I1912" i="8"/>
  <c r="H1912" i="8" s="1"/>
  <c r="J1911" i="8"/>
  <c r="E1910" i="8" l="1"/>
  <c r="C1913" i="8"/>
  <c r="B1912" i="8"/>
  <c r="D1912" i="8"/>
  <c r="K1910" i="8"/>
  <c r="I1913" i="8"/>
  <c r="H1913" i="8" s="1"/>
  <c r="J1912" i="8"/>
  <c r="E1911" i="8" l="1"/>
  <c r="C1914" i="8"/>
  <c r="D1913" i="8"/>
  <c r="B1913" i="8"/>
  <c r="K1911" i="8"/>
  <c r="I1914" i="8"/>
  <c r="H1914" i="8" s="1"/>
  <c r="J1913" i="8"/>
  <c r="K1912" i="8" s="1"/>
  <c r="D1914" i="8" l="1"/>
  <c r="C1915" i="8"/>
  <c r="B1914" i="8"/>
  <c r="E1912" i="8"/>
  <c r="I1915" i="8"/>
  <c r="H1915" i="8" s="1"/>
  <c r="J1914" i="8"/>
  <c r="D1915" i="8" l="1"/>
  <c r="B1915" i="8"/>
  <c r="C1916" i="8"/>
  <c r="E1913" i="8"/>
  <c r="I1916" i="8"/>
  <c r="H1916" i="8" s="1"/>
  <c r="J1915" i="8"/>
  <c r="K1913" i="8"/>
  <c r="K1914" i="8" l="1"/>
  <c r="E1914" i="8"/>
  <c r="B1916" i="8"/>
  <c r="C1917" i="8"/>
  <c r="D1916" i="8"/>
  <c r="I1917" i="8"/>
  <c r="H1917" i="8" s="1"/>
  <c r="J1916" i="8"/>
  <c r="E1915" i="8" l="1"/>
  <c r="C1918" i="8"/>
  <c r="B1917" i="8"/>
  <c r="D1917" i="8"/>
  <c r="I1918" i="8"/>
  <c r="H1918" i="8" s="1"/>
  <c r="J1917" i="8"/>
  <c r="K1915" i="8"/>
  <c r="E1916" i="8" l="1"/>
  <c r="D1918" i="8"/>
  <c r="C1919" i="8"/>
  <c r="B1918" i="8"/>
  <c r="I1919" i="8"/>
  <c r="H1919" i="8" s="1"/>
  <c r="J1918" i="8"/>
  <c r="K1917" i="8" s="1"/>
  <c r="K1916" i="8"/>
  <c r="E1917" i="8" l="1"/>
  <c r="B1919" i="8"/>
  <c r="C1920" i="8"/>
  <c r="D1919" i="8"/>
  <c r="I1920" i="8"/>
  <c r="H1920" i="8" s="1"/>
  <c r="J1919" i="8"/>
  <c r="E1918" i="8" l="1"/>
  <c r="C1921" i="8"/>
  <c r="D1920" i="8"/>
  <c r="B1920" i="8"/>
  <c r="I1921" i="8"/>
  <c r="H1921" i="8" s="1"/>
  <c r="J1920" i="8"/>
  <c r="K1918" i="8"/>
  <c r="E1919" i="8" l="1"/>
  <c r="B1921" i="8"/>
  <c r="D1921" i="8"/>
  <c r="C1922" i="8"/>
  <c r="K1919" i="8"/>
  <c r="I1922" i="8"/>
  <c r="H1922" i="8" s="1"/>
  <c r="J1921" i="8"/>
  <c r="E1920" i="8" l="1"/>
  <c r="D1922" i="8"/>
  <c r="B1922" i="8"/>
  <c r="C1923" i="8"/>
  <c r="I1923" i="8"/>
  <c r="H1923" i="8" s="1"/>
  <c r="J1922" i="8"/>
  <c r="K1921" i="8" s="1"/>
  <c r="K1920" i="8"/>
  <c r="E1921" i="8" l="1"/>
  <c r="C1924" i="8"/>
  <c r="D1923" i="8"/>
  <c r="B1923" i="8"/>
  <c r="I1924" i="8"/>
  <c r="H1924" i="8" s="1"/>
  <c r="J1923" i="8"/>
  <c r="E1922" i="8" l="1"/>
  <c r="D1924" i="8"/>
  <c r="B1924" i="8"/>
  <c r="C1925" i="8"/>
  <c r="K1922" i="8"/>
  <c r="I1925" i="8"/>
  <c r="H1925" i="8" s="1"/>
  <c r="J1924" i="8"/>
  <c r="D1925" i="8" l="1"/>
  <c r="B1925" i="8"/>
  <c r="C1926" i="8"/>
  <c r="E1923" i="8"/>
  <c r="I1926" i="8"/>
  <c r="H1926" i="8" s="1"/>
  <c r="J1925" i="8"/>
  <c r="K1923" i="8"/>
  <c r="E1924" i="8" l="1"/>
  <c r="C1927" i="8"/>
  <c r="D1926" i="8"/>
  <c r="B1926" i="8"/>
  <c r="I1927" i="8"/>
  <c r="H1927" i="8" s="1"/>
  <c r="J1926" i="8"/>
  <c r="K1925" i="8" s="1"/>
  <c r="K1924" i="8"/>
  <c r="E1925" i="8" l="1"/>
  <c r="D1927" i="8"/>
  <c r="C1928" i="8"/>
  <c r="B1927" i="8"/>
  <c r="I1928" i="8"/>
  <c r="H1928" i="8" s="1"/>
  <c r="J1927" i="8"/>
  <c r="K1926" i="8" s="1"/>
  <c r="C1929" i="8" l="1"/>
  <c r="D1928" i="8"/>
  <c r="B1928" i="8"/>
  <c r="E1926" i="8"/>
  <c r="I1929" i="8"/>
  <c r="H1929" i="8" s="1"/>
  <c r="J1928" i="8"/>
  <c r="K1927" i="8" s="1"/>
  <c r="E1927" i="8" l="1"/>
  <c r="B1929" i="8"/>
  <c r="D1929" i="8"/>
  <c r="C1930" i="8"/>
  <c r="I1930" i="8"/>
  <c r="H1930" i="8" s="1"/>
  <c r="J1929" i="8"/>
  <c r="C1931" i="8" l="1"/>
  <c r="D1930" i="8"/>
  <c r="B1930" i="8"/>
  <c r="E1928" i="8"/>
  <c r="I1931" i="8"/>
  <c r="H1931" i="8" s="1"/>
  <c r="J1930" i="8"/>
  <c r="K1929" i="8" s="1"/>
  <c r="K1928" i="8"/>
  <c r="E1929" i="8" l="1"/>
  <c r="B1931" i="8"/>
  <c r="C1932" i="8"/>
  <c r="D1931" i="8"/>
  <c r="I1932" i="8"/>
  <c r="H1932" i="8" s="1"/>
  <c r="J1931" i="8"/>
  <c r="B1932" i="8" l="1"/>
  <c r="C1933" i="8"/>
  <c r="D1932" i="8"/>
  <c r="E1930" i="8"/>
  <c r="I1933" i="8"/>
  <c r="H1933" i="8" s="1"/>
  <c r="J1932" i="8"/>
  <c r="K1930" i="8"/>
  <c r="B1933" i="8" l="1"/>
  <c r="C1934" i="8"/>
  <c r="D1933" i="8"/>
  <c r="E1931" i="8"/>
  <c r="K1931" i="8"/>
  <c r="I1934" i="8"/>
  <c r="H1934" i="8" s="1"/>
  <c r="J1933" i="8"/>
  <c r="B1934" i="8" l="1"/>
  <c r="D1934" i="8"/>
  <c r="C1935" i="8"/>
  <c r="E1932" i="8"/>
  <c r="I1935" i="8"/>
  <c r="H1935" i="8" s="1"/>
  <c r="J1934" i="8"/>
  <c r="K1933" i="8" s="1"/>
  <c r="K1932" i="8"/>
  <c r="E1933" i="8" l="1"/>
  <c r="B1935" i="8"/>
  <c r="C1936" i="8"/>
  <c r="D1935" i="8"/>
  <c r="E1934" i="8" s="1"/>
  <c r="I1936" i="8"/>
  <c r="H1936" i="8" s="1"/>
  <c r="J1935" i="8"/>
  <c r="K1934" i="8" l="1"/>
  <c r="C1937" i="8"/>
  <c r="B1936" i="8"/>
  <c r="D1936" i="8"/>
  <c r="I1937" i="8"/>
  <c r="H1937" i="8" s="1"/>
  <c r="J1936" i="8"/>
  <c r="C1938" i="8" l="1"/>
  <c r="B1937" i="8"/>
  <c r="D1937" i="8"/>
  <c r="E1935" i="8"/>
  <c r="I1938" i="8"/>
  <c r="H1938" i="8" s="1"/>
  <c r="J1937" i="8"/>
  <c r="K1936" i="8" s="1"/>
  <c r="K1935" i="8"/>
  <c r="E1936" i="8" l="1"/>
  <c r="D1938" i="8"/>
  <c r="C1939" i="8"/>
  <c r="B1938" i="8"/>
  <c r="I1939" i="8"/>
  <c r="H1939" i="8" s="1"/>
  <c r="J1938" i="8"/>
  <c r="C1940" i="8" l="1"/>
  <c r="D1939" i="8"/>
  <c r="B1939" i="8"/>
  <c r="E1937" i="8"/>
  <c r="I1940" i="8"/>
  <c r="H1940" i="8" s="1"/>
  <c r="J1939" i="8"/>
  <c r="K1937" i="8"/>
  <c r="E1938" i="8" l="1"/>
  <c r="D1940" i="8"/>
  <c r="B1940" i="8"/>
  <c r="C1941" i="8"/>
  <c r="I1941" i="8"/>
  <c r="H1941" i="8" s="1"/>
  <c r="J1940" i="8"/>
  <c r="K1939" i="8" s="1"/>
  <c r="K1938" i="8"/>
  <c r="D1941" i="8" l="1"/>
  <c r="B1941" i="8"/>
  <c r="C1942" i="8"/>
  <c r="E1939" i="8"/>
  <c r="I1942" i="8"/>
  <c r="H1942" i="8" s="1"/>
  <c r="J1941" i="8"/>
  <c r="E1940" i="8" l="1"/>
  <c r="D1942" i="8"/>
  <c r="B1942" i="8"/>
  <c r="C1943" i="8"/>
  <c r="K1940" i="8"/>
  <c r="I1943" i="8"/>
  <c r="H1943" i="8" s="1"/>
  <c r="J1942" i="8"/>
  <c r="K1941" i="8" s="1"/>
  <c r="B1943" i="8" l="1"/>
  <c r="C1944" i="8"/>
  <c r="D1943" i="8"/>
  <c r="E1941" i="8"/>
  <c r="I1944" i="8"/>
  <c r="H1944" i="8" s="1"/>
  <c r="J1943" i="8"/>
  <c r="E1942" i="8" l="1"/>
  <c r="B1944" i="8"/>
  <c r="C1945" i="8"/>
  <c r="D1944" i="8"/>
  <c r="I1945" i="8"/>
  <c r="H1945" i="8" s="1"/>
  <c r="J1944" i="8"/>
  <c r="K1942" i="8"/>
  <c r="C1946" i="8" l="1"/>
  <c r="D1945" i="8"/>
  <c r="B1945" i="8"/>
  <c r="E1943" i="8"/>
  <c r="K1943" i="8"/>
  <c r="I1946" i="8"/>
  <c r="H1946" i="8" s="1"/>
  <c r="J1945" i="8"/>
  <c r="K1944" i="8" s="1"/>
  <c r="E1944" i="8" l="1"/>
  <c r="B1946" i="8"/>
  <c r="C1947" i="8"/>
  <c r="D1946" i="8"/>
  <c r="I1947" i="8"/>
  <c r="H1947" i="8" s="1"/>
  <c r="J1946" i="8"/>
  <c r="B1947" i="8" l="1"/>
  <c r="C1948" i="8"/>
  <c r="D1947" i="8"/>
  <c r="E1945" i="8"/>
  <c r="I1948" i="8"/>
  <c r="H1948" i="8" s="1"/>
  <c r="J1947" i="8"/>
  <c r="K1946" i="8" s="1"/>
  <c r="K1945" i="8"/>
  <c r="C1949" i="8" l="1"/>
  <c r="D1948" i="8"/>
  <c r="B1948" i="8"/>
  <c r="E1946" i="8"/>
  <c r="I1949" i="8"/>
  <c r="H1949" i="8" s="1"/>
  <c r="J1948" i="8"/>
  <c r="K1947" i="8" s="1"/>
  <c r="D1949" i="8" l="1"/>
  <c r="C1950" i="8"/>
  <c r="B1949" i="8"/>
  <c r="E1947" i="8"/>
  <c r="I1950" i="8"/>
  <c r="H1950" i="8" s="1"/>
  <c r="J1949" i="8"/>
  <c r="E1948" i="8" l="1"/>
  <c r="D1950" i="8"/>
  <c r="C1951" i="8"/>
  <c r="B1950" i="8"/>
  <c r="K1948" i="8"/>
  <c r="I1951" i="8"/>
  <c r="H1951" i="8" s="1"/>
  <c r="J1950" i="8"/>
  <c r="D1951" i="8" l="1"/>
  <c r="C1952" i="8"/>
  <c r="B1951" i="8"/>
  <c r="E1949" i="8"/>
  <c r="I1952" i="8"/>
  <c r="H1952" i="8" s="1"/>
  <c r="J1951" i="8"/>
  <c r="K1950" i="8" s="1"/>
  <c r="K1949" i="8"/>
  <c r="E1950" i="8" l="1"/>
  <c r="C1953" i="8"/>
  <c r="B1952" i="8"/>
  <c r="D1952" i="8"/>
  <c r="I1953" i="8"/>
  <c r="H1953" i="8" s="1"/>
  <c r="J1952" i="8"/>
  <c r="E1951" i="8" l="1"/>
  <c r="D1953" i="8"/>
  <c r="B1953" i="8"/>
  <c r="C1954" i="8"/>
  <c r="K1951" i="8"/>
  <c r="I1954" i="8"/>
  <c r="H1954" i="8" s="1"/>
  <c r="J1953" i="8"/>
  <c r="E1952" i="8" l="1"/>
  <c r="B1954" i="8"/>
  <c r="D1954" i="8"/>
  <c r="C1955" i="8"/>
  <c r="K1952" i="8"/>
  <c r="I1955" i="8"/>
  <c r="H1955" i="8" s="1"/>
  <c r="J1954" i="8"/>
  <c r="B1955" i="8" l="1"/>
  <c r="C1956" i="8"/>
  <c r="D1955" i="8"/>
  <c r="E1953" i="8"/>
  <c r="K1953" i="8"/>
  <c r="I1956" i="8"/>
  <c r="H1956" i="8" s="1"/>
  <c r="J1955" i="8"/>
  <c r="E1954" i="8" l="1"/>
  <c r="D1956" i="8"/>
  <c r="B1956" i="8"/>
  <c r="C1957" i="8"/>
  <c r="K1954" i="8"/>
  <c r="I1957" i="8"/>
  <c r="H1957" i="8" s="1"/>
  <c r="J1956" i="8"/>
  <c r="K1955" i="8" s="1"/>
  <c r="E1955" i="8" l="1"/>
  <c r="C1958" i="8"/>
  <c r="B1957" i="8"/>
  <c r="D1957" i="8"/>
  <c r="I1958" i="8"/>
  <c r="H1958" i="8" s="1"/>
  <c r="J1957" i="8"/>
  <c r="E1956" i="8" l="1"/>
  <c r="B1958" i="8"/>
  <c r="D1958" i="8"/>
  <c r="C1959" i="8"/>
  <c r="I1959" i="8"/>
  <c r="H1959" i="8" s="1"/>
  <c r="J1958" i="8"/>
  <c r="K1957" i="8" s="1"/>
  <c r="K1956" i="8"/>
  <c r="C1960" i="8" l="1"/>
  <c r="B1959" i="8"/>
  <c r="D1959" i="8"/>
  <c r="E1957" i="8"/>
  <c r="I1960" i="8"/>
  <c r="H1960" i="8" s="1"/>
  <c r="J1959" i="8"/>
  <c r="K1958" i="8" s="1"/>
  <c r="E1958" i="8" l="1"/>
  <c r="C1961" i="8"/>
  <c r="D1960" i="8"/>
  <c r="B1960" i="8"/>
  <c r="I1961" i="8"/>
  <c r="H1961" i="8" s="1"/>
  <c r="J1960" i="8"/>
  <c r="C1962" i="8" l="1"/>
  <c r="D1961" i="8"/>
  <c r="B1961" i="8"/>
  <c r="K1959" i="8"/>
  <c r="E1959" i="8"/>
  <c r="I1962" i="8"/>
  <c r="H1962" i="8" s="1"/>
  <c r="J1961" i="8"/>
  <c r="E1960" i="8" l="1"/>
  <c r="K1960" i="8"/>
  <c r="D1962" i="8"/>
  <c r="B1962" i="8"/>
  <c r="C1963" i="8"/>
  <c r="I1963" i="8"/>
  <c r="H1963" i="8" s="1"/>
  <c r="J1962" i="8"/>
  <c r="B1963" i="8" l="1"/>
  <c r="C1964" i="8"/>
  <c r="D1963" i="8"/>
  <c r="E1961" i="8"/>
  <c r="K1961" i="8"/>
  <c r="I1964" i="8"/>
  <c r="H1964" i="8" s="1"/>
  <c r="J1963" i="8"/>
  <c r="E1962" i="8" l="1"/>
  <c r="C1965" i="8"/>
  <c r="B1964" i="8"/>
  <c r="D1964" i="8"/>
  <c r="E1963" i="8" s="1"/>
  <c r="I1965" i="8"/>
  <c r="H1965" i="8" s="1"/>
  <c r="J1964" i="8"/>
  <c r="K1962" i="8"/>
  <c r="C1966" i="8" l="1"/>
  <c r="B1965" i="8"/>
  <c r="D1965" i="8"/>
  <c r="K1963" i="8"/>
  <c r="I1966" i="8"/>
  <c r="H1966" i="8" s="1"/>
  <c r="J1965" i="8"/>
  <c r="E1964" i="8" l="1"/>
  <c r="D1966" i="8"/>
  <c r="B1966" i="8"/>
  <c r="C1967" i="8"/>
  <c r="I1967" i="8"/>
  <c r="H1967" i="8" s="1"/>
  <c r="J1966" i="8"/>
  <c r="K1964" i="8"/>
  <c r="D1967" i="8" l="1"/>
  <c r="C1968" i="8"/>
  <c r="B1967" i="8"/>
  <c r="E1965" i="8"/>
  <c r="K1965" i="8"/>
  <c r="I1968" i="8"/>
  <c r="H1968" i="8" s="1"/>
  <c r="J1967" i="8"/>
  <c r="E1966" i="8" l="1"/>
  <c r="B1968" i="8"/>
  <c r="D1968" i="8"/>
  <c r="C1969" i="8"/>
  <c r="I1969" i="8"/>
  <c r="H1969" i="8" s="1"/>
  <c r="J1968" i="8"/>
  <c r="K1966" i="8"/>
  <c r="E1967" i="8" l="1"/>
  <c r="C1970" i="8"/>
  <c r="D1969" i="8"/>
  <c r="B1969" i="8"/>
  <c r="I1970" i="8"/>
  <c r="H1970" i="8" s="1"/>
  <c r="J1969" i="8"/>
  <c r="K1967" i="8"/>
  <c r="E1968" i="8" l="1"/>
  <c r="K1968" i="8"/>
  <c r="C1971" i="8"/>
  <c r="D1970" i="8"/>
  <c r="B1970" i="8"/>
  <c r="I1971" i="8"/>
  <c r="H1971" i="8" s="1"/>
  <c r="J1970" i="8"/>
  <c r="E1969" i="8" l="1"/>
  <c r="D1971" i="8"/>
  <c r="B1971" i="8"/>
  <c r="C1972" i="8"/>
  <c r="I1972" i="8"/>
  <c r="H1972" i="8" s="1"/>
  <c r="J1971" i="8"/>
  <c r="K1969" i="8"/>
  <c r="D1972" i="8" l="1"/>
  <c r="B1972" i="8"/>
  <c r="C1973" i="8"/>
  <c r="E1970" i="8"/>
  <c r="I1973" i="8"/>
  <c r="H1973" i="8" s="1"/>
  <c r="J1972" i="8"/>
  <c r="K1970" i="8"/>
  <c r="D1973" i="8" l="1"/>
  <c r="B1973" i="8"/>
  <c r="C1974" i="8"/>
  <c r="E1971" i="8"/>
  <c r="I1974" i="8"/>
  <c r="H1974" i="8" s="1"/>
  <c r="J1973" i="8"/>
  <c r="K1971" i="8"/>
  <c r="E1972" i="8" l="1"/>
  <c r="D1974" i="8"/>
  <c r="B1974" i="8"/>
  <c r="C1975" i="8"/>
  <c r="I1975" i="8"/>
  <c r="H1975" i="8" s="1"/>
  <c r="J1974" i="8"/>
  <c r="K1972" i="8"/>
  <c r="E1973" i="8" l="1"/>
  <c r="D1975" i="8"/>
  <c r="B1975" i="8"/>
  <c r="C1976" i="8"/>
  <c r="K1973" i="8"/>
  <c r="I1976" i="8"/>
  <c r="H1976" i="8" s="1"/>
  <c r="J1975" i="8"/>
  <c r="C1977" i="8" l="1"/>
  <c r="B1976" i="8"/>
  <c r="D1976" i="8"/>
  <c r="K1974" i="8"/>
  <c r="E1974" i="8"/>
  <c r="I1977" i="8"/>
  <c r="H1977" i="8" s="1"/>
  <c r="J1976" i="8"/>
  <c r="K1975" i="8" s="1"/>
  <c r="E1975" i="8" l="1"/>
  <c r="B1977" i="8"/>
  <c r="D1977" i="8"/>
  <c r="C1978" i="8"/>
  <c r="I1978" i="8"/>
  <c r="H1978" i="8" s="1"/>
  <c r="J1977" i="8"/>
  <c r="E1976" i="8" l="1"/>
  <c r="C1979" i="8"/>
  <c r="B1978" i="8"/>
  <c r="D1978" i="8"/>
  <c r="K1976" i="8"/>
  <c r="I1979" i="8"/>
  <c r="H1979" i="8" s="1"/>
  <c r="J1978" i="8"/>
  <c r="E1977" i="8" l="1"/>
  <c r="D1979" i="8"/>
  <c r="C1980" i="8"/>
  <c r="B1979" i="8"/>
  <c r="K1977" i="8"/>
  <c r="I1980" i="8"/>
  <c r="H1980" i="8" s="1"/>
  <c r="J1979" i="8"/>
  <c r="K1978" i="8" l="1"/>
  <c r="E1978" i="8"/>
  <c r="B1980" i="8"/>
  <c r="D1980" i="8"/>
  <c r="E1979" i="8" s="1"/>
  <c r="C1981" i="8"/>
  <c r="I1981" i="8"/>
  <c r="H1981" i="8" s="1"/>
  <c r="J1980" i="8"/>
  <c r="D1981" i="8" l="1"/>
  <c r="B1981" i="8"/>
  <c r="C1982" i="8"/>
  <c r="I1982" i="8"/>
  <c r="H1982" i="8" s="1"/>
  <c r="J1981" i="8"/>
  <c r="K1980" i="8" s="1"/>
  <c r="K1979" i="8"/>
  <c r="E1980" i="8" l="1"/>
  <c r="C1983" i="8"/>
  <c r="B1982" i="8"/>
  <c r="D1982" i="8"/>
  <c r="I1983" i="8"/>
  <c r="H1983" i="8" s="1"/>
  <c r="J1982" i="8"/>
  <c r="E1981" i="8" l="1"/>
  <c r="B1983" i="8"/>
  <c r="C1984" i="8"/>
  <c r="D1983" i="8"/>
  <c r="K1981" i="8"/>
  <c r="I1984" i="8"/>
  <c r="H1984" i="8" s="1"/>
  <c r="J1983" i="8"/>
  <c r="K1982" i="8" s="1"/>
  <c r="D1984" i="8" l="1"/>
  <c r="C1985" i="8"/>
  <c r="B1984" i="8"/>
  <c r="E1982" i="8"/>
  <c r="I1985" i="8"/>
  <c r="H1985" i="8" s="1"/>
  <c r="J1984" i="8"/>
  <c r="K1983" i="8" s="1"/>
  <c r="E1983" i="8" l="1"/>
  <c r="B1985" i="8"/>
  <c r="D1985" i="8"/>
  <c r="C1986" i="8"/>
  <c r="I1986" i="8"/>
  <c r="H1986" i="8" s="1"/>
  <c r="J1985" i="8"/>
  <c r="D1986" i="8" l="1"/>
  <c r="B1986" i="8"/>
  <c r="C1987" i="8"/>
  <c r="E1984" i="8"/>
  <c r="I1987" i="8"/>
  <c r="H1987" i="8" s="1"/>
  <c r="J1986" i="8"/>
  <c r="K1985" i="8" s="1"/>
  <c r="K1984" i="8"/>
  <c r="E1985" i="8" l="1"/>
  <c r="B1987" i="8"/>
  <c r="C1988" i="8"/>
  <c r="D1987" i="8"/>
  <c r="I1988" i="8"/>
  <c r="H1988" i="8" s="1"/>
  <c r="J1987" i="8"/>
  <c r="B1988" i="8" l="1"/>
  <c r="D1988" i="8"/>
  <c r="C1989" i="8"/>
  <c r="E1986" i="8"/>
  <c r="K1986" i="8"/>
  <c r="I1989" i="8"/>
  <c r="H1989" i="8" s="1"/>
  <c r="J1988" i="8"/>
  <c r="E1987" i="8" l="1"/>
  <c r="B1989" i="8"/>
  <c r="D1989" i="8"/>
  <c r="C1990" i="8"/>
  <c r="I1990" i="8"/>
  <c r="H1990" i="8" s="1"/>
  <c r="J1989" i="8"/>
  <c r="K1987" i="8"/>
  <c r="B1990" i="8" l="1"/>
  <c r="D1990" i="8"/>
  <c r="C1991" i="8"/>
  <c r="E1988" i="8"/>
  <c r="K1988" i="8"/>
  <c r="I1991" i="8"/>
  <c r="H1991" i="8" s="1"/>
  <c r="J1990" i="8"/>
  <c r="E1989" i="8" l="1"/>
  <c r="C1992" i="8"/>
  <c r="D1991" i="8"/>
  <c r="B1991" i="8"/>
  <c r="I1992" i="8"/>
  <c r="H1992" i="8" s="1"/>
  <c r="J1991" i="8"/>
  <c r="K1989" i="8"/>
  <c r="E1990" i="8" l="1"/>
  <c r="B1992" i="8"/>
  <c r="C1993" i="8"/>
  <c r="D1992" i="8"/>
  <c r="K1990" i="8"/>
  <c r="I1993" i="8"/>
  <c r="H1993" i="8" s="1"/>
  <c r="J1992" i="8"/>
  <c r="K1991" i="8" s="1"/>
  <c r="B1993" i="8" l="1"/>
  <c r="C1994" i="8"/>
  <c r="D1993" i="8"/>
  <c r="E1991" i="8"/>
  <c r="I1994" i="8"/>
  <c r="H1994" i="8" s="1"/>
  <c r="J1993" i="8"/>
  <c r="E1992" i="8" l="1"/>
  <c r="B1994" i="8"/>
  <c r="C1995" i="8"/>
  <c r="D1994" i="8"/>
  <c r="I1995" i="8"/>
  <c r="H1995" i="8" s="1"/>
  <c r="J1994" i="8"/>
  <c r="K1992" i="8"/>
  <c r="E1993" i="8" l="1"/>
  <c r="C1996" i="8"/>
  <c r="D1995" i="8"/>
  <c r="B1995" i="8"/>
  <c r="K1993" i="8"/>
  <c r="I1996" i="8"/>
  <c r="H1996" i="8" s="1"/>
  <c r="J1995" i="8"/>
  <c r="C1997" i="8" l="1"/>
  <c r="B1996" i="8"/>
  <c r="D1996" i="8"/>
  <c r="E1994" i="8"/>
  <c r="I1997" i="8"/>
  <c r="H1997" i="8" s="1"/>
  <c r="J1996" i="8"/>
  <c r="K1995" i="8" s="1"/>
  <c r="K1994" i="8"/>
  <c r="D1997" i="8" l="1"/>
  <c r="C1998" i="8"/>
  <c r="B1997" i="8"/>
  <c r="E1995" i="8"/>
  <c r="I1998" i="8"/>
  <c r="H1998" i="8" s="1"/>
  <c r="J1997" i="8"/>
  <c r="E1996" i="8" l="1"/>
  <c r="C1999" i="8"/>
  <c r="D1998" i="8"/>
  <c r="B1998" i="8"/>
  <c r="I1999" i="8"/>
  <c r="H1999" i="8" s="1"/>
  <c r="J1998" i="8"/>
  <c r="K1996" i="8"/>
  <c r="E1997" i="8" l="1"/>
  <c r="D1999" i="8"/>
  <c r="B1999" i="8"/>
  <c r="C2000" i="8"/>
  <c r="I2000" i="8"/>
  <c r="H2000" i="8" s="1"/>
  <c r="J1999" i="8"/>
  <c r="K1997" i="8"/>
  <c r="B2000" i="8" l="1"/>
  <c r="C2001" i="8"/>
  <c r="D2000" i="8"/>
  <c r="E1998" i="8"/>
  <c r="I2001" i="8"/>
  <c r="H2001" i="8" s="1"/>
  <c r="J2000" i="8"/>
  <c r="K1998" i="8"/>
  <c r="E1999" i="8" l="1"/>
  <c r="B2001" i="8"/>
  <c r="C2002" i="8"/>
  <c r="D2001" i="8"/>
  <c r="I2002" i="8"/>
  <c r="H2002" i="8" s="1"/>
  <c r="J2001" i="8"/>
  <c r="K1999" i="8"/>
  <c r="E2000" i="8" l="1"/>
  <c r="B2002" i="8"/>
  <c r="C2003" i="8"/>
  <c r="D2002" i="8"/>
  <c r="K2000" i="8"/>
  <c r="I2003" i="8"/>
  <c r="H2003" i="8" s="1"/>
  <c r="J2002" i="8"/>
  <c r="E2001" i="8" l="1"/>
  <c r="D2003" i="8"/>
  <c r="B2003" i="8"/>
  <c r="C2004" i="8"/>
  <c r="I2004" i="8"/>
  <c r="H2004" i="8" s="1"/>
  <c r="J2003" i="8"/>
  <c r="K2001" i="8"/>
  <c r="B2004" i="8" l="1"/>
  <c r="C2005" i="8"/>
  <c r="D2004" i="8"/>
  <c r="E2002" i="8"/>
  <c r="I2005" i="8"/>
  <c r="H2005" i="8" s="1"/>
  <c r="J2004" i="8"/>
  <c r="K2002" i="8"/>
  <c r="C2006" i="8" l="1"/>
  <c r="D2005" i="8"/>
  <c r="B2005" i="8"/>
  <c r="E2003" i="8"/>
  <c r="I2006" i="8"/>
  <c r="H2006" i="8" s="1"/>
  <c r="J2005" i="8"/>
  <c r="K2004" i="8" s="1"/>
  <c r="K2003" i="8"/>
  <c r="B2006" i="8" l="1"/>
  <c r="C2007" i="8"/>
  <c r="D2006" i="8"/>
  <c r="E2004" i="8"/>
  <c r="I2007" i="8"/>
  <c r="H2007" i="8" s="1"/>
  <c r="J2006" i="8"/>
  <c r="E2005" i="8" l="1"/>
  <c r="B2007" i="8"/>
  <c r="C2008" i="8"/>
  <c r="D2007" i="8"/>
  <c r="I2008" i="8"/>
  <c r="H2008" i="8" s="1"/>
  <c r="J2007" i="8"/>
  <c r="K2005" i="8"/>
  <c r="E2006" i="8" l="1"/>
  <c r="B2008" i="8"/>
  <c r="C2009" i="8"/>
  <c r="D2008" i="8"/>
  <c r="K2006" i="8"/>
  <c r="I2009" i="8"/>
  <c r="H2009" i="8" s="1"/>
  <c r="J2008" i="8"/>
  <c r="K2007" i="8" s="1"/>
  <c r="E2007" i="8" l="1"/>
  <c r="C2010" i="8"/>
  <c r="B2009" i="8"/>
  <c r="D2009" i="8"/>
  <c r="I2010" i="8"/>
  <c r="H2010" i="8" s="1"/>
  <c r="J2009" i="8"/>
  <c r="E2008" i="8" l="1"/>
  <c r="B2010" i="8"/>
  <c r="C2011" i="8"/>
  <c r="D2010" i="8"/>
  <c r="I2011" i="8"/>
  <c r="H2011" i="8" s="1"/>
  <c r="J2010" i="8"/>
  <c r="K2008" i="8"/>
  <c r="C2012" i="8" l="1"/>
  <c r="D2011" i="8"/>
  <c r="B2011" i="8"/>
  <c r="E2009" i="8"/>
  <c r="I2012" i="8"/>
  <c r="H2012" i="8" s="1"/>
  <c r="J2011" i="8"/>
  <c r="K2009" i="8"/>
  <c r="E2010" i="8" l="1"/>
  <c r="C2013" i="8"/>
  <c r="D2012" i="8"/>
  <c r="B2012" i="8"/>
  <c r="I2013" i="8"/>
  <c r="H2013" i="8" s="1"/>
  <c r="J2012" i="8"/>
  <c r="K2010" i="8"/>
  <c r="B2013" i="8" l="1"/>
  <c r="C2014" i="8"/>
  <c r="D2013" i="8"/>
  <c r="E2011" i="8"/>
  <c r="I2014" i="8"/>
  <c r="H2014" i="8" s="1"/>
  <c r="J2013" i="8"/>
  <c r="K2011" i="8"/>
  <c r="E2012" i="8" l="1"/>
  <c r="B2014" i="8"/>
  <c r="D2014" i="8"/>
  <c r="C2015" i="8"/>
  <c r="K2012" i="8"/>
  <c r="I2015" i="8"/>
  <c r="H2015" i="8" s="1"/>
  <c r="J2014" i="8"/>
  <c r="B2015" i="8" l="1"/>
  <c r="D2015" i="8"/>
  <c r="C2016" i="8"/>
  <c r="E2013" i="8"/>
  <c r="I2016" i="8"/>
  <c r="H2016" i="8" s="1"/>
  <c r="J2015" i="8"/>
  <c r="K2013" i="8"/>
  <c r="B2016" i="8" l="1"/>
  <c r="C2017" i="8"/>
  <c r="D2016" i="8"/>
  <c r="E2014" i="8"/>
  <c r="I2017" i="8"/>
  <c r="H2017" i="8" s="1"/>
  <c r="J2016" i="8"/>
  <c r="K2014" i="8"/>
  <c r="K2015" i="8" l="1"/>
  <c r="E2015" i="8"/>
  <c r="B2017" i="8"/>
  <c r="D2017" i="8"/>
  <c r="C2018" i="8"/>
  <c r="I2018" i="8"/>
  <c r="H2018" i="8" s="1"/>
  <c r="J2017" i="8"/>
  <c r="K2016" i="8" s="1"/>
  <c r="E2016" i="8" l="1"/>
  <c r="C2019" i="8"/>
  <c r="D2018" i="8"/>
  <c r="B2018" i="8"/>
  <c r="I2019" i="8"/>
  <c r="H2019" i="8" s="1"/>
  <c r="J2018" i="8"/>
  <c r="E2017" i="8" l="1"/>
  <c r="D2019" i="8"/>
  <c r="C2020" i="8"/>
  <c r="B2019" i="8"/>
  <c r="K2017" i="8"/>
  <c r="I2020" i="8"/>
  <c r="H2020" i="8" s="1"/>
  <c r="J2019" i="8"/>
  <c r="C2021" i="8" l="1"/>
  <c r="B2020" i="8"/>
  <c r="D2020" i="8"/>
  <c r="E2018" i="8"/>
  <c r="I2021" i="8"/>
  <c r="H2021" i="8" s="1"/>
  <c r="J2020" i="8"/>
  <c r="K2018" i="8"/>
  <c r="E2019" i="8" l="1"/>
  <c r="K2019" i="8"/>
  <c r="B2021" i="8"/>
  <c r="D2021" i="8"/>
  <c r="C2022" i="8"/>
  <c r="I2022" i="8"/>
  <c r="H2022" i="8" s="1"/>
  <c r="J2021" i="8"/>
  <c r="E2020" i="8" l="1"/>
  <c r="B2022" i="8"/>
  <c r="C2023" i="8"/>
  <c r="D2022" i="8"/>
  <c r="K2020" i="8"/>
  <c r="I2023" i="8"/>
  <c r="H2023" i="8" s="1"/>
  <c r="J2022" i="8"/>
  <c r="E2021" i="8" l="1"/>
  <c r="D2023" i="8"/>
  <c r="B2023" i="8"/>
  <c r="C2024" i="8"/>
  <c r="K2021" i="8"/>
  <c r="I2024" i="8"/>
  <c r="H2024" i="8" s="1"/>
  <c r="J2023" i="8"/>
  <c r="K2022" i="8" s="1"/>
  <c r="E2022" i="8" l="1"/>
  <c r="B2024" i="8"/>
  <c r="C2025" i="8"/>
  <c r="D2024" i="8"/>
  <c r="I2025" i="8"/>
  <c r="H2025" i="8" s="1"/>
  <c r="J2024" i="8"/>
  <c r="K2023" i="8" l="1"/>
  <c r="C2026" i="8"/>
  <c r="D2025" i="8"/>
  <c r="B2025" i="8"/>
  <c r="E2023" i="8"/>
  <c r="I2026" i="8"/>
  <c r="H2026" i="8" s="1"/>
  <c r="J2025" i="8"/>
  <c r="E2024" i="8" l="1"/>
  <c r="C2027" i="8"/>
  <c r="D2026" i="8"/>
  <c r="B2026" i="8"/>
  <c r="I2027" i="8"/>
  <c r="H2027" i="8" s="1"/>
  <c r="J2026" i="8"/>
  <c r="K2024" i="8"/>
  <c r="D2027" i="8" l="1"/>
  <c r="C2028" i="8"/>
  <c r="B2027" i="8"/>
  <c r="E2025" i="8"/>
  <c r="I2028" i="8"/>
  <c r="H2028" i="8" s="1"/>
  <c r="J2027" i="8"/>
  <c r="K2025" i="8"/>
  <c r="E2026" i="8" l="1"/>
  <c r="B2028" i="8"/>
  <c r="C2029" i="8"/>
  <c r="D2028" i="8"/>
  <c r="K2026" i="8"/>
  <c r="I2029" i="8"/>
  <c r="H2029" i="8" s="1"/>
  <c r="J2028" i="8"/>
  <c r="B2029" i="8" l="1"/>
  <c r="C2030" i="8"/>
  <c r="D2029" i="8"/>
  <c r="E2027" i="8"/>
  <c r="I2030" i="8"/>
  <c r="H2030" i="8" s="1"/>
  <c r="J2029" i="8"/>
  <c r="K2028" i="8" s="1"/>
  <c r="K2027" i="8"/>
  <c r="B2030" i="8" l="1"/>
  <c r="C2031" i="8"/>
  <c r="D2030" i="8"/>
  <c r="E2028" i="8"/>
  <c r="I2031" i="8"/>
  <c r="H2031" i="8" s="1"/>
  <c r="J2030" i="8"/>
  <c r="E2029" i="8" l="1"/>
  <c r="C2032" i="8"/>
  <c r="D2031" i="8"/>
  <c r="B2031" i="8"/>
  <c r="I2032" i="8"/>
  <c r="H2032" i="8" s="1"/>
  <c r="J2031" i="8"/>
  <c r="K2030" i="8" s="1"/>
  <c r="K2029" i="8"/>
  <c r="E2030" i="8" l="1"/>
  <c r="C2033" i="8"/>
  <c r="D2032" i="8"/>
  <c r="B2032" i="8"/>
  <c r="I2033" i="8"/>
  <c r="H2033" i="8" s="1"/>
  <c r="J2032" i="8"/>
  <c r="C2034" i="8" l="1"/>
  <c r="D2033" i="8"/>
  <c r="B2033" i="8"/>
  <c r="E2031" i="8"/>
  <c r="I2034" i="8"/>
  <c r="H2034" i="8" s="1"/>
  <c r="J2033" i="8"/>
  <c r="K2031" i="8"/>
  <c r="B2034" i="8" l="1"/>
  <c r="C2035" i="8"/>
  <c r="D2034" i="8"/>
  <c r="E2032" i="8"/>
  <c r="I2035" i="8"/>
  <c r="H2035" i="8" s="1"/>
  <c r="J2034" i="8"/>
  <c r="K2032" i="8"/>
  <c r="E2033" i="8" l="1"/>
  <c r="B2035" i="8"/>
  <c r="D2035" i="8"/>
  <c r="C2036" i="8"/>
  <c r="I2036" i="8"/>
  <c r="H2036" i="8" s="1"/>
  <c r="J2035" i="8"/>
  <c r="K2033" i="8"/>
  <c r="B2036" i="8" l="1"/>
  <c r="C2037" i="8"/>
  <c r="D2036" i="8"/>
  <c r="E2034" i="8"/>
  <c r="I2037" i="8"/>
  <c r="H2037" i="8" s="1"/>
  <c r="J2036" i="8"/>
  <c r="K2035" i="8" s="1"/>
  <c r="K2034" i="8"/>
  <c r="E2035" i="8" l="1"/>
  <c r="B2037" i="8"/>
  <c r="C2038" i="8"/>
  <c r="D2037" i="8"/>
  <c r="I2038" i="8"/>
  <c r="H2038" i="8" s="1"/>
  <c r="J2037" i="8"/>
  <c r="K2036" i="8" s="1"/>
  <c r="E2036" i="8" l="1"/>
  <c r="B2038" i="8"/>
  <c r="C2039" i="8"/>
  <c r="D2038" i="8"/>
  <c r="I2039" i="8"/>
  <c r="H2039" i="8" s="1"/>
  <c r="J2038" i="8"/>
  <c r="D2039" i="8" l="1"/>
  <c r="B2039" i="8"/>
  <c r="C2040" i="8"/>
  <c r="E2037" i="8"/>
  <c r="K2037" i="8"/>
  <c r="I2040" i="8"/>
  <c r="H2040" i="8" s="1"/>
  <c r="J2039" i="8"/>
  <c r="D2040" i="8" l="1"/>
  <c r="B2040" i="8"/>
  <c r="C2041" i="8"/>
  <c r="E2038" i="8"/>
  <c r="I2041" i="8"/>
  <c r="H2041" i="8" s="1"/>
  <c r="J2040" i="8"/>
  <c r="K2038" i="8"/>
  <c r="E2039" i="8" l="1"/>
  <c r="D2041" i="8"/>
  <c r="C2042" i="8"/>
  <c r="B2041" i="8"/>
  <c r="I2042" i="8"/>
  <c r="H2042" i="8" s="1"/>
  <c r="J2041" i="8"/>
  <c r="K2039" i="8"/>
  <c r="E2040" i="8" l="1"/>
  <c r="C2043" i="8"/>
  <c r="D2042" i="8"/>
  <c r="B2042" i="8"/>
  <c r="I2043" i="8"/>
  <c r="H2043" i="8" s="1"/>
  <c r="J2042" i="8"/>
  <c r="K2040" i="8"/>
  <c r="E2041" i="8" l="1"/>
  <c r="D2043" i="8"/>
  <c r="B2043" i="8"/>
  <c r="C2044" i="8"/>
  <c r="K2041" i="8"/>
  <c r="I2044" i="8"/>
  <c r="H2044" i="8" s="1"/>
  <c r="J2043" i="8"/>
  <c r="E2042" i="8" l="1"/>
  <c r="D2044" i="8"/>
  <c r="B2044" i="8"/>
  <c r="C2045" i="8"/>
  <c r="K2042" i="8"/>
  <c r="I2045" i="8"/>
  <c r="H2045" i="8" s="1"/>
  <c r="J2044" i="8"/>
  <c r="E2043" i="8" l="1"/>
  <c r="B2045" i="8"/>
  <c r="D2045" i="8"/>
  <c r="C2046" i="8"/>
  <c r="K2043" i="8"/>
  <c r="I2046" i="8"/>
  <c r="H2046" i="8" s="1"/>
  <c r="J2045" i="8"/>
  <c r="D2046" i="8" l="1"/>
  <c r="B2046" i="8"/>
  <c r="C2047" i="8"/>
  <c r="E2044" i="8"/>
  <c r="K2044" i="8"/>
  <c r="I2047" i="8"/>
  <c r="H2047" i="8" s="1"/>
  <c r="J2046" i="8"/>
  <c r="E2045" i="8" l="1"/>
  <c r="B2047" i="8"/>
  <c r="D2047" i="8"/>
  <c r="C2048" i="8"/>
  <c r="K2045" i="8"/>
  <c r="I2048" i="8"/>
  <c r="H2048" i="8" s="1"/>
  <c r="J2047" i="8"/>
  <c r="E2046" i="8" l="1"/>
  <c r="B2048" i="8"/>
  <c r="D2048" i="8"/>
  <c r="C2049" i="8"/>
  <c r="I2049" i="8"/>
  <c r="H2049" i="8" s="1"/>
  <c r="J2048" i="8"/>
  <c r="K2047" i="8" s="1"/>
  <c r="K2046" i="8"/>
  <c r="D2049" i="8" l="1"/>
  <c r="E2049" i="8" s="1"/>
  <c r="B2049" i="8"/>
  <c r="E2047" i="8"/>
  <c r="J2049" i="8"/>
  <c r="E2048" i="8" l="1"/>
  <c r="K2048" i="8"/>
  <c r="G38" i="8" s="1"/>
  <c r="C38" i="8"/>
  <c r="C44" i="8" s="1"/>
  <c r="C45" i="8" s="1"/>
  <c r="G44" i="8" l="1"/>
  <c r="G45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<sst xmlns="http://schemas.openxmlformats.org/spreadsheetml/2006/main" count="1045" uniqueCount="387">
  <si>
    <t>Input</t>
  </si>
  <si>
    <t>Inner diameter</t>
  </si>
  <si>
    <t>Working volume</t>
  </si>
  <si>
    <t>Viscosity</t>
  </si>
  <si>
    <t>Density</t>
  </si>
  <si>
    <t>Mixing Type</t>
  </si>
  <si>
    <t>Height bottom dish</t>
  </si>
  <si>
    <t>mm</t>
  </si>
  <si>
    <t>Power/Volume</t>
  </si>
  <si>
    <t>W/L</t>
  </si>
  <si>
    <t>Tip Speed</t>
  </si>
  <si>
    <t>m/s</t>
  </si>
  <si>
    <t>L</t>
  </si>
  <si>
    <t>Volume</t>
  </si>
  <si>
    <t>Ratio</t>
  </si>
  <si>
    <t>Wall thickness</t>
  </si>
  <si>
    <t>Dimensions water volume</t>
  </si>
  <si>
    <t>Mix Volume</t>
  </si>
  <si>
    <t>ZG1</t>
  </si>
  <si>
    <t>ZG2</t>
  </si>
  <si>
    <t>ZG3</t>
  </si>
  <si>
    <t>ZG5</t>
  </si>
  <si>
    <t>ZG6</t>
  </si>
  <si>
    <t>ZG7</t>
  </si>
  <si>
    <t>ZG8</t>
  </si>
  <si>
    <t>ZG9</t>
  </si>
  <si>
    <t>ZG10</t>
  </si>
  <si>
    <t>HP2</t>
  </si>
  <si>
    <t>HP5</t>
  </si>
  <si>
    <t>HP8</t>
  </si>
  <si>
    <t>HS2</t>
  </si>
  <si>
    <t>HS5</t>
  </si>
  <si>
    <t>HS8</t>
  </si>
  <si>
    <t>ZF100</t>
  </si>
  <si>
    <t>ZF160</t>
  </si>
  <si>
    <t>Recommended Mixer</t>
  </si>
  <si>
    <t>Storlek</t>
  </si>
  <si>
    <t>N [rpm]</t>
  </si>
  <si>
    <t>D [Mixer YD mm]</t>
  </si>
  <si>
    <r>
      <t>ρ= densitet [kg/m</t>
    </r>
    <r>
      <rPr>
        <b/>
        <vertAlign val="superscript"/>
        <sz val="11"/>
        <color theme="1"/>
        <rFont val="Calibri"/>
        <family val="2"/>
        <scheme val="minor"/>
      </rPr>
      <t>3  ]</t>
    </r>
  </si>
  <si>
    <t>Volume [l] max</t>
  </si>
  <si>
    <t>P (Teoretisk) [W]</t>
  </si>
  <si>
    <t>τ Vridmoment mag [Nm]</t>
  </si>
  <si>
    <t>τ Vridmoment uträknat [Nm]</t>
  </si>
  <si>
    <t>P/V</t>
  </si>
  <si>
    <t>Tip speed [m/s]</t>
  </si>
  <si>
    <t>Referensvärde</t>
  </si>
  <si>
    <t>Max speed:</t>
  </si>
  <si>
    <t>Tori-Sperical Dished Heads</t>
  </si>
  <si>
    <t>D outside</t>
  </si>
  <si>
    <t>R</t>
  </si>
  <si>
    <t>r</t>
  </si>
  <si>
    <t>V (b)</t>
  </si>
  <si>
    <t>h3 (c)</t>
  </si>
  <si>
    <t>Dish parameter</t>
  </si>
  <si>
    <t>Knuckle Volume</t>
  </si>
  <si>
    <t>2D</t>
  </si>
  <si>
    <t>h3</t>
  </si>
  <si>
    <t>h1</t>
  </si>
  <si>
    <t>h2</t>
  </si>
  <si>
    <t>t</t>
  </si>
  <si>
    <t>Bottom Volume and Total</t>
  </si>
  <si>
    <t>Mixer Angle</t>
  </si>
  <si>
    <t>Mixer Tank Plate To dish min. Distance</t>
  </si>
  <si>
    <t>Tank Plate Midle point to Bottom Distance</t>
  </si>
  <si>
    <t>Angle (Radian)</t>
  </si>
  <si>
    <t>a</t>
  </si>
  <si>
    <t>ha</t>
  </si>
  <si>
    <t>Outer Diameter</t>
  </si>
  <si>
    <t>Bigger Radius</t>
  </si>
  <si>
    <t>Knuckle Radius</t>
  </si>
  <si>
    <t>Thickness</t>
  </si>
  <si>
    <t>C</t>
  </si>
  <si>
    <t>TP welding lenth</t>
  </si>
  <si>
    <t>Tank Plate Diameter</t>
  </si>
  <si>
    <t>Stiring Blade Height</t>
  </si>
  <si>
    <t>Blade With</t>
  </si>
  <si>
    <t>Min Working Volume Height</t>
  </si>
  <si>
    <t>Min Working Volume With</t>
  </si>
  <si>
    <t>ZGP2</t>
  </si>
  <si>
    <t>ZGP5</t>
  </si>
  <si>
    <t>ZGP8</t>
  </si>
  <si>
    <t>Mixer Dimensions</t>
  </si>
  <si>
    <t>Recommended mixer</t>
  </si>
  <si>
    <t>Stirring Blade to Tank Plate Distance</t>
  </si>
  <si>
    <t>Stiring Height</t>
  </si>
  <si>
    <t>Mixing Height</t>
  </si>
  <si>
    <t>d1</t>
  </si>
  <si>
    <t>From Blade Angle (Stirring)</t>
  </si>
  <si>
    <t>z1</t>
  </si>
  <si>
    <t>d2</t>
  </si>
  <si>
    <t>From Blade Angle (Mixing)</t>
  </si>
  <si>
    <t>z2</t>
  </si>
  <si>
    <t>Knucle up to Bottom Height</t>
  </si>
  <si>
    <t>Knucle Bottom to Bottom Height</t>
  </si>
  <si>
    <t>Knucle Bottom to Bottom dish Up Distance</t>
  </si>
  <si>
    <t>MP/FS Top to Tank Plate Distance</t>
  </si>
  <si>
    <t>Bottom radius Volume</t>
  </si>
  <si>
    <t>y0</t>
  </si>
  <si>
    <t>y1</t>
  </si>
  <si>
    <t>V1</t>
  </si>
  <si>
    <t>V2</t>
  </si>
  <si>
    <t>Cylindric height</t>
  </si>
  <si>
    <t>Stiring Volume (mm^3)</t>
  </si>
  <si>
    <t>Stiring Volume (L)</t>
  </si>
  <si>
    <t>Min. Working Volume (mm^3)</t>
  </si>
  <si>
    <t>Min. Working Volume  (L)</t>
  </si>
  <si>
    <t>Stiring Volume</t>
  </si>
  <si>
    <t>Knuckle Volume table</t>
  </si>
  <si>
    <t>Stiring</t>
  </si>
  <si>
    <t>h</t>
  </si>
  <si>
    <t>y</t>
  </si>
  <si>
    <t>x</t>
  </si>
  <si>
    <t>Total</t>
  </si>
  <si>
    <t>Min Volume</t>
  </si>
  <si>
    <t>k=D-r</t>
  </si>
  <si>
    <t>mm^3</t>
  </si>
  <si>
    <t>R-z1</t>
  </si>
  <si>
    <t>R-z2</t>
  </si>
  <si>
    <t>ZGP7</t>
  </si>
  <si>
    <t>Power Number (Np)</t>
  </si>
  <si>
    <t>Tankplate distance from center</t>
  </si>
  <si>
    <t>Height top dish</t>
  </si>
  <si>
    <t>Complete vessel height</t>
  </si>
  <si>
    <t>Vessel</t>
  </si>
  <si>
    <t>ZG</t>
  </si>
  <si>
    <t>ZGP</t>
  </si>
  <si>
    <t>HP</t>
  </si>
  <si>
    <t>HS</t>
  </si>
  <si>
    <t>ZF</t>
  </si>
  <si>
    <t>kg/m3</t>
  </si>
  <si>
    <t>cP</t>
  </si>
  <si>
    <t>Alternative choice</t>
  </si>
  <si>
    <t>Alternative choices</t>
  </si>
  <si>
    <t>ZG11</t>
  </si>
  <si>
    <t>ZG12</t>
  </si>
  <si>
    <t>-</t>
  </si>
  <si>
    <t>Drive Unit</t>
  </si>
  <si>
    <t>A</t>
  </si>
  <si>
    <t>B</t>
  </si>
  <si>
    <t>D</t>
  </si>
  <si>
    <t>E</t>
  </si>
  <si>
    <t>O-rings</t>
  </si>
  <si>
    <t>IP66</t>
  </si>
  <si>
    <t>F</t>
  </si>
  <si>
    <t>TP Diameter [mm]</t>
  </si>
  <si>
    <t>Kod för implementering av ZG11 och ZG12</t>
  </si>
  <si>
    <t>Gentle</t>
  </si>
  <si>
    <t>Lista material</t>
  </si>
  <si>
    <t>SS</t>
  </si>
  <si>
    <t>EPDM</t>
  </si>
  <si>
    <t>Viton</t>
  </si>
  <si>
    <t>Kalrez</t>
  </si>
  <si>
    <t>Silicone Platinum cured</t>
  </si>
  <si>
    <t>Height rest of cylinder</t>
  </si>
  <si>
    <t>Wall Thickness</t>
  </si>
  <si>
    <t>Vessel outer Weight</t>
  </si>
  <si>
    <t>Volume rest of cyl</t>
  </si>
  <si>
    <t>Tot Vessel inner Weight</t>
  </si>
  <si>
    <t>Volume bottom dish</t>
  </si>
  <si>
    <t>Volume Cylinder</t>
  </si>
  <si>
    <t>Estimated empty vessel weight</t>
  </si>
  <si>
    <t>kg</t>
  </si>
  <si>
    <t>Vessel Weight</t>
  </si>
  <si>
    <t>Height WV cylinder</t>
  </si>
  <si>
    <t>Dimensions up to top of cylinder (Nominal Volume)</t>
  </si>
  <si>
    <t>Torispherical (Kloepper Boden - DIN 28011)</t>
  </si>
  <si>
    <t>Yes</t>
  </si>
  <si>
    <t>RPM sensor</t>
  </si>
  <si>
    <t>IP- Class Drive Unit</t>
  </si>
  <si>
    <t>Sintered Silicon Carbide (SSiC)</t>
  </si>
  <si>
    <t>Material</t>
  </si>
  <si>
    <t>Male Post and Female Sleeve</t>
  </si>
  <si>
    <t>##</t>
  </si>
  <si>
    <t>Design pressure</t>
  </si>
  <si>
    <t>Design temperature</t>
  </si>
  <si>
    <t>Tank plate welding diameter</t>
  </si>
  <si>
    <t>Surface</t>
  </si>
  <si>
    <t>Max speed at 1000 kg/m3, 1cP</t>
  </si>
  <si>
    <t>Mix Head diameter</t>
  </si>
  <si>
    <t>Mixer</t>
  </si>
  <si>
    <t>Mixer Head and Tank Plate</t>
  </si>
  <si>
    <t>Power/volume</t>
  </si>
  <si>
    <t>Recommended Speed</t>
  </si>
  <si>
    <t>Selected Mixer</t>
  </si>
  <si>
    <t>Mixing intensity</t>
  </si>
  <si>
    <t>Mixing and Media</t>
  </si>
  <si>
    <t>H/ID ratio</t>
  </si>
  <si>
    <t>Position of Mixer</t>
  </si>
  <si>
    <t>Mobile vessel</t>
  </si>
  <si>
    <t>Vessel jacket</t>
  </si>
  <si>
    <t>Free text</t>
  </si>
  <si>
    <t>Site:</t>
  </si>
  <si>
    <t>Project:</t>
  </si>
  <si>
    <t>Main Mixing Purpose</t>
  </si>
  <si>
    <t>Configuration result</t>
  </si>
  <si>
    <t>Vessel Jacket</t>
  </si>
  <si>
    <t>Mobile Vessel</t>
  </si>
  <si>
    <t>No</t>
  </si>
  <si>
    <t>Free text:</t>
  </si>
  <si>
    <t>Type of mixing</t>
  </si>
  <si>
    <t>Vortex</t>
  </si>
  <si>
    <t>Vigorous</t>
  </si>
  <si>
    <t>General</t>
  </si>
  <si>
    <t>Other mixing - Other ….Input…</t>
  </si>
  <si>
    <t>Main Mixing purpose</t>
  </si>
  <si>
    <t>Process Code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</si>
  <si>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</si>
  <si>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</si>
  <si>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</si>
  <si>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</si>
  <si>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</si>
  <si>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</si>
  <si>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</si>
  <si>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</si>
  <si>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</si>
  <si>
    <t>#10</t>
  </si>
  <si>
    <t>#11</t>
  </si>
  <si>
    <t>#12</t>
  </si>
  <si>
    <t>#13</t>
  </si>
  <si>
    <t>Letter</t>
  </si>
  <si>
    <t>Material variant</t>
  </si>
  <si>
    <t>G</t>
  </si>
  <si>
    <t>H</t>
  </si>
  <si>
    <t>J</t>
  </si>
  <si>
    <t>K</t>
  </si>
  <si>
    <t>M</t>
  </si>
  <si>
    <t>N</t>
  </si>
  <si>
    <t>EN 1.4404 / 316L</t>
  </si>
  <si>
    <t>EN 1.4435 / 316L</t>
  </si>
  <si>
    <t>EN 1.4539 / ANSI 904L</t>
  </si>
  <si>
    <t>Hastelloy C22</t>
  </si>
  <si>
    <t>Hastelloy C276</t>
  </si>
  <si>
    <t>UNS N08367 / AL-6XN</t>
  </si>
  <si>
    <t>EN 1.4571 / UNS31635 (316Ti)</t>
  </si>
  <si>
    <t>EN 1.4435 / 316L BN2</t>
  </si>
  <si>
    <t>SMO 254</t>
  </si>
  <si>
    <t>EN 1.4404 / 316L SA-240</t>
  </si>
  <si>
    <t>Titanium</t>
  </si>
  <si>
    <t>EN 1.4404 / 316L,
ASME Code case SA2156-1/UG14</t>
  </si>
  <si>
    <t>UNS N08367/AL-6XN,
ASME Code case SA2156-1</t>
  </si>
  <si>
    <t>Hastelloy C22, 
ASME Code case SA2156-1</t>
  </si>
  <si>
    <t>EPDM (FDA USP class VI compliant)</t>
  </si>
  <si>
    <t>Silicone Platinum Cured o-rings in lieu of EPDM</t>
  </si>
  <si>
    <t>Viton o-ring in lieu of EPDM</t>
  </si>
  <si>
    <t>Kalrez o-ring in lieu of EPDM</t>
  </si>
  <si>
    <t>IP Class</t>
  </si>
  <si>
    <t>RPM Sensor</t>
  </si>
  <si>
    <t>YES</t>
  </si>
  <si>
    <t>Reynolds Factor</t>
  </si>
  <si>
    <t>Pumping Number NQ</t>
  </si>
  <si>
    <t>B21</t>
  </si>
  <si>
    <t>E13</t>
  </si>
  <si>
    <t>E12</t>
  </si>
  <si>
    <t>E10</t>
  </si>
  <si>
    <t>E11</t>
  </si>
  <si>
    <t>AG36</t>
  </si>
  <si>
    <t>Pumping Number</t>
  </si>
  <si>
    <t>Speed</t>
  </si>
  <si>
    <t>Wing Diameter</t>
  </si>
  <si>
    <t>Reynolds fa</t>
  </si>
  <si>
    <t>Dimension</t>
  </si>
  <si>
    <t>Zero G (ZG)</t>
  </si>
  <si>
    <t>Zero G Plastic (ZGP)</t>
  </si>
  <si>
    <t>High Power (HP)</t>
  </si>
  <si>
    <t>High Shear (HS)</t>
  </si>
  <si>
    <t>Truelev (ZF)</t>
  </si>
  <si>
    <t>Material (SS)</t>
  </si>
  <si>
    <t>Metric</t>
  </si>
  <si>
    <t>ATEX</t>
  </si>
  <si>
    <t>Lowering Device</t>
  </si>
  <si>
    <t>NO</t>
  </si>
  <si>
    <t>IP55</t>
  </si>
  <si>
    <t>Imperial</t>
  </si>
  <si>
    <t>rpm</t>
  </si>
  <si>
    <t>W/gal</t>
  </si>
  <si>
    <t>ft/min</t>
  </si>
  <si>
    <t>Unit</t>
  </si>
  <si>
    <t>gal/min</t>
  </si>
  <si>
    <t>Time (minutes)</t>
  </si>
  <si>
    <t>Mixing Intensity</t>
  </si>
  <si>
    <t>Set working speed</t>
  </si>
  <si>
    <t>Max vol at current cP</t>
  </si>
  <si>
    <t>Primary &amp; alternative</t>
  </si>
  <si>
    <t>Set Working speed:</t>
  </si>
  <si>
    <t>Tip Speed:</t>
  </si>
  <si>
    <t>Max speed</t>
  </si>
  <si>
    <t xml:space="preserve">Max - Pumping capacity  </t>
  </si>
  <si>
    <t>set - Pumping capacity</t>
  </si>
  <si>
    <t>Max speed - Indicative blending-time</t>
  </si>
  <si>
    <t>Set working speed - Indicative blending-time</t>
  </si>
  <si>
    <t>Tankplate distance from center (imperial)</t>
  </si>
  <si>
    <t>Recommended min speed</t>
  </si>
  <si>
    <t>N/A</t>
  </si>
  <si>
    <t>Indicative blending time</t>
  </si>
  <si>
    <t>Mix Head and Tank Plate</t>
  </si>
  <si>
    <t>NA</t>
  </si>
  <si>
    <t>#14</t>
  </si>
  <si>
    <t>#15</t>
  </si>
  <si>
    <t>No choice</t>
  </si>
  <si>
    <t>All</t>
  </si>
  <si>
    <t>min</t>
  </si>
  <si>
    <t>IP67</t>
  </si>
  <si>
    <t>Example graph</t>
  </si>
  <si>
    <t>Dish Head Type</t>
  </si>
  <si>
    <t>Crown Radius (CR)</t>
  </si>
  <si>
    <t>Knuckleradius (KR)</t>
  </si>
  <si>
    <t>Dish height (DH)</t>
  </si>
  <si>
    <t>Code</t>
  </si>
  <si>
    <t>Torispherical acc. to DIN 28011 (SMS2634, Kloepper)</t>
  </si>
  <si>
    <t>Semi-elliptical head acc. to DIN 28013 (SMS 482, Korbbogen)</t>
  </si>
  <si>
    <t>SMS 895</t>
  </si>
  <si>
    <t>SMS 483</t>
  </si>
  <si>
    <t>Elliptical Head 2:1</t>
  </si>
  <si>
    <t>Elliptical Head 1.9:1</t>
  </si>
  <si>
    <t>Wall Thickness [t]</t>
  </si>
  <si>
    <t>Final Selected Mixer</t>
  </si>
  <si>
    <t>Outer Diameter (OD)</t>
  </si>
  <si>
    <t>Inner Diameter (ID)</t>
  </si>
  <si>
    <t>Knuckle Radius (KR)</t>
  </si>
  <si>
    <t>Dish Height (DH)</t>
  </si>
  <si>
    <t>Dish parameters</t>
  </si>
  <si>
    <t>Mixer parameters</t>
  </si>
  <si>
    <t>Female Sleeve</t>
  </si>
  <si>
    <t>TP to top of FS (FS2)</t>
  </si>
  <si>
    <t>Top of MH</t>
  </si>
  <si>
    <t>Last drop</t>
  </si>
  <si>
    <t>Size</t>
  </si>
  <si>
    <t>Last Drop</t>
  </si>
  <si>
    <t>(L)</t>
  </si>
  <si>
    <t>Inner Radius (IR)</t>
  </si>
  <si>
    <t>DH1</t>
  </si>
  <si>
    <t>ρ</t>
  </si>
  <si>
    <t>FS3</t>
  </si>
  <si>
    <t>FSD</t>
  </si>
  <si>
    <t>FSH</t>
  </si>
  <si>
    <t>FSø/2</t>
  </si>
  <si>
    <t>TPø/2</t>
  </si>
  <si>
    <t>MHø/2</t>
  </si>
  <si>
    <t>ϕ (deg)</t>
  </si>
  <si>
    <t>a [mm]</t>
  </si>
  <si>
    <t>Female Sleeve  Radius (FSø/2)</t>
  </si>
  <si>
    <t>Female Sleeve Height (FS2)</t>
  </si>
  <si>
    <t>β (deg)</t>
  </si>
  <si>
    <t>Om FSH&lt;DH1:</t>
  </si>
  <si>
    <t>Min vol:</t>
  </si>
  <si>
    <t>Om DH1&lt;FSH&lt;DH:</t>
  </si>
  <si>
    <t>VD1</t>
  </si>
  <si>
    <t>VminD2</t>
  </si>
  <si>
    <t>VminLdisc</t>
  </si>
  <si>
    <t>Nästan rätt</t>
  </si>
  <si>
    <t>Biopharma - Upstream: Media prep - Floating powder mixing</t>
  </si>
  <si>
    <t>Biopharma - Upstream: Media prep - Sinking powder mixing</t>
  </si>
  <si>
    <t xml:space="preserve">Biopharma - Downstream: Buffer prep - Dissolve salt </t>
  </si>
  <si>
    <t>Biopharma - Downstream: Buffer storage - Keep suspension</t>
  </si>
  <si>
    <t>Biopharma - Downstream: Product hold - Shear sensitive</t>
  </si>
  <si>
    <t>Biopharma - Downstream: Final bulk - Keep suspension, Shear sensitive</t>
  </si>
  <si>
    <t>Biopharma - Downstream: Plasma pool - Ethanol mixing</t>
  </si>
  <si>
    <t xml:space="preserve">Pharma: Buffer prep - Dissolve salt </t>
  </si>
  <si>
    <t>Pharma: Buffer storage - Keep suspension</t>
  </si>
  <si>
    <t>Pharma: Product hold - Keep suspension, Non-shear sensitive</t>
  </si>
  <si>
    <t>Pharma: Final bulk - Keep suspension, Non-shear sensitive</t>
  </si>
  <si>
    <t>Pharma: Tablet coating - Oil based - emulsification</t>
  </si>
  <si>
    <t>Pharma: Tablet coating, cellulose, API reactor, Slurry, Additions, Co-stabilizer - Powder mixing</t>
  </si>
  <si>
    <t>Other mixing: Particle size reduction</t>
  </si>
  <si>
    <t>Other mixing:  Strong Acid or bases mixing in plastic vessel</t>
  </si>
  <si>
    <t>Other mixing:  Strong Acid or bases mixing in high alloy vessel</t>
  </si>
  <si>
    <t>#16</t>
  </si>
  <si>
    <t>#17</t>
  </si>
  <si>
    <t>#18</t>
  </si>
  <si>
    <t>Recommended 1st hand Mixer</t>
  </si>
  <si>
    <t>Recommended 2nd hand Mixer</t>
  </si>
  <si>
    <t>VminD2 rad</t>
  </si>
  <si>
    <t>VminD2 deg</t>
  </si>
  <si>
    <t>=(((($B$7*ARCTAN((($E$9-$B$8)/$B$7)*(180/PI()))/2))-$B$7*$E$9+$B$4*$E$9+($E$9-$B$8)*ROT($B$7^2-($E$9-$B$8)^2)/2)-($B$7*ARCTAN((($E$2-$B$8)/$B$7)*(180/PI()))/2))-$B$7*$E$2+$B$4*$E$2+($E$2-$B$8)*ROT($B$7^2-($E$2-$B$8)^2)/2))/1000000</t>
  </si>
  <si>
    <t>Om FSH&gt;DH:</t>
  </si>
  <si>
    <t>VD</t>
  </si>
  <si>
    <t>Vol dish</t>
  </si>
  <si>
    <t>Dish Type</t>
  </si>
  <si>
    <t>Last drop vol:</t>
  </si>
  <si>
    <t>Min vol</t>
  </si>
  <si>
    <t>MH/2</t>
  </si>
  <si>
    <t>Inner radius</t>
  </si>
  <si>
    <t>Outer diameter</t>
  </si>
  <si>
    <t>Maximum volume</t>
  </si>
  <si>
    <t>Minimum continous working volume</t>
  </si>
  <si>
    <t>Last drop mixing during drain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</si>
</sst>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000000"/>
      <name val="Muli"/>
    </font>
    <font>
      <sz val="18"/>
      <name val="Arial"/>
      <family val="2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D5DEED"/>
        <bgColor indexed="64"/>
      </patternFill>
    </fill>
    <fill>
      <patternFill patternType="solid">
        <fgColor rgb="FF2B77D0"/>
        <bgColor indexed="64"/>
      </patternFill>
    </fill>
    <fill>
      <patternFill patternType="solid">
        <fgColor rgb="FFE6994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2" fillId="5" borderId="29" applyNumberFormat="0" applyAlignment="0" applyProtection="0"/>
  </cellStyleXfs>
  <cellXfs count="255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1" xfId="0" applyBorder="1"/>
    <xf numFmtId="0" fontId="1" fillId="0" borderId="2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4" xfId="0" applyFont="1" applyBorder="1"/>
    <xf numFmtId="0" fontId="3" fillId="0" borderId="0" xfId="0" applyFont="1"/>
    <xf numFmtId="0" fontId="1" fillId="0" borderId="5" xfId="0" applyFont="1" applyBorder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1" fillId="0" borderId="6" xfId="0" applyFont="1" applyBorder="1"/>
    <xf numFmtId="165" fontId="2" fillId="0" borderId="12" xfId="0" applyNumberFormat="1" applyFont="1" applyBorder="1"/>
    <xf numFmtId="0" fontId="0" fillId="3" borderId="0" xfId="0" applyFill="1"/>
    <xf numFmtId="0" fontId="0" fillId="3" borderId="13" xfId="0" applyFill="1" applyBorder="1"/>
    <xf numFmtId="0" fontId="0" fillId="3" borderId="14" xfId="0" applyFill="1" applyBorder="1"/>
    <xf numFmtId="1" fontId="0" fillId="3" borderId="15" xfId="0" applyNumberFormat="1" applyFill="1" applyBorder="1"/>
    <xf numFmtId="1" fontId="0" fillId="3" borderId="16" xfId="0" applyNumberFormat="1" applyFill="1" applyBorder="1"/>
    <xf numFmtId="1" fontId="0" fillId="3" borderId="17" xfId="0" applyNumberFormat="1" applyFill="1" applyBorder="1"/>
    <xf numFmtId="1" fontId="0" fillId="3" borderId="18" xfId="0" applyNumberFormat="1" applyFill="1" applyBorder="1"/>
    <xf numFmtId="1" fontId="0" fillId="3" borderId="19" xfId="0" applyNumberFormat="1" applyFill="1" applyBorder="1"/>
    <xf numFmtId="1" fontId="0" fillId="3" borderId="20" xfId="0" applyNumberForma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6" xfId="0" applyBorder="1"/>
    <xf numFmtId="0" fontId="0" fillId="0" borderId="1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7" fillId="0" borderId="1" xfId="0" applyFont="1" applyBorder="1"/>
    <xf numFmtId="0" fontId="0" fillId="3" borderId="1" xfId="0" applyFill="1" applyBorder="1"/>
    <xf numFmtId="1" fontId="0" fillId="3" borderId="1" xfId="0" applyNumberFormat="1" applyFill="1" applyBorder="1"/>
    <xf numFmtId="166" fontId="0" fillId="0" borderId="1" xfId="0" applyNumberFormat="1" applyBorder="1"/>
    <xf numFmtId="0" fontId="8" fillId="0" borderId="22" xfId="0" applyFont="1" applyBorder="1"/>
    <xf numFmtId="2" fontId="0" fillId="0" borderId="1" xfId="0" applyNumberFormat="1" applyBorder="1"/>
    <xf numFmtId="0" fontId="0" fillId="4" borderId="0" xfId="0" applyFill="1"/>
    <xf numFmtId="0" fontId="8" fillId="0" borderId="1" xfId="0" applyFont="1" applyBorder="1"/>
    <xf numFmtId="164" fontId="0" fillId="0" borderId="1" xfId="0" applyNumberFormat="1" applyBorder="1"/>
    <xf numFmtId="164" fontId="9" fillId="0" borderId="1" xfId="0" applyNumberFormat="1" applyFont="1" applyBorder="1"/>
    <xf numFmtId="0" fontId="0" fillId="0" borderId="0" xfId="0" quotePrefix="1"/>
    <xf numFmtId="1" fontId="0" fillId="3" borderId="0" xfId="0" quotePrefix="1" applyNumberFormat="1" applyFill="1"/>
    <xf numFmtId="1" fontId="0" fillId="3" borderId="0" xfId="0" applyNumberFormat="1" applyFill="1"/>
    <xf numFmtId="0" fontId="10" fillId="3" borderId="0" xfId="0" applyFont="1" applyFill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9" xfId="0" applyFill="1" applyBorder="1"/>
    <xf numFmtId="0" fontId="0" fillId="3" borderId="0" xfId="0" quotePrefix="1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6" fontId="0" fillId="0" borderId="0" xfId="0" applyNumberFormat="1"/>
    <xf numFmtId="0" fontId="0" fillId="0" borderId="24" xfId="0" applyBorder="1"/>
    <xf numFmtId="166" fontId="0" fillId="0" borderId="24" xfId="0" applyNumberFormat="1" applyBorder="1"/>
    <xf numFmtId="0" fontId="1" fillId="0" borderId="0" xfId="0" applyFont="1" applyAlignment="1">
      <alignment horizontal="center"/>
    </xf>
    <xf numFmtId="166" fontId="0" fillId="0" borderId="25" xfId="0" applyNumberFormat="1" applyBorder="1" applyAlignment="1">
      <alignment horizontal="right"/>
    </xf>
    <xf numFmtId="166" fontId="0" fillId="0" borderId="26" xfId="0" quotePrefix="1" applyNumberFormat="1" applyBorder="1" applyAlignment="1">
      <alignment horizontal="right"/>
    </xf>
    <xf numFmtId="2" fontId="0" fillId="0" borderId="26" xfId="0" quotePrefix="1" applyNumberFormat="1" applyBorder="1"/>
    <xf numFmtId="2" fontId="0" fillId="0" borderId="27" xfId="0" quotePrefix="1" applyNumberFormat="1" applyBorder="1"/>
    <xf numFmtId="0" fontId="0" fillId="0" borderId="17" xfId="0" applyBorder="1" applyAlignment="1">
      <alignment wrapText="1"/>
    </xf>
    <xf numFmtId="0" fontId="0" fillId="0" borderId="25" xfId="0" applyBorder="1"/>
    <xf numFmtId="2" fontId="0" fillId="0" borderId="26" xfId="0" applyNumberFormat="1" applyBorder="1"/>
    <xf numFmtId="0" fontId="0" fillId="0" borderId="27" xfId="0" quotePrefix="1" applyBorder="1"/>
    <xf numFmtId="0" fontId="0" fillId="0" borderId="26" xfId="0" applyBorder="1"/>
    <xf numFmtId="0" fontId="0" fillId="0" borderId="27" xfId="0" applyBorder="1"/>
    <xf numFmtId="0" fontId="1" fillId="0" borderId="17" xfId="0" applyFont="1" applyBorder="1"/>
    <xf numFmtId="0" fontId="1" fillId="0" borderId="19" xfId="0" applyFont="1" applyBorder="1"/>
    <xf numFmtId="0" fontId="1" fillId="0" borderId="24" xfId="0" applyFont="1" applyBorder="1" applyAlignment="1">
      <alignment wrapText="1"/>
    </xf>
    <xf numFmtId="0" fontId="0" fillId="0" borderId="26" xfId="0" quotePrefix="1" applyBorder="1"/>
    <xf numFmtId="2" fontId="0" fillId="0" borderId="27" xfId="0" applyNumberFormat="1" applyBorder="1"/>
    <xf numFmtId="0" fontId="0" fillId="0" borderId="23" xfId="0" applyBorder="1"/>
    <xf numFmtId="0" fontId="0" fillId="0" borderId="24" xfId="0" applyBorder="1" applyAlignment="1">
      <alignment wrapText="1"/>
    </xf>
    <xf numFmtId="2" fontId="0" fillId="0" borderId="0" xfId="0" quotePrefix="1" applyNumberFormat="1"/>
    <xf numFmtId="1" fontId="0" fillId="0" borderId="24" xfId="0" applyNumberFormat="1" applyBorder="1"/>
    <xf numFmtId="2" fontId="0" fillId="0" borderId="24" xfId="0" applyNumberFormat="1" applyBorder="1"/>
    <xf numFmtId="1" fontId="0" fillId="0" borderId="0" xfId="0" applyNumberFormat="1"/>
    <xf numFmtId="2" fontId="0" fillId="0" borderId="0" xfId="0" applyNumberFormat="1"/>
    <xf numFmtId="2" fontId="0" fillId="0" borderId="18" xfId="0" applyNumberFormat="1" applyBorder="1"/>
    <xf numFmtId="0" fontId="0" fillId="3" borderId="18" xfId="0" applyFill="1" applyBorder="1"/>
    <xf numFmtId="2" fontId="0" fillId="3" borderId="0" xfId="0" applyNumberFormat="1" applyFill="1"/>
    <xf numFmtId="2" fontId="0" fillId="3" borderId="0" xfId="0" quotePrefix="1" applyNumberFormat="1" applyFill="1"/>
    <xf numFmtId="166" fontId="0" fillId="3" borderId="0" xfId="0" applyNumberFormat="1" applyFill="1"/>
    <xf numFmtId="164" fontId="0" fillId="3" borderId="0" xfId="0" applyNumberFormat="1" applyFill="1"/>
    <xf numFmtId="0" fontId="8" fillId="3" borderId="0" xfId="0" applyFont="1" applyFill="1"/>
    <xf numFmtId="164" fontId="9" fillId="3" borderId="0" xfId="0" applyNumberFormat="1" applyFont="1" applyFill="1"/>
    <xf numFmtId="0" fontId="0" fillId="3" borderId="21" xfId="0" applyFill="1" applyBorder="1"/>
    <xf numFmtId="1" fontId="0" fillId="0" borderId="1" xfId="0" applyNumberFormat="1" applyBorder="1"/>
    <xf numFmtId="0" fontId="0" fillId="3" borderId="20" xfId="0" applyFill="1" applyBorder="1"/>
    <xf numFmtId="164" fontId="2" fillId="0" borderId="12" xfId="0" applyNumberFormat="1" applyFont="1" applyBorder="1"/>
    <xf numFmtId="0" fontId="1" fillId="0" borderId="4" xfId="0" applyFont="1" applyBorder="1" applyAlignment="1">
      <alignment wrapText="1"/>
    </xf>
    <xf numFmtId="164" fontId="2" fillId="0" borderId="0" xfId="0" applyNumberFormat="1" applyFont="1"/>
    <xf numFmtId="0" fontId="0" fillId="0" borderId="18" xfId="0" applyBorder="1" applyAlignment="1">
      <alignment wrapText="1"/>
    </xf>
    <xf numFmtId="0" fontId="0" fillId="4" borderId="24" xfId="0" applyFill="1" applyBorder="1"/>
    <xf numFmtId="1" fontId="11" fillId="3" borderId="0" xfId="1" applyNumberFormat="1" applyFont="1" applyFill="1" applyBorder="1" applyProtection="1">
      <protection locked="0"/>
    </xf>
    <xf numFmtId="0" fontId="1" fillId="3" borderId="1" xfId="0" applyFont="1" applyFill="1" applyBorder="1" applyAlignment="1">
      <alignment wrapText="1"/>
    </xf>
    <xf numFmtId="166" fontId="0" fillId="3" borderId="1" xfId="0" applyNumberFormat="1" applyFill="1" applyBorder="1"/>
    <xf numFmtId="164" fontId="0" fillId="3" borderId="1" xfId="0" applyNumberFormat="1" applyFill="1" applyBorder="1"/>
    <xf numFmtId="2" fontId="0" fillId="3" borderId="1" xfId="0" applyNumberFormat="1" applyFill="1" applyBorder="1"/>
    <xf numFmtId="0" fontId="8" fillId="3" borderId="1" xfId="0" applyFont="1" applyFill="1" applyBorder="1"/>
    <xf numFmtId="0" fontId="0" fillId="0" borderId="40" xfId="0" applyBorder="1" applyAlignment="1">
      <alignment wrapText="1"/>
    </xf>
    <xf numFmtId="0" fontId="5" fillId="2" borderId="0" xfId="0" applyFont="1" applyFill="1" applyAlignment="1">
      <alignment vertical="center"/>
    </xf>
    <xf numFmtId="1" fontId="2" fillId="0" borderId="0" xfId="0" applyNumberFormat="1" applyFont="1"/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164" fontId="4" fillId="0" borderId="0" xfId="0" applyNumberFormat="1" applyFont="1"/>
    <xf numFmtId="0" fontId="2" fillId="0" borderId="0" xfId="0" applyFont="1" applyAlignment="1">
      <alignment vertical="center"/>
    </xf>
    <xf numFmtId="0" fontId="13" fillId="0" borderId="43" xfId="0" applyFont="1" applyBorder="1" applyAlignment="1">
      <alignment horizontal="left" wrapText="1" readingOrder="1"/>
    </xf>
    <xf numFmtId="0" fontId="0" fillId="0" borderId="43" xfId="0" applyBorder="1" applyAlignment="1">
      <alignment wrapText="1"/>
    </xf>
    <xf numFmtId="0" fontId="1" fillId="0" borderId="43" xfId="0" applyFont="1" applyBorder="1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20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right"/>
    </xf>
    <xf numFmtId="0" fontId="0" fillId="3" borderId="8" xfId="0" applyFill="1" applyBorder="1"/>
    <xf numFmtId="0" fontId="1" fillId="3" borderId="28" xfId="0" applyFont="1" applyFill="1" applyBorder="1" applyAlignment="1">
      <alignment wrapText="1"/>
    </xf>
    <xf numFmtId="0" fontId="0" fillId="0" borderId="44" xfId="0" applyBorder="1"/>
    <xf numFmtId="0" fontId="14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center" textRotation="90"/>
    </xf>
    <xf numFmtId="0" fontId="0" fillId="0" borderId="0" xfId="0" quotePrefix="1" applyAlignment="1">
      <alignment wrapText="1"/>
    </xf>
    <xf numFmtId="0" fontId="0" fillId="3" borderId="45" xfId="0" applyFill="1" applyBorder="1"/>
    <xf numFmtId="0" fontId="0" fillId="3" borderId="47" xfId="0" applyFill="1" applyBorder="1"/>
    <xf numFmtId="0" fontId="0" fillId="3" borderId="48" xfId="0" applyFill="1" applyBorder="1"/>
    <xf numFmtId="0" fontId="0" fillId="3" borderId="49" xfId="0" applyFill="1" applyBorder="1"/>
    <xf numFmtId="0" fontId="0" fillId="3" borderId="50" xfId="0" applyFill="1" applyBorder="1"/>
    <xf numFmtId="0" fontId="0" fillId="3" borderId="24" xfId="0" applyFill="1" applyBorder="1"/>
    <xf numFmtId="0" fontId="0" fillId="3" borderId="54" xfId="0" applyFill="1" applyBorder="1"/>
    <xf numFmtId="0" fontId="0" fillId="3" borderId="51" xfId="0" applyFill="1" applyBorder="1"/>
    <xf numFmtId="0" fontId="0" fillId="3" borderId="53" xfId="0" applyFill="1" applyBorder="1"/>
    <xf numFmtId="0" fontId="13" fillId="0" borderId="55" xfId="0" applyFont="1" applyBorder="1" applyAlignment="1">
      <alignment horizontal="left" wrapText="1" readingOrder="1"/>
    </xf>
    <xf numFmtId="0" fontId="13" fillId="0" borderId="27" xfId="0" applyFont="1" applyBorder="1" applyAlignment="1">
      <alignment horizontal="left" wrapText="1" readingOrder="1"/>
    </xf>
    <xf numFmtId="0" fontId="0" fillId="9" borderId="0" xfId="0" applyFill="1"/>
    <xf numFmtId="0" fontId="0" fillId="9" borderId="1" xfId="0" applyFill="1" applyBorder="1"/>
    <xf numFmtId="1" fontId="0" fillId="9" borderId="1" xfId="0" applyNumberFormat="1" applyFill="1" applyBorder="1"/>
    <xf numFmtId="166" fontId="0" fillId="9" borderId="1" xfId="0" applyNumberFormat="1" applyFill="1" applyBorder="1"/>
    <xf numFmtId="0" fontId="8" fillId="9" borderId="1" xfId="0" applyFont="1" applyFill="1" applyBorder="1"/>
    <xf numFmtId="2" fontId="0" fillId="9" borderId="1" xfId="0" applyNumberFormat="1" applyFill="1" applyBorder="1"/>
    <xf numFmtId="0" fontId="0" fillId="9" borderId="8" xfId="0" applyFill="1" applyBorder="1"/>
    <xf numFmtId="164" fontId="0" fillId="9" borderId="1" xfId="0" applyNumberFormat="1" applyFill="1" applyBorder="1"/>
    <xf numFmtId="164" fontId="9" fillId="9" borderId="1" xfId="0" applyNumberFormat="1" applyFont="1" applyFill="1" applyBorder="1"/>
    <xf numFmtId="0" fontId="0" fillId="10" borderId="46" xfId="0" applyFill="1" applyBorder="1"/>
    <xf numFmtId="166" fontId="0" fillId="10" borderId="5" xfId="0" applyNumberFormat="1" applyFill="1" applyBorder="1"/>
    <xf numFmtId="1" fontId="0" fillId="10" borderId="5" xfId="0" applyNumberFormat="1" applyFill="1" applyBorder="1"/>
    <xf numFmtId="0" fontId="0" fillId="3" borderId="57" xfId="0" applyFill="1" applyBorder="1"/>
    <xf numFmtId="0" fontId="0" fillId="3" borderId="49" xfId="0" applyFill="1" applyBorder="1" applyAlignment="1">
      <alignment wrapText="1"/>
    </xf>
    <xf numFmtId="2" fontId="0" fillId="10" borderId="5" xfId="0" applyNumberFormat="1" applyFill="1" applyBorder="1"/>
    <xf numFmtId="166" fontId="0" fillId="10" borderId="5" xfId="0" quotePrefix="1" applyNumberFormat="1" applyFill="1" applyBorder="1"/>
    <xf numFmtId="0" fontId="0" fillId="10" borderId="49" xfId="0" applyFill="1" applyBorder="1"/>
    <xf numFmtId="0" fontId="0" fillId="10" borderId="52" xfId="0" applyFill="1" applyBorder="1" applyAlignment="1">
      <alignment horizontal="right"/>
    </xf>
    <xf numFmtId="0" fontId="0" fillId="11" borderId="0" xfId="0" applyFill="1"/>
    <xf numFmtId="0" fontId="0" fillId="3" borderId="20" xfId="0" applyFill="1" applyBorder="1" applyAlignment="1">
      <alignment wrapText="1"/>
    </xf>
    <xf numFmtId="0" fontId="0" fillId="10" borderId="18" xfId="0" applyFill="1" applyBorder="1"/>
    <xf numFmtId="2" fontId="0" fillId="10" borderId="48" xfId="0" quotePrefix="1" applyNumberFormat="1" applyFill="1" applyBorder="1"/>
    <xf numFmtId="0" fontId="0" fillId="3" borderId="0" xfId="0" quotePrefix="1" applyFill="1" applyAlignment="1">
      <alignment wrapText="1"/>
    </xf>
    <xf numFmtId="165" fontId="0" fillId="10" borderId="5" xfId="0" quotePrefix="1" applyNumberFormat="1" applyFill="1" applyBorder="1"/>
    <xf numFmtId="165" fontId="0" fillId="3" borderId="0" xfId="0" applyNumberFormat="1" applyFill="1"/>
    <xf numFmtId="164" fontId="0" fillId="0" borderId="0" xfId="0" quotePrefix="1" applyNumberFormat="1"/>
    <xf numFmtId="0" fontId="0" fillId="9" borderId="28" xfId="0" applyFill="1" applyBorder="1"/>
    <xf numFmtId="1" fontId="0" fillId="9" borderId="28" xfId="0" applyNumberFormat="1" applyFill="1" applyBorder="1"/>
    <xf numFmtId="0" fontId="8" fillId="9" borderId="28" xfId="0" applyFont="1" applyFill="1" applyBorder="1"/>
    <xf numFmtId="164" fontId="0" fillId="9" borderId="28" xfId="0" applyNumberFormat="1" applyFill="1" applyBorder="1"/>
    <xf numFmtId="166" fontId="0" fillId="9" borderId="28" xfId="0" applyNumberFormat="1" applyFill="1" applyBorder="1"/>
    <xf numFmtId="0" fontId="8" fillId="9" borderId="22" xfId="0" applyFont="1" applyFill="1" applyBorder="1"/>
    <xf numFmtId="0" fontId="0" fillId="0" borderId="14" xfId="0" applyBorder="1"/>
    <xf numFmtId="0" fontId="0" fillId="9" borderId="1" xfId="0" applyFill="1" applyBorder="1" applyProtection="1">
      <protection locked="0"/>
    </xf>
    <xf numFmtId="1" fontId="11" fillId="9" borderId="29" xfId="1" applyNumberFormat="1" applyFont="1" applyFill="1" applyProtection="1">
      <protection locked="0"/>
    </xf>
    <xf numFmtId="0" fontId="0" fillId="9" borderId="28" xfId="0" applyFill="1" applyBorder="1" applyProtection="1">
      <protection locked="0"/>
    </xf>
    <xf numFmtId="1" fontId="11" fillId="9" borderId="30" xfId="1" applyNumberFormat="1" applyFont="1" applyFill="1" applyBorder="1" applyProtection="1">
      <protection locked="0"/>
    </xf>
    <xf numFmtId="0" fontId="1" fillId="3" borderId="1" xfId="0" applyFont="1" applyFill="1" applyBorder="1"/>
    <xf numFmtId="0" fontId="7" fillId="3" borderId="1" xfId="0" applyFont="1" applyFill="1" applyBorder="1"/>
    <xf numFmtId="2" fontId="0" fillId="11" borderId="0" xfId="0" quotePrefix="1" applyNumberFormat="1" applyFill="1"/>
    <xf numFmtId="166" fontId="0" fillId="11" borderId="5" xfId="0" applyNumberFormat="1" applyFill="1" applyBorder="1"/>
    <xf numFmtId="2" fontId="0" fillId="11" borderId="5" xfId="0" applyNumberFormat="1" applyFill="1" applyBorder="1"/>
    <xf numFmtId="0" fontId="0" fillId="11" borderId="52" xfId="0" applyFill="1" applyBorder="1" applyAlignment="1">
      <alignment horizontal="right"/>
    </xf>
    <xf numFmtId="165" fontId="0" fillId="11" borderId="5" xfId="0" applyNumberFormat="1" applyFill="1" applyBorder="1"/>
    <xf numFmtId="1" fontId="0" fillId="11" borderId="5" xfId="0" applyNumberFormat="1" applyFill="1" applyBorder="1"/>
    <xf numFmtId="0" fontId="0" fillId="11" borderId="36" xfId="0" applyFill="1" applyBorder="1"/>
    <xf numFmtId="0" fontId="0" fillId="11" borderId="46" xfId="0" applyFill="1" applyBorder="1"/>
    <xf numFmtId="0" fontId="0" fillId="11" borderId="5" xfId="0" applyFill="1" applyBorder="1"/>
    <xf numFmtId="1" fontId="0" fillId="11" borderId="0" xfId="0" quotePrefix="1" applyNumberFormat="1" applyFill="1"/>
    <xf numFmtId="0" fontId="0" fillId="11" borderId="41" xfId="0" applyFill="1" applyBorder="1" applyAlignment="1">
      <alignment wrapText="1"/>
    </xf>
    <xf numFmtId="0" fontId="0" fillId="11" borderId="34" xfId="0" applyFill="1" applyBorder="1" applyAlignment="1">
      <alignment wrapText="1"/>
    </xf>
    <xf numFmtId="0" fontId="1" fillId="6" borderId="33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1" fillId="6" borderId="34" xfId="0" applyFont="1" applyFill="1" applyBorder="1" applyAlignment="1">
      <alignment horizontal="left"/>
    </xf>
    <xf numFmtId="0" fontId="0" fillId="3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13" xfId="0" applyBorder="1"/>
    <xf numFmtId="0" fontId="0" fillId="12" borderId="1" xfId="0" applyFill="1" applyBorder="1"/>
    <xf numFmtId="0" fontId="16" fillId="0" borderId="0" xfId="0" applyFont="1"/>
    <xf numFmtId="164" fontId="9" fillId="0" borderId="0" xfId="0" applyNumberFormat="1" applyFont="1"/>
    <xf numFmtId="0" fontId="9" fillId="0" borderId="0" xfId="0" applyFont="1"/>
    <xf numFmtId="0" fontId="0" fillId="10" borderId="25" xfId="0" applyFill="1" applyBorder="1"/>
    <xf numFmtId="0" fontId="0" fillId="10" borderId="27" xfId="0" quotePrefix="1" applyFill="1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0" xfId="0" applyBorder="1" applyAlignment="1">
      <alignment horizontal="left" wrapText="1"/>
    </xf>
    <xf numFmtId="0" fontId="0" fillId="0" borderId="41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6" borderId="33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1" fillId="6" borderId="34" xfId="0" applyFont="1" applyFill="1" applyBorder="1" applyAlignment="1">
      <alignment horizontal="left"/>
    </xf>
    <xf numFmtId="0" fontId="0" fillId="0" borderId="40" xfId="0" quotePrefix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33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1" fillId="6" borderId="37" xfId="0" applyFont="1" applyFill="1" applyBorder="1" applyAlignment="1">
      <alignment horizontal="left" wrapText="1"/>
    </xf>
    <xf numFmtId="0" fontId="1" fillId="6" borderId="12" xfId="0" applyFont="1" applyFill="1" applyBorder="1" applyAlignment="1">
      <alignment horizontal="left" wrapText="1"/>
    </xf>
    <xf numFmtId="0" fontId="1" fillId="6" borderId="38" xfId="0" applyFont="1" applyFill="1" applyBorder="1" applyAlignment="1">
      <alignment horizontal="left" wrapText="1"/>
    </xf>
    <xf numFmtId="0" fontId="0" fillId="0" borderId="39" xfId="0" applyBorder="1" applyAlignment="1">
      <alignment horizontal="center" wrapText="1"/>
    </xf>
    <xf numFmtId="0" fontId="0" fillId="0" borderId="49" xfId="0" applyBorder="1" applyAlignment="1">
      <alignment horizontal="left" wrapText="1"/>
    </xf>
    <xf numFmtId="0" fontId="0" fillId="0" borderId="51" xfId="0" applyBorder="1" applyAlignment="1">
      <alignment horizontal="left" wrapText="1"/>
    </xf>
    <xf numFmtId="0" fontId="0" fillId="0" borderId="35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56" xfId="0" applyBorder="1" applyAlignment="1">
      <alignment horizontal="left" wrapText="1"/>
    </xf>
    <xf numFmtId="0" fontId="0" fillId="0" borderId="42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3" borderId="18" xfId="0" applyFill="1" applyBorder="1" applyAlignment="1">
      <alignment horizontal="center" textRotation="90" wrapText="1"/>
    </xf>
    <xf numFmtId="0" fontId="0" fillId="3" borderId="0" xfId="0" applyFill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7" xfId="0" applyFont="1" applyBorder="1" applyAlignment="1">
      <alignment horizontal="center" wrapText="1"/>
    </xf>
  </cellXfs>
  <cellStyles count="2">
    <cellStyle name="Indata" xfId="1" builtinId="20"/>
    <cellStyle name="Normal" xfId="0" builtinId="0"/>
  </cellStyles>
  <dxfs count="80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theme="0"/>
      </font>
      <fill>
        <patternFill>
          <bgColor rgb="FF2B77D0"/>
        </patternFill>
      </fill>
    </dxf>
    <dxf>
      <font>
        <color auto="1"/>
      </font>
      <fill>
        <patternFill>
          <bgColor rgb="FFE6994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E69946"/>
      <color rgb="FF2B77D0"/>
      <color rgb="FFD5DE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ZG!$X$62</c:f>
              <c:strCache>
                <c:ptCount val="1"/>
                <c:pt idx="0">
                  <c:v>Max speed</c:v>
                </c:pt>
              </c:strCache>
            </c:strRef>
          </c:tx>
          <c:spPr>
            <a:ln w="28575" cap="rnd">
              <a:solidFill>
                <a:srgbClr val="E69946"/>
              </a:solidFill>
              <a:round/>
            </a:ln>
            <a:effectLst/>
          </c:spPr>
          <c:marker>
            <c:symbol val="none"/>
          </c:marker>
          <c:xVal>
            <c:numRef>
              <c:f>ZG!$X$63:$X$73</c:f>
              <c:numCache>
                <c:formatCode>0.00</c:formatCode>
                <c:ptCount val="11"/>
                <c:pt idx="0">
                  <c:v>0</c:v>
                </c:pt>
                <c:pt idx="1">
                  <c:v>0.47285871619019476</c:v>
                </c:pt>
                <c:pt idx="2">
                  <c:v>0.94571743238038952</c:v>
                </c:pt>
                <c:pt idx="3">
                  <c:v>1.4185761485705843</c:v>
                </c:pt>
                <c:pt idx="4">
                  <c:v>1.891434864760779</c:v>
                </c:pt>
                <c:pt idx="5">
                  <c:v>2.364293580950974</c:v>
                </c:pt>
                <c:pt idx="6">
                  <c:v>2.8371522971411687</c:v>
                </c:pt>
                <c:pt idx="7">
                  <c:v>3.3100110133313634</c:v>
                </c:pt>
                <c:pt idx="8">
                  <c:v>3.7828697295215581</c:v>
                </c:pt>
                <c:pt idx="9">
                  <c:v>4.2557284457117532</c:v>
                </c:pt>
                <c:pt idx="10">
                  <c:v>4.7285871619019479</c:v>
                </c:pt>
              </c:numCache>
            </c:numRef>
          </c:xVal>
          <c:yVal>
            <c:numRef>
              <c:f>ZG!$W$63:$W$73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315-4BAA-B2EA-01C03ED2B08E}"/>
            </c:ext>
          </c:extLst>
        </c:ser>
        <c:ser>
          <c:idx val="1"/>
          <c:order val="1"/>
          <c:tx>
            <c:strRef>
              <c:f>ZG!$Y$62</c:f>
              <c:strCache>
                <c:ptCount val="1"/>
                <c:pt idx="0">
                  <c:v>Set working speed</c:v>
                </c:pt>
              </c:strCache>
            </c:strRef>
          </c:tx>
          <c:spPr>
            <a:ln w="28575" cap="rnd">
              <a:solidFill>
                <a:srgbClr val="2B77D0"/>
              </a:solidFill>
              <a:round/>
            </a:ln>
            <a:effectLst/>
          </c:spPr>
          <c:marker>
            <c:symbol val="none"/>
          </c:marker>
          <c:xVal>
            <c:numRef>
              <c:f>ZG!$Y$63:$Y$73</c:f>
              <c:numCache>
                <c:formatCode>0.00</c:formatCode>
                <c:ptCount val="11"/>
                <c:pt idx="0">
                  <c:v>0</c:v>
                </c:pt>
                <c:pt idx="1">
                  <c:v>0.47285871619019476</c:v>
                </c:pt>
                <c:pt idx="2">
                  <c:v>0.94571743238038952</c:v>
                </c:pt>
                <c:pt idx="3">
                  <c:v>1.4185761485705843</c:v>
                </c:pt>
                <c:pt idx="4">
                  <c:v>1.891434864760779</c:v>
                </c:pt>
                <c:pt idx="5">
                  <c:v>2.364293580950974</c:v>
                </c:pt>
                <c:pt idx="6">
                  <c:v>2.8371522971411687</c:v>
                </c:pt>
                <c:pt idx="7">
                  <c:v>3.3100110133313634</c:v>
                </c:pt>
                <c:pt idx="8">
                  <c:v>3.7828697295215581</c:v>
                </c:pt>
                <c:pt idx="9">
                  <c:v>4.2557284457117532</c:v>
                </c:pt>
                <c:pt idx="10">
                  <c:v>4.7285871619019479</c:v>
                </c:pt>
              </c:numCache>
            </c:numRef>
          </c:xVal>
          <c:yVal>
            <c:numRef>
              <c:f>ZG!$W$63:$W$73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F3-4120-AE3B-E0BD8C722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487504"/>
        <c:axId val="799626224"/>
      </c:scatterChart>
      <c:valAx>
        <c:axId val="2097487504"/>
        <c:scaling>
          <c:orientation val="minMax"/>
          <c:max val="24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99626224"/>
        <c:crosses val="autoZero"/>
        <c:crossBetween val="midCat"/>
        <c:majorUnit val="4"/>
      </c:valAx>
      <c:valAx>
        <c:axId val="799626224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Tank Turnovers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9748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1295400</xdr:colOff>
      <xdr:row>50</xdr:row>
      <xdr:rowOff>23812</xdr:rowOff>
    </xdr:from>
    <xdr:to>
      <xdr:col>36</xdr:col>
      <xdr:colOff>247650</xdr:colOff>
      <xdr:row>65</xdr:row>
      <xdr:rowOff>100012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C24369F-1836-1A89-0DC8-1E39164D8D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</xdr:colOff>
      <xdr:row>0</xdr:row>
      <xdr:rowOff>209550</xdr:rowOff>
    </xdr:from>
    <xdr:to>
      <xdr:col>4</xdr:col>
      <xdr:colOff>6488475</xdr:colOff>
      <xdr:row>15</xdr:row>
      <xdr:rowOff>228600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168A3A3A-91E5-13CE-B0C7-6D5955B50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1950" y="209550"/>
          <a:ext cx="6336075" cy="56483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9F2062-7612-4976-90A3-ABBFAB288729}" name="Tabell15" displayName="Tabell15" ref="A1:F19" totalsRowShown="0" headerRowDxfId="79">
  <autoFilter ref="A1:F19" xr:uid="{7395098D-495A-41B3-9849-D9F205106A5A}"/>
  <tableColumns count="6">
    <tableColumn id="6" xr3:uid="{489E3052-5B45-41B4-AB09-0C67493C2916}" name="Process Code" dataDxfId="78"/>
    <tableColumn id="1" xr3:uid="{9EF84E1A-CE86-49D7-98DE-6EE5E9A9D0FC}" name="Main Mixing purpose" dataDxfId="77"/>
    <tableColumn id="2" xr3:uid="{A1253C65-3F32-49D4-BBAB-23DA70E29DF4}" name="Recommended 1st hand Mixer"/>
    <tableColumn id="3" xr3:uid="{54799859-032E-4A48-AF9F-7E28A5BE68EB}" name="Recommended 2nd hand Mixer"/>
    <tableColumn id="4" xr3:uid="{99D8A4FF-38E9-48E2-9A20-D83F85E96AD1}" name="Type of mixing"/>
    <tableColumn id="5" xr3:uid="{FA309B1C-BCC8-48EE-9037-D3BF6DB418DB}" name="Vortex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A2D082C-BC4E-423C-880B-A28B1DDEB9C1}" name="Tabell269" displayName="Tabell269" ref="A1:B15" totalsRowShown="0">
  <autoFilter ref="A1:B15" xr:uid="{5C5F82A3-B193-4236-9755-7437394F0635}"/>
  <tableColumns count="2">
    <tableColumn id="1" xr3:uid="{5120345B-BF69-47DD-B4F9-BD0E766BC747}" name="Letter"/>
    <tableColumn id="2" xr3:uid="{FA0B64DB-AD8B-4B7F-8EF6-33E467969296}" name="Material variant" dataDxfId="7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4E1A74C-8B49-4834-B6A8-6CD8D77A1916}" name="Tabell371013" displayName="Tabell371013" ref="A1:A5" totalsRowShown="0" dataDxfId="75">
  <autoFilter ref="A1:A5" xr:uid="{CB1EDA48-69B9-403D-A645-3051FDDDC4AC}"/>
  <tableColumns count="1">
    <tableColumn id="1" xr3:uid="{000B208C-5652-4FBE-B808-A25AC178E1E4}" name="O-rings" dataDxfId="7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FE200B-B95E-4D9E-8619-85D8041F8BE5}" name="Tabell3710132" displayName="Tabell3710132" ref="A1:A3" totalsRowShown="0" dataDxfId="73">
  <autoFilter ref="A1:A3" xr:uid="{CB1EDA48-69B9-403D-A645-3051FDDDC4AC}"/>
  <tableColumns count="1">
    <tableColumn id="1" xr3:uid="{2BC780CA-1595-46DA-B773-836E8AFCF258}" name="O-rings" dataDxfId="7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F77CF5-92E4-47A9-AD43-690BDE3E1DE0}" name="Tabell2" displayName="Tabell2" ref="A1:H7" totalsRowShown="0">
  <autoFilter ref="A1:H7" xr:uid="{CEF77CF5-92E4-47A9-AD43-690BDE3E1DE0}"/>
  <tableColumns count="8">
    <tableColumn id="1" xr3:uid="{F363D2F3-6049-457F-A5F0-E5025EA47FB1}" name="Code"/>
    <tableColumn id="2" xr3:uid="{2EA88BB3-073C-411F-A63B-E6B29D012449}" name="Dish Head Type"/>
    <tableColumn id="3" xr3:uid="{3A385946-506A-45C6-A653-4DFB49711226}" name="Outer Diameter">
      <calculatedColumnFormula>$D$2+2*(Input!$D$10)</calculatedColumnFormula>
    </tableColumn>
    <tableColumn id="4" xr3:uid="{5BFF93C0-B9E8-4AF7-ACF3-9DC580E20763}" name="Inner diameter">
      <calculatedColumnFormula>Input!$D$9</calculatedColumnFormula>
    </tableColumn>
    <tableColumn id="5" xr3:uid="{F51BF6F4-04B8-42B2-8285-B28F94E4EFF6}" name="Crown Radius (CR)" dataDxfId="71"/>
    <tableColumn id="6" xr3:uid="{5AB54C33-1565-4475-B1E8-F1F74A6C3FED}" name="Knuckleradius (KR)" dataDxfId="70"/>
    <tableColumn id="7" xr3:uid="{E6264FDD-DFA5-4723-98C5-243E0FE382DA}" name="Dish height (DH)" dataDxfId="69"/>
    <tableColumn id="11" xr3:uid="{25A1DCC4-DD0B-4E79-991D-7CC0E458E528}" name="Vol dish" dataDxfId="68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F9E294-8A2A-4994-903E-2A532C975135}" name="Tabell3" displayName="Tabell3" ref="L1:R25" totalsRowShown="0" dataDxfId="67">
  <autoFilter ref="L1:R25" xr:uid="{10F9E294-8A2A-4994-903E-2A532C975135}"/>
  <tableColumns count="7">
    <tableColumn id="1" xr3:uid="{75275885-55D8-4C89-9CF9-7A78FA681AE5}" name="Size" dataDxfId="66"/>
    <tableColumn id="2" xr3:uid="{8A4E637C-A211-4A42-AD51-784B28F71A60}" name="MHø/2" dataDxfId="65"/>
    <tableColumn id="3" xr3:uid="{5040C413-BF57-4B34-9E94-695FAD43D1FF}" name="TPø/2" dataDxfId="64"/>
    <tableColumn id="4" xr3:uid="{7B8C4DD9-E389-4EBF-9CB4-A2F445647EF1}" name="FSø/2" dataDxfId="63"/>
    <tableColumn id="5" xr3:uid="{C4DBB129-CDE2-4C03-8238-D6262F72151D}" name="TP to top of FS (FS2)" dataDxfId="62"/>
    <tableColumn id="6" xr3:uid="{836AF688-6A25-4D34-8E7E-908B5E3DDF31}" name="Top of MH" dataDxfId="61"/>
    <tableColumn id="7" xr3:uid="{0A9A952D-6E44-47DD-8C83-13416D3EA1D2}" name="Last drop" dataDxfId="6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P65"/>
  <sheetViews>
    <sheetView topLeftCell="A7" zoomScale="115" zoomScaleNormal="115" workbookViewId="0">
      <selection activeCell="D13" sqref="D13"/>
    </sheetView>
  </sheetViews>
  <sheetFormatPr baseColWidth="10" defaultColWidth="8.83203125" defaultRowHeight="15"/>
  <cols>
    <col min="2" max="2" width="13.83203125" customWidth="1"/>
    <col min="3" max="3" width="26.5" customWidth="1"/>
    <col min="4" max="4" width="18.6640625" bestFit="1" customWidth="1"/>
    <col min="5" max="5" width="17.5" bestFit="1" customWidth="1"/>
    <col min="6" max="6" width="18.33203125" bestFit="1" customWidth="1"/>
    <col min="7" max="7" width="15" bestFit="1" customWidth="1"/>
    <col min="8" max="8" width="31.83203125" customWidth="1"/>
    <col min="9" max="9" width="35.6640625" bestFit="1" customWidth="1"/>
    <col min="10" max="10" width="19.83203125" bestFit="1" customWidth="1"/>
  </cols>
  <sheetData>
    <row r="1" spans="1:16">
      <c r="A1" s="17"/>
      <c r="B1" s="17"/>
      <c r="C1" s="17"/>
      <c r="D1" s="17"/>
      <c r="E1" s="17"/>
      <c r="F1" s="17"/>
    </row>
    <row r="2" spans="1:16">
      <c r="A2" s="17"/>
      <c r="B2" s="17"/>
      <c r="C2" s="205" t="s">
        <v>0</v>
      </c>
      <c r="D2" s="206"/>
      <c r="E2" s="207"/>
      <c r="F2" s="195"/>
      <c r="G2" s="82"/>
    </row>
    <row r="3" spans="1:16">
      <c r="A3" s="17"/>
      <c r="B3" s="17"/>
      <c r="C3" s="120" t="s">
        <v>194</v>
      </c>
      <c r="D3" s="209" t="s">
        <v>209</v>
      </c>
      <c r="E3" s="209"/>
      <c r="F3" s="195"/>
      <c r="G3" s="53"/>
    </row>
    <row r="4" spans="1:16">
      <c r="A4" s="17"/>
      <c r="B4" s="17"/>
      <c r="C4" s="120" t="s">
        <v>193</v>
      </c>
      <c r="D4" s="210"/>
      <c r="E4" s="210"/>
      <c r="F4" s="195"/>
    </row>
    <row r="5" spans="1:16">
      <c r="A5" s="17"/>
      <c r="B5" s="17"/>
      <c r="C5" s="120" t="s">
        <v>192</v>
      </c>
      <c r="D5" s="210"/>
      <c r="E5" s="210"/>
      <c r="F5" s="195"/>
    </row>
    <row r="6" spans="1:16">
      <c r="A6" s="17"/>
      <c r="B6" s="17"/>
      <c r="C6" s="120" t="s">
        <v>199</v>
      </c>
      <c r="D6" s="210"/>
      <c r="E6" s="210"/>
      <c r="F6" s="195"/>
    </row>
    <row r="7" spans="1:16">
      <c r="A7" s="17"/>
      <c r="B7" s="17"/>
      <c r="C7" s="120" t="s">
        <v>196</v>
      </c>
      <c r="D7" s="210" t="s">
        <v>271</v>
      </c>
      <c r="E7" s="210"/>
      <c r="F7" s="195"/>
    </row>
    <row r="8" spans="1:16">
      <c r="A8" s="17"/>
      <c r="B8" s="17"/>
      <c r="C8" s="120" t="s">
        <v>197</v>
      </c>
      <c r="D8" s="210" t="s">
        <v>271</v>
      </c>
      <c r="E8" s="210"/>
      <c r="F8" s="195"/>
    </row>
    <row r="9" spans="1:16">
      <c r="A9" s="17"/>
      <c r="B9" s="17"/>
      <c r="C9" s="3" t="s">
        <v>1</v>
      </c>
      <c r="D9" s="3">
        <v>406</v>
      </c>
      <c r="E9" s="3" t="s">
        <v>7</v>
      </c>
      <c r="F9" s="195"/>
    </row>
    <row r="10" spans="1:16">
      <c r="A10" s="17"/>
      <c r="B10" s="17"/>
      <c r="C10" s="3" t="s">
        <v>155</v>
      </c>
      <c r="D10" s="3">
        <v>5</v>
      </c>
      <c r="E10" s="3" t="s">
        <v>7</v>
      </c>
      <c r="F10" s="195"/>
    </row>
    <row r="11" spans="1:16">
      <c r="A11" s="17"/>
      <c r="B11" s="17"/>
      <c r="C11" s="3" t="s">
        <v>384</v>
      </c>
      <c r="D11" s="3">
        <v>2000</v>
      </c>
      <c r="E11" s="3" t="s">
        <v>12</v>
      </c>
      <c r="F11" s="195"/>
    </row>
    <row r="12" spans="1:16">
      <c r="A12" s="17"/>
      <c r="B12" s="17"/>
      <c r="C12" s="3" t="s">
        <v>2</v>
      </c>
      <c r="D12" s="3">
        <v>900</v>
      </c>
      <c r="E12" s="3" t="s">
        <v>12</v>
      </c>
      <c r="F12" s="195"/>
    </row>
    <row r="13" spans="1:16">
      <c r="A13" s="17"/>
      <c r="B13" s="17"/>
      <c r="C13" s="3" t="s">
        <v>185</v>
      </c>
      <c r="D13" s="3" t="str">
        <f>IF($D$3=0,
"General",
VLOOKUP($D$3,Tabell15[],5,FALSE))</f>
        <v>Vigorous</v>
      </c>
      <c r="E13" s="3"/>
      <c r="F13" s="195"/>
    </row>
    <row r="14" spans="1:16">
      <c r="A14" s="17"/>
      <c r="B14" s="17"/>
      <c r="C14" s="3" t="s">
        <v>4</v>
      </c>
      <c r="D14" s="3">
        <v>2000</v>
      </c>
      <c r="E14" s="3" t="s">
        <v>130</v>
      </c>
      <c r="F14" s="195"/>
    </row>
    <row r="15" spans="1:16">
      <c r="A15" s="17"/>
      <c r="B15" s="17"/>
      <c r="C15" s="3" t="s">
        <v>3</v>
      </c>
      <c r="D15" s="3">
        <v>10</v>
      </c>
      <c r="E15" s="3" t="s">
        <v>131</v>
      </c>
      <c r="F15" s="195"/>
    </row>
    <row r="16" spans="1:16">
      <c r="A16" s="17"/>
      <c r="B16" s="17"/>
      <c r="C16" s="209" t="s">
        <v>181</v>
      </c>
      <c r="D16" s="209"/>
      <c r="E16" s="209"/>
      <c r="F16" s="195"/>
      <c r="O16" s="3" t="s">
        <v>148</v>
      </c>
      <c r="P16" s="3"/>
    </row>
    <row r="17" spans="1:16">
      <c r="A17" s="17"/>
      <c r="B17" s="17"/>
      <c r="C17" s="3" t="s">
        <v>267</v>
      </c>
      <c r="D17" s="3" t="s">
        <v>140</v>
      </c>
      <c r="E17" s="3"/>
      <c r="F17" s="195"/>
      <c r="O17" s="3" t="s">
        <v>142</v>
      </c>
      <c r="P17" s="3" t="s">
        <v>150</v>
      </c>
    </row>
    <row r="18" spans="1:16">
      <c r="A18" s="17"/>
      <c r="B18" s="17"/>
      <c r="C18" s="209" t="s">
        <v>172</v>
      </c>
      <c r="D18" s="209"/>
      <c r="E18" s="209"/>
      <c r="F18" s="195"/>
      <c r="O18" s="3"/>
      <c r="P18" s="3"/>
    </row>
    <row r="19" spans="1:16">
      <c r="A19" s="17"/>
      <c r="B19" s="17"/>
      <c r="C19" s="3" t="s">
        <v>142</v>
      </c>
      <c r="D19" s="3"/>
      <c r="E19" s="3"/>
      <c r="F19" s="195"/>
      <c r="O19" s="3"/>
      <c r="P19" s="3"/>
    </row>
    <row r="20" spans="1:16">
      <c r="A20" s="17"/>
      <c r="B20" s="17"/>
      <c r="C20" s="3" t="s">
        <v>246</v>
      </c>
      <c r="D20" s="3" t="s">
        <v>272</v>
      </c>
      <c r="E20" s="3"/>
      <c r="F20" s="195"/>
      <c r="O20" s="3"/>
      <c r="P20" s="3"/>
    </row>
    <row r="21" spans="1:16">
      <c r="A21" s="17"/>
      <c r="B21" s="17"/>
      <c r="C21" s="3" t="s">
        <v>269</v>
      </c>
      <c r="D21" s="125" t="s">
        <v>271</v>
      </c>
      <c r="E21" s="3"/>
      <c r="F21" s="195"/>
      <c r="O21" s="3"/>
      <c r="P21" s="3"/>
    </row>
    <row r="22" spans="1:16">
      <c r="A22" s="17"/>
      <c r="B22" s="17"/>
      <c r="C22" s="3" t="s">
        <v>247</v>
      </c>
      <c r="D22" s="3" t="s">
        <v>248</v>
      </c>
      <c r="E22" s="3"/>
      <c r="F22" s="195"/>
      <c r="O22" s="3"/>
      <c r="P22" s="3"/>
    </row>
    <row r="23" spans="1:16">
      <c r="A23" s="17"/>
      <c r="B23" s="17"/>
      <c r="C23" s="3" t="s">
        <v>270</v>
      </c>
      <c r="D23" s="3" t="s">
        <v>271</v>
      </c>
      <c r="E23" s="3"/>
      <c r="F23" s="195"/>
      <c r="O23" s="3"/>
      <c r="P23" s="3"/>
    </row>
    <row r="24" spans="1:16">
      <c r="A24" s="17"/>
      <c r="B24" s="17"/>
      <c r="C24" s="3" t="s">
        <v>261</v>
      </c>
      <c r="D24" s="3" t="s">
        <v>268</v>
      </c>
      <c r="E24" s="3"/>
      <c r="F24" s="195"/>
      <c r="O24" s="3"/>
      <c r="P24" s="3"/>
    </row>
    <row r="25" spans="1:16">
      <c r="A25" s="17"/>
      <c r="B25" s="17"/>
      <c r="C25" s="17"/>
      <c r="D25" s="17"/>
      <c r="E25" s="17"/>
      <c r="F25" s="195"/>
      <c r="O25" s="3"/>
      <c r="P25" s="3"/>
    </row>
    <row r="26" spans="1:16">
      <c r="A26" s="17"/>
      <c r="B26" s="17"/>
      <c r="C26" s="17"/>
      <c r="D26" s="17"/>
      <c r="E26" s="17" t="s">
        <v>281</v>
      </c>
      <c r="F26" s="195"/>
      <c r="O26" s="3" t="s">
        <v>142</v>
      </c>
      <c r="P26" s="3" t="s">
        <v>153</v>
      </c>
    </row>
    <row r="27" spans="1:16" ht="20" customHeight="1">
      <c r="A27" s="17"/>
      <c r="B27" s="208" t="s">
        <v>133</v>
      </c>
      <c r="C27" s="3" t="s">
        <v>262</v>
      </c>
      <c r="D27" s="3"/>
      <c r="E27" s="3"/>
      <c r="F27" s="195"/>
      <c r="O27" s="3" t="s">
        <v>142</v>
      </c>
      <c r="P27" s="3" t="s">
        <v>151</v>
      </c>
    </row>
    <row r="28" spans="1:16" ht="20" customHeight="1">
      <c r="A28" s="17"/>
      <c r="B28" s="208"/>
      <c r="C28" s="3" t="s">
        <v>263</v>
      </c>
      <c r="D28" s="3"/>
      <c r="E28" s="3"/>
      <c r="F28" s="17"/>
      <c r="O28" s="3" t="s">
        <v>142</v>
      </c>
      <c r="P28" s="3" t="s">
        <v>152</v>
      </c>
    </row>
    <row r="29" spans="1:16" ht="20" customHeight="1">
      <c r="A29" s="17"/>
      <c r="B29" s="208"/>
      <c r="C29" s="3" t="s">
        <v>264</v>
      </c>
      <c r="D29" s="3"/>
      <c r="E29" s="3"/>
      <c r="F29" s="17"/>
      <c r="O29" s="3" t="s">
        <v>149</v>
      </c>
      <c r="P29" s="3"/>
    </row>
    <row r="30" spans="1:16" ht="20" customHeight="1">
      <c r="A30" s="17"/>
      <c r="B30" s="208"/>
      <c r="C30" s="3" t="s">
        <v>265</v>
      </c>
      <c r="D30" s="3"/>
      <c r="E30" s="3"/>
      <c r="F30" s="195"/>
      <c r="O30" s="3"/>
      <c r="P30" s="3"/>
    </row>
    <row r="31" spans="1:16" ht="20" customHeight="1">
      <c r="A31" s="17"/>
      <c r="B31" s="208"/>
      <c r="C31" s="3" t="s">
        <v>266</v>
      </c>
      <c r="D31" s="3"/>
      <c r="E31" s="3"/>
      <c r="F31" s="195"/>
      <c r="O31" s="3"/>
      <c r="P31" s="3"/>
    </row>
    <row r="32" spans="1:16">
      <c r="A32" s="17"/>
      <c r="B32" s="17"/>
      <c r="C32" s="17"/>
      <c r="D32" s="17"/>
      <c r="E32" s="17"/>
      <c r="F32" s="17"/>
    </row>
    <row r="33" spans="2:7" ht="32">
      <c r="B33" s="196" t="s">
        <v>316</v>
      </c>
      <c r="C33" s="3" t="s">
        <v>26</v>
      </c>
    </row>
    <row r="35" spans="2:7">
      <c r="B35" s="7"/>
      <c r="C35" s="11"/>
      <c r="D35" s="53"/>
      <c r="E35" s="53"/>
      <c r="F35" s="53"/>
      <c r="G35" s="53"/>
    </row>
    <row r="36" spans="2:7">
      <c r="B36" s="121"/>
      <c r="C36" s="53"/>
    </row>
    <row r="37" spans="2:7">
      <c r="B37" s="121"/>
      <c r="C37" s="53"/>
    </row>
    <row r="38" spans="2:7">
      <c r="B38" s="121"/>
      <c r="C38" s="53"/>
    </row>
    <row r="39" spans="2:7">
      <c r="B39" s="121"/>
      <c r="C39" s="53"/>
    </row>
    <row r="40" spans="2:7">
      <c r="B40" s="121"/>
      <c r="C40" s="53"/>
    </row>
    <row r="41" spans="2:7">
      <c r="B41" s="121"/>
      <c r="C41" s="53"/>
    </row>
    <row r="42" spans="2:7">
      <c r="B42" s="121"/>
      <c r="C42" s="53"/>
    </row>
    <row r="43" spans="2:7">
      <c r="B43" s="121"/>
      <c r="C43" s="53"/>
    </row>
    <row r="44" spans="2:7">
      <c r="B44" s="121"/>
      <c r="C44" s="53"/>
    </row>
    <row r="45" spans="2:7">
      <c r="B45" s="121"/>
      <c r="C45" s="53"/>
    </row>
    <row r="46" spans="2:7">
      <c r="B46" s="121"/>
      <c r="C46" s="53"/>
    </row>
    <row r="47" spans="2:7">
      <c r="B47" s="121"/>
      <c r="C47" s="53"/>
    </row>
    <row r="48" spans="2:7">
      <c r="B48" s="121"/>
      <c r="C48" s="53"/>
    </row>
    <row r="49" spans="2:5">
      <c r="B49" s="121"/>
      <c r="C49" s="53"/>
    </row>
    <row r="50" spans="2:5" ht="20.25" customHeight="1">
      <c r="B50" s="204"/>
      <c r="C50" s="204"/>
    </row>
    <row r="52" spans="2:5">
      <c r="E52" s="53"/>
    </row>
    <row r="53" spans="2:5">
      <c r="E53" s="53"/>
    </row>
    <row r="54" spans="2:5">
      <c r="E54" s="53"/>
    </row>
    <row r="55" spans="2:5">
      <c r="E55" s="53"/>
    </row>
    <row r="63" spans="2:5">
      <c r="C63" s="53"/>
    </row>
    <row r="64" spans="2:5">
      <c r="C64" s="53"/>
    </row>
    <row r="65" spans="3:3">
      <c r="C65" s="53"/>
    </row>
  </sheetData>
  <mergeCells count="11">
    <mergeCell ref="B50:C50"/>
    <mergeCell ref="C2:E2"/>
    <mergeCell ref="B27:B31"/>
    <mergeCell ref="D3:E3"/>
    <mergeCell ref="D6:E6"/>
    <mergeCell ref="D5:E5"/>
    <mergeCell ref="D4:E4"/>
    <mergeCell ref="D8:E8"/>
    <mergeCell ref="D7:E7"/>
    <mergeCell ref="C16:E16"/>
    <mergeCell ref="C18:E18"/>
  </mergeCells>
  <dataValidations count="2">
    <dataValidation type="list" allowBlank="1" showInputMessage="1" showErrorMessage="1" sqref="D7:E8 D21:D23" xr:uid="{C3C5C6CB-41FA-491A-AFCB-123050EE3A23}">
      <formula1>"YES,NO"</formula1>
    </dataValidation>
    <dataValidation type="list" allowBlank="1" showInputMessage="1" showErrorMessage="1" sqref="D24" xr:uid="{8FE12D43-0C0E-4044-A408-9AC330418E99}">
      <formula1>"Metric,Imperial"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6BFB85C-27AF-467B-9F8F-AB857FFE566F}">
          <x14:formula1>
            <xm:f>'O-rings List'!$A$2:$A$5</xm:f>
          </x14:formula1>
          <xm:sqref>D19</xm:sqref>
        </x14:dataValidation>
        <x14:dataValidation type="list" allowBlank="1" showInputMessage="1" showErrorMessage="1" xr:uid="{BBACD17E-8234-4ABD-AD33-CF1E386A33A2}">
          <x14:formula1>
            <xm:f>'IP-Class List'!$A$2:$A$3</xm:f>
          </x14:formula1>
          <xm:sqref>D20</xm:sqref>
        </x14:dataValidation>
        <x14:dataValidation type="list" allowBlank="1" showInputMessage="1" showErrorMessage="1" xr:uid="{67FAD953-D8D5-425C-957C-BF34426CABC2}">
          <x14:formula1>
            <xm:f>'SS Material List'!$A$2:$A$15</xm:f>
          </x14:formula1>
          <xm:sqref>D17</xm:sqref>
        </x14:dataValidation>
        <x14:dataValidation type="list" allowBlank="1" showInputMessage="1" showErrorMessage="1" xr:uid="{0E37AD2F-7E8B-4BE1-A1D3-5A299A3B381C}">
          <x14:formula1>
            <xm:f>'Main Mixing Purpose List'!$A$2:$A$19</xm:f>
          </x14:formula1>
          <xm:sqref>D3:E3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AF63-9499-4B60-81EE-8626CE0E3E0D}">
  <sheetPr>
    <tabColor theme="5" tint="0.59999389629810485"/>
  </sheetPr>
  <dimension ref="A1:P68"/>
  <sheetViews>
    <sheetView zoomScale="115" zoomScaleNormal="115" workbookViewId="0">
      <selection activeCell="B7" sqref="B7"/>
    </sheetView>
  </sheetViews>
  <sheetFormatPr baseColWidth="10" defaultColWidth="8.83203125" defaultRowHeight="15"/>
  <cols>
    <col min="2" max="2" width="86.1640625" bestFit="1" customWidth="1"/>
    <col min="3" max="3" width="16.83203125" customWidth="1"/>
    <col min="4" max="4" width="16.5" customWidth="1"/>
    <col min="5" max="5" width="15.83203125" customWidth="1"/>
    <col min="6" max="6" width="10" customWidth="1"/>
    <col min="7" max="7" width="15" bestFit="1" customWidth="1"/>
    <col min="8" max="8" width="31.83203125" customWidth="1"/>
    <col min="9" max="9" width="35.6640625" bestFit="1" customWidth="1"/>
    <col min="10" max="10" width="19.83203125" bestFit="1" customWidth="1"/>
  </cols>
  <sheetData>
    <row r="1" spans="1:7" ht="32">
      <c r="A1" s="7" t="s">
        <v>206</v>
      </c>
      <c r="B1" s="7" t="s">
        <v>205</v>
      </c>
      <c r="C1" s="53" t="s">
        <v>370</v>
      </c>
      <c r="D1" s="53" t="s">
        <v>371</v>
      </c>
      <c r="E1" s="53" t="s">
        <v>200</v>
      </c>
      <c r="F1" s="53" t="s">
        <v>201</v>
      </c>
    </row>
    <row r="2" spans="1:7" ht="16">
      <c r="A2" s="121" t="s">
        <v>207</v>
      </c>
      <c r="B2" s="53" t="s">
        <v>351</v>
      </c>
      <c r="C2" t="s">
        <v>125</v>
      </c>
      <c r="D2" t="s">
        <v>127</v>
      </c>
      <c r="E2" t="s">
        <v>202</v>
      </c>
      <c r="F2" t="s">
        <v>167</v>
      </c>
      <c r="G2" s="82"/>
    </row>
    <row r="3" spans="1:7" ht="16">
      <c r="A3" s="121" t="s">
        <v>208</v>
      </c>
      <c r="B3" s="53" t="s">
        <v>352</v>
      </c>
      <c r="C3" t="s">
        <v>125</v>
      </c>
      <c r="D3" t="s">
        <v>127</v>
      </c>
      <c r="E3" t="s">
        <v>203</v>
      </c>
      <c r="F3" t="s">
        <v>296</v>
      </c>
      <c r="G3" s="53"/>
    </row>
    <row r="4" spans="1:7" ht="16">
      <c r="A4" s="121" t="s">
        <v>209</v>
      </c>
      <c r="B4" s="53" t="s">
        <v>353</v>
      </c>
      <c r="C4" t="s">
        <v>125</v>
      </c>
      <c r="D4" t="s">
        <v>127</v>
      </c>
      <c r="E4" t="s">
        <v>202</v>
      </c>
      <c r="F4" t="s">
        <v>293</v>
      </c>
      <c r="G4" s="53"/>
    </row>
    <row r="5" spans="1:7" ht="16">
      <c r="A5" s="121" t="s">
        <v>210</v>
      </c>
      <c r="B5" s="53" t="s">
        <v>354</v>
      </c>
      <c r="C5" t="s">
        <v>125</v>
      </c>
      <c r="D5" t="s">
        <v>127</v>
      </c>
      <c r="E5" t="s">
        <v>203</v>
      </c>
      <c r="F5" t="s">
        <v>293</v>
      </c>
    </row>
    <row r="6" spans="1:7" ht="16">
      <c r="A6" s="121" t="s">
        <v>211</v>
      </c>
      <c r="B6" s="53" t="s">
        <v>355</v>
      </c>
      <c r="C6" t="s">
        <v>129</v>
      </c>
      <c r="D6" t="s">
        <v>125</v>
      </c>
      <c r="E6" t="s">
        <v>147</v>
      </c>
      <c r="F6" t="s">
        <v>198</v>
      </c>
    </row>
    <row r="7" spans="1:7" ht="16">
      <c r="A7" s="121" t="s">
        <v>212</v>
      </c>
      <c r="B7" s="53" t="s">
        <v>356</v>
      </c>
      <c r="C7" t="s">
        <v>129</v>
      </c>
      <c r="D7" t="s">
        <v>125</v>
      </c>
      <c r="E7" t="s">
        <v>147</v>
      </c>
      <c r="F7" t="s">
        <v>198</v>
      </c>
    </row>
    <row r="8" spans="1:7" ht="16">
      <c r="A8" s="121" t="s">
        <v>213</v>
      </c>
      <c r="B8" s="53" t="s">
        <v>357</v>
      </c>
      <c r="C8" t="s">
        <v>129</v>
      </c>
      <c r="D8" t="s">
        <v>125</v>
      </c>
      <c r="E8" t="s">
        <v>147</v>
      </c>
      <c r="F8" t="s">
        <v>198</v>
      </c>
    </row>
    <row r="9" spans="1:7" ht="16">
      <c r="A9" s="121" t="s">
        <v>214</v>
      </c>
      <c r="B9" s="53" t="s">
        <v>358</v>
      </c>
      <c r="C9" t="s">
        <v>125</v>
      </c>
      <c r="D9" t="s">
        <v>127</v>
      </c>
      <c r="E9" t="s">
        <v>202</v>
      </c>
      <c r="F9" t="s">
        <v>293</v>
      </c>
    </row>
    <row r="10" spans="1:7" ht="16">
      <c r="A10" s="121" t="s">
        <v>215</v>
      </c>
      <c r="B10" s="53" t="s">
        <v>359</v>
      </c>
      <c r="C10" t="s">
        <v>125</v>
      </c>
      <c r="D10" t="s">
        <v>127</v>
      </c>
      <c r="E10" t="s">
        <v>203</v>
      </c>
      <c r="F10" t="s">
        <v>293</v>
      </c>
    </row>
    <row r="11" spans="1:7" ht="16">
      <c r="A11" s="121" t="s">
        <v>216</v>
      </c>
      <c r="B11" s="53" t="s">
        <v>360</v>
      </c>
      <c r="C11" t="s">
        <v>125</v>
      </c>
      <c r="D11" t="s">
        <v>136</v>
      </c>
      <c r="E11" t="s">
        <v>203</v>
      </c>
      <c r="F11" t="s">
        <v>198</v>
      </c>
    </row>
    <row r="12" spans="1:7" ht="16">
      <c r="A12" s="121" t="s">
        <v>217</v>
      </c>
      <c r="B12" s="53" t="s">
        <v>361</v>
      </c>
      <c r="C12" t="s">
        <v>125</v>
      </c>
      <c r="D12" t="s">
        <v>136</v>
      </c>
      <c r="E12" t="s">
        <v>203</v>
      </c>
      <c r="F12" t="s">
        <v>198</v>
      </c>
    </row>
    <row r="13" spans="1:7" ht="16">
      <c r="A13" s="121" t="s">
        <v>218</v>
      </c>
      <c r="B13" s="53" t="s">
        <v>363</v>
      </c>
      <c r="C13" t="s">
        <v>127</v>
      </c>
      <c r="D13" t="s">
        <v>125</v>
      </c>
      <c r="E13" t="s">
        <v>202</v>
      </c>
      <c r="F13" t="s">
        <v>167</v>
      </c>
    </row>
    <row r="14" spans="1:7" ht="16">
      <c r="A14" s="121" t="s">
        <v>219</v>
      </c>
      <c r="B14" s="53" t="s">
        <v>362</v>
      </c>
      <c r="C14" t="s">
        <v>128</v>
      </c>
      <c r="D14" t="s">
        <v>136</v>
      </c>
      <c r="E14" t="s">
        <v>203</v>
      </c>
      <c r="F14" t="s">
        <v>167</v>
      </c>
    </row>
    <row r="15" spans="1:7" ht="16">
      <c r="A15" s="121" t="s">
        <v>297</v>
      </c>
      <c r="B15" s="53" t="s">
        <v>364</v>
      </c>
      <c r="C15" t="s">
        <v>128</v>
      </c>
      <c r="D15" t="s">
        <v>136</v>
      </c>
      <c r="E15" t="s">
        <v>203</v>
      </c>
      <c r="F15" t="s">
        <v>293</v>
      </c>
    </row>
    <row r="16" spans="1:7" ht="16">
      <c r="A16" s="121" t="s">
        <v>298</v>
      </c>
      <c r="B16" s="53" t="s">
        <v>365</v>
      </c>
      <c r="C16" t="s">
        <v>126</v>
      </c>
      <c r="D16" t="s">
        <v>136</v>
      </c>
      <c r="E16" t="s">
        <v>203</v>
      </c>
      <c r="F16" t="s">
        <v>293</v>
      </c>
    </row>
    <row r="17" spans="1:16" ht="16">
      <c r="A17" s="121" t="s">
        <v>367</v>
      </c>
      <c r="B17" s="53" t="s">
        <v>366</v>
      </c>
      <c r="C17" t="s">
        <v>300</v>
      </c>
      <c r="D17" t="s">
        <v>136</v>
      </c>
      <c r="E17" t="s">
        <v>203</v>
      </c>
      <c r="F17" t="s">
        <v>293</v>
      </c>
    </row>
    <row r="18" spans="1:16" ht="16">
      <c r="A18" s="121" t="s">
        <v>368</v>
      </c>
      <c r="B18" s="53" t="s">
        <v>204</v>
      </c>
      <c r="C18" t="s">
        <v>300</v>
      </c>
      <c r="E18" t="s">
        <v>203</v>
      </c>
      <c r="F18" t="s">
        <v>198</v>
      </c>
    </row>
    <row r="19" spans="1:16" ht="16">
      <c r="A19" s="121" t="s">
        <v>369</v>
      </c>
      <c r="B19" s="53" t="s">
        <v>299</v>
      </c>
      <c r="C19" t="s">
        <v>300</v>
      </c>
      <c r="E19" t="s">
        <v>203</v>
      </c>
      <c r="F19" t="s">
        <v>293</v>
      </c>
    </row>
    <row r="20" spans="1:16">
      <c r="F20" s="53"/>
    </row>
    <row r="21" spans="1:16">
      <c r="F21" s="53"/>
      <c r="O21" s="3" t="s">
        <v>148</v>
      </c>
      <c r="P21" s="3"/>
    </row>
    <row r="22" spans="1:16">
      <c r="F22" s="53"/>
      <c r="O22" s="3" t="s">
        <v>142</v>
      </c>
      <c r="P22" s="3" t="s">
        <v>150</v>
      </c>
    </row>
    <row r="23" spans="1:16">
      <c r="F23" s="53"/>
      <c r="O23" s="3"/>
      <c r="P23" s="3"/>
    </row>
    <row r="24" spans="1:16">
      <c r="F24" s="53"/>
      <c r="O24" s="3"/>
      <c r="P24" s="3"/>
    </row>
    <row r="25" spans="1:16">
      <c r="F25" s="53"/>
      <c r="O25" s="3"/>
      <c r="P25" s="3"/>
    </row>
    <row r="26" spans="1:16">
      <c r="F26" s="53"/>
      <c r="O26" s="3"/>
      <c r="P26" s="3"/>
    </row>
    <row r="27" spans="1:16">
      <c r="F27" s="53"/>
      <c r="O27" s="3"/>
      <c r="P27" s="3"/>
    </row>
    <row r="28" spans="1:16">
      <c r="F28" s="53"/>
      <c r="O28" s="3"/>
      <c r="P28" s="3"/>
    </row>
    <row r="29" spans="1:16">
      <c r="F29" s="53"/>
      <c r="O29" s="3" t="s">
        <v>142</v>
      </c>
      <c r="P29" s="3" t="s">
        <v>153</v>
      </c>
    </row>
    <row r="30" spans="1:16" ht="20" customHeight="1">
      <c r="B30" s="128"/>
      <c r="F30" s="53"/>
      <c r="O30" s="3" t="s">
        <v>142</v>
      </c>
      <c r="P30" s="3" t="s">
        <v>151</v>
      </c>
    </row>
    <row r="31" spans="1:16" ht="20" customHeight="1">
      <c r="B31" s="128"/>
      <c r="O31" s="3" t="s">
        <v>142</v>
      </c>
      <c r="P31" s="3" t="s">
        <v>152</v>
      </c>
    </row>
    <row r="32" spans="1:16" ht="20" customHeight="1">
      <c r="B32" s="128"/>
      <c r="O32" s="3" t="s">
        <v>149</v>
      </c>
      <c r="P32" s="3"/>
    </row>
    <row r="33" spans="2:16" ht="20" customHeight="1">
      <c r="B33" s="128"/>
      <c r="O33" s="3"/>
      <c r="P33" s="3"/>
    </row>
    <row r="34" spans="2:16" ht="20" customHeight="1">
      <c r="B34" s="128"/>
      <c r="O34" s="3"/>
      <c r="P34" s="3"/>
    </row>
    <row r="52" spans="2:5">
      <c r="B52" s="121"/>
      <c r="C52" s="53"/>
    </row>
    <row r="53" spans="2:5" ht="20.25" customHeight="1">
      <c r="B53" s="204"/>
      <c r="C53" s="204"/>
    </row>
    <row r="55" spans="2:5">
      <c r="E55" s="53"/>
    </row>
    <row r="56" spans="2:5">
      <c r="E56" s="53"/>
    </row>
    <row r="57" spans="2:5">
      <c r="E57" s="53"/>
    </row>
    <row r="58" spans="2:5">
      <c r="E58" s="53"/>
    </row>
    <row r="66" spans="3:3">
      <c r="C66" s="53"/>
    </row>
    <row r="67" spans="3:3">
      <c r="C67" s="53"/>
    </row>
    <row r="68" spans="3:3">
      <c r="C68" s="53"/>
    </row>
  </sheetData>
  <mergeCells count="1">
    <mergeCell ref="B53:C53"/>
  </mergeCells>
  <phoneticPr fontId="15" type="noConversion"/>
  <dataValidations disablePrompts="1" count="4">
    <dataValidation type="list" allowBlank="1" showInputMessage="1" showErrorMessage="1" sqref="D25" xr:uid="{EEC9F5A3-4E1D-4C83-B9E0-EBC28A88747B}">
      <formula1>"IP55,IP66"</formula1>
    </dataValidation>
    <dataValidation type="list" allowBlank="1" showInputMessage="1" showErrorMessage="1" sqref="D24" xr:uid="{6E0BD13F-7DA3-4248-BF1C-982B05EB305E}">
      <formula1>$E$55:$E$58</formula1>
    </dataValidation>
    <dataValidation type="list" allowBlank="1" showInputMessage="1" showErrorMessage="1" sqref="D22" xr:uid="{8BEF27F3-F1C1-4902-8EDD-98960E23A4E1}">
      <formula1>$B$55:$B$68</formula1>
    </dataValidation>
    <dataValidation type="list" allowBlank="1" showInputMessage="1" showErrorMessage="1" sqref="D26" xr:uid="{8BAC38F9-5C6B-4AB9-9146-C21DA7FFBC9A}">
      <formula1>"YES,NO"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CB24-68A3-4677-94E9-E66A5993A7E3}">
  <sheetPr>
    <tabColor theme="5" tint="0.59999389629810485"/>
  </sheetPr>
  <dimension ref="A1:P52"/>
  <sheetViews>
    <sheetView zoomScale="115" zoomScaleNormal="115" workbookViewId="0">
      <selection activeCell="C5" sqref="C5"/>
    </sheetView>
  </sheetViews>
  <sheetFormatPr baseColWidth="10" defaultColWidth="8.83203125" defaultRowHeight="15"/>
  <cols>
    <col min="2" max="2" width="28.5" customWidth="1"/>
    <col min="3" max="3" width="16.83203125" customWidth="1"/>
    <col min="4" max="4" width="16.5" customWidth="1"/>
    <col min="5" max="5" width="15.83203125" customWidth="1"/>
    <col min="6" max="6" width="10" customWidth="1"/>
    <col min="7" max="7" width="15" bestFit="1" customWidth="1"/>
    <col min="8" max="8" width="31.83203125" customWidth="1"/>
    <col min="9" max="9" width="35.6640625" bestFit="1" customWidth="1"/>
    <col min="10" max="10" width="19.83203125" bestFit="1" customWidth="1"/>
  </cols>
  <sheetData>
    <row r="1" spans="1:16">
      <c r="A1" t="s">
        <v>220</v>
      </c>
      <c r="B1" t="s">
        <v>221</v>
      </c>
      <c r="G1" s="82"/>
    </row>
    <row r="2" spans="1:16">
      <c r="A2" t="s">
        <v>136</v>
      </c>
      <c r="B2" t="s">
        <v>228</v>
      </c>
      <c r="G2" s="53"/>
    </row>
    <row r="3" spans="1:16">
      <c r="A3" t="s">
        <v>138</v>
      </c>
      <c r="B3" t="s">
        <v>229</v>
      </c>
    </row>
    <row r="4" spans="1:16">
      <c r="A4" t="s">
        <v>139</v>
      </c>
      <c r="B4" t="s">
        <v>230</v>
      </c>
    </row>
    <row r="5" spans="1:16">
      <c r="A5" t="s">
        <v>72</v>
      </c>
      <c r="B5" t="s">
        <v>231</v>
      </c>
    </row>
    <row r="6" spans="1:16">
      <c r="A6" t="s">
        <v>140</v>
      </c>
      <c r="B6" t="s">
        <v>232</v>
      </c>
    </row>
    <row r="7" spans="1:16">
      <c r="A7" t="s">
        <v>141</v>
      </c>
      <c r="B7" t="s">
        <v>233</v>
      </c>
    </row>
    <row r="8" spans="1:16">
      <c r="A8" t="s">
        <v>144</v>
      </c>
      <c r="B8" t="s">
        <v>234</v>
      </c>
    </row>
    <row r="9" spans="1:16">
      <c r="A9" t="s">
        <v>222</v>
      </c>
      <c r="B9" t="s">
        <v>235</v>
      </c>
    </row>
    <row r="10" spans="1:16">
      <c r="A10" t="s">
        <v>223</v>
      </c>
      <c r="B10" t="s">
        <v>236</v>
      </c>
    </row>
    <row r="11" spans="1:16">
      <c r="A11" t="s">
        <v>224</v>
      </c>
      <c r="B11" t="s">
        <v>237</v>
      </c>
    </row>
    <row r="12" spans="1:16">
      <c r="A12" t="s">
        <v>225</v>
      </c>
      <c r="B12" t="s">
        <v>238</v>
      </c>
    </row>
    <row r="13" spans="1:16" ht="32">
      <c r="A13" t="s">
        <v>12</v>
      </c>
      <c r="B13" s="53" t="s">
        <v>239</v>
      </c>
    </row>
    <row r="14" spans="1:16" ht="32">
      <c r="A14" t="s">
        <v>226</v>
      </c>
      <c r="B14" s="53" t="s">
        <v>240</v>
      </c>
      <c r="F14" s="53"/>
    </row>
    <row r="15" spans="1:16" ht="32">
      <c r="A15" t="s">
        <v>227</v>
      </c>
      <c r="B15" s="53" t="s">
        <v>241</v>
      </c>
      <c r="F15" s="53"/>
      <c r="O15" s="3" t="s">
        <v>148</v>
      </c>
      <c r="P15" s="3"/>
    </row>
    <row r="16" spans="1:16">
      <c r="F16" s="53"/>
      <c r="O16" s="3" t="s">
        <v>142</v>
      </c>
      <c r="P16" s="3" t="s">
        <v>150</v>
      </c>
    </row>
    <row r="17" spans="2:16">
      <c r="F17" s="53"/>
      <c r="O17" s="3"/>
      <c r="P17" s="3"/>
    </row>
    <row r="18" spans="2:16">
      <c r="F18" s="53"/>
      <c r="O18" s="3"/>
      <c r="P18" s="3"/>
    </row>
    <row r="19" spans="2:16">
      <c r="F19" s="53"/>
      <c r="O19" s="3"/>
      <c r="P19" s="3"/>
    </row>
    <row r="20" spans="2:16">
      <c r="F20" s="53"/>
      <c r="O20" s="3"/>
      <c r="P20" s="3"/>
    </row>
    <row r="21" spans="2:16">
      <c r="F21" s="53"/>
      <c r="O21" s="3"/>
      <c r="P21" s="3"/>
    </row>
    <row r="22" spans="2:16">
      <c r="F22" s="53"/>
      <c r="O22" s="3"/>
      <c r="P22" s="3"/>
    </row>
    <row r="23" spans="2:16">
      <c r="F23" s="53"/>
      <c r="O23" s="3" t="s">
        <v>142</v>
      </c>
      <c r="P23" s="3" t="s">
        <v>153</v>
      </c>
    </row>
    <row r="24" spans="2:16" ht="20" customHeight="1">
      <c r="B24" s="128"/>
      <c r="F24" s="53"/>
      <c r="O24" s="3" t="s">
        <v>142</v>
      </c>
      <c r="P24" s="3" t="s">
        <v>151</v>
      </c>
    </row>
    <row r="25" spans="2:16" ht="20" customHeight="1">
      <c r="B25" s="128"/>
      <c r="O25" s="3" t="s">
        <v>142</v>
      </c>
      <c r="P25" s="3" t="s">
        <v>152</v>
      </c>
    </row>
    <row r="26" spans="2:16" ht="20" customHeight="1">
      <c r="B26" s="128"/>
      <c r="O26" s="3" t="s">
        <v>149</v>
      </c>
      <c r="P26" s="3"/>
    </row>
    <row r="27" spans="2:16" ht="20" customHeight="1">
      <c r="B27" s="128"/>
      <c r="O27" s="3"/>
      <c r="P27" s="3"/>
    </row>
    <row r="28" spans="2:16" ht="20" customHeight="1">
      <c r="B28" s="128"/>
      <c r="O28" s="3"/>
      <c r="P28" s="3"/>
    </row>
    <row r="46" spans="2:3">
      <c r="B46" s="121"/>
      <c r="C46" s="53"/>
    </row>
    <row r="47" spans="2:3" ht="20.25" customHeight="1"/>
    <row r="49" spans="5:5">
      <c r="E49" s="53"/>
    </row>
    <row r="50" spans="5:5">
      <c r="E50" s="53"/>
    </row>
    <row r="51" spans="5:5">
      <c r="E51" s="53"/>
    </row>
    <row r="52" spans="5:5">
      <c r="E52" s="53"/>
    </row>
  </sheetData>
  <dataValidations count="4">
    <dataValidation type="list" allowBlank="1" showInputMessage="1" showErrorMessage="1" sqref="D20" xr:uid="{D94A2014-CD8A-47DA-9CD5-5E69CA4142B5}">
      <formula1>"YES,NO"</formula1>
    </dataValidation>
    <dataValidation type="list" allowBlank="1" showInputMessage="1" showErrorMessage="1" sqref="D18" xr:uid="{BEF029E8-7750-4B58-8632-8DAE2ECFF0FA}">
      <formula1>$E$49:$E$52</formula1>
    </dataValidation>
    <dataValidation type="list" allowBlank="1" showInputMessage="1" showErrorMessage="1" sqref="D19" xr:uid="{31912351-E37F-4EF1-B50F-DD6C48F2EA5E}">
      <formula1>"IP55,IP66"</formula1>
    </dataValidation>
    <dataValidation type="list" allowBlank="1" showInputMessage="1" showErrorMessage="1" sqref="D16" xr:uid="{DD8DBC36-A047-486C-B0CC-674848D0FC28}">
      <formula1>$A$2:$A$15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6CCF-1C93-4A75-83B6-2663E3BB6750}">
  <sheetPr>
    <tabColor theme="5" tint="0.59999389629810485"/>
  </sheetPr>
  <dimension ref="A1:P63"/>
  <sheetViews>
    <sheetView zoomScale="115" zoomScaleNormal="115" workbookViewId="0">
      <selection activeCell="B26" sqref="B26"/>
    </sheetView>
  </sheetViews>
  <sheetFormatPr baseColWidth="10" defaultColWidth="8.83203125" defaultRowHeight="15"/>
  <cols>
    <col min="1" max="1" width="30.83203125" customWidth="1"/>
    <col min="2" max="2" width="28.5" customWidth="1"/>
    <col min="3" max="3" width="16.83203125" customWidth="1"/>
    <col min="4" max="4" width="16.5" customWidth="1"/>
    <col min="5" max="5" width="15.83203125" customWidth="1"/>
    <col min="6" max="6" width="10" customWidth="1"/>
    <col min="7" max="7" width="15" bestFit="1" customWidth="1"/>
    <col min="8" max="8" width="31.83203125" customWidth="1"/>
    <col min="9" max="9" width="35.6640625" bestFit="1" customWidth="1"/>
    <col min="10" max="10" width="19.83203125" bestFit="1" customWidth="1"/>
  </cols>
  <sheetData>
    <row r="1" spans="1:16">
      <c r="A1" t="s">
        <v>142</v>
      </c>
      <c r="B1" s="7"/>
      <c r="C1" s="53"/>
      <c r="D1" s="53"/>
      <c r="E1" s="53"/>
      <c r="F1" s="53"/>
    </row>
    <row r="2" spans="1:16" ht="16">
      <c r="A2" s="53" t="s">
        <v>242</v>
      </c>
      <c r="B2" s="53"/>
      <c r="G2" s="82"/>
    </row>
    <row r="3" spans="1:16" ht="32">
      <c r="A3" s="53" t="s">
        <v>243</v>
      </c>
      <c r="B3" s="53"/>
      <c r="G3" s="53"/>
    </row>
    <row r="4" spans="1:16" ht="16">
      <c r="A4" s="53" t="s">
        <v>244</v>
      </c>
      <c r="B4" s="53"/>
    </row>
    <row r="5" spans="1:16" ht="16">
      <c r="A5" s="53" t="s">
        <v>245</v>
      </c>
      <c r="B5" s="53"/>
    </row>
    <row r="6" spans="1:16">
      <c r="A6" s="121"/>
      <c r="B6" s="53"/>
    </row>
    <row r="7" spans="1:16">
      <c r="A7" s="121"/>
      <c r="B7" s="53"/>
    </row>
    <row r="8" spans="1:16">
      <c r="A8" s="121"/>
      <c r="B8" s="53"/>
    </row>
    <row r="9" spans="1:16">
      <c r="A9" s="121"/>
      <c r="B9" s="53"/>
    </row>
    <row r="10" spans="1:16">
      <c r="A10" s="121"/>
      <c r="B10" s="53"/>
    </row>
    <row r="11" spans="1:16">
      <c r="A11" s="121"/>
      <c r="B11" s="53"/>
    </row>
    <row r="12" spans="1:16">
      <c r="A12" s="121"/>
      <c r="B12" s="53"/>
    </row>
    <row r="13" spans="1:16">
      <c r="A13" s="121"/>
      <c r="B13" s="53"/>
    </row>
    <row r="14" spans="1:16">
      <c r="A14" s="121"/>
      <c r="B14" s="53"/>
    </row>
    <row r="15" spans="1:16">
      <c r="F15" s="53"/>
    </row>
    <row r="16" spans="1:16">
      <c r="F16" s="53"/>
      <c r="O16" s="3" t="s">
        <v>148</v>
      </c>
      <c r="P16" s="3"/>
    </row>
    <row r="17" spans="2:16">
      <c r="F17" s="53"/>
      <c r="O17" s="3" t="s">
        <v>142</v>
      </c>
      <c r="P17" s="3" t="s">
        <v>150</v>
      </c>
    </row>
    <row r="18" spans="2:16">
      <c r="F18" s="53"/>
      <c r="O18" s="3"/>
      <c r="P18" s="3"/>
    </row>
    <row r="19" spans="2:16">
      <c r="F19" s="53"/>
      <c r="O19" s="3"/>
      <c r="P19" s="3"/>
    </row>
    <row r="20" spans="2:16">
      <c r="F20" s="53"/>
      <c r="O20" s="3"/>
      <c r="P20" s="3"/>
    </row>
    <row r="21" spans="2:16">
      <c r="F21" s="53"/>
      <c r="O21" s="3"/>
      <c r="P21" s="3"/>
    </row>
    <row r="22" spans="2:16">
      <c r="F22" s="53"/>
      <c r="O22" s="3"/>
      <c r="P22" s="3"/>
    </row>
    <row r="23" spans="2:16">
      <c r="F23" s="53"/>
      <c r="O23" s="3"/>
      <c r="P23" s="3"/>
    </row>
    <row r="24" spans="2:16">
      <c r="F24" s="53"/>
      <c r="O24" s="3" t="s">
        <v>142</v>
      </c>
      <c r="P24" s="3" t="s">
        <v>153</v>
      </c>
    </row>
    <row r="25" spans="2:16" ht="20" customHeight="1">
      <c r="B25" s="128"/>
      <c r="F25" s="53"/>
      <c r="O25" s="3" t="s">
        <v>142</v>
      </c>
      <c r="P25" s="3" t="s">
        <v>151</v>
      </c>
    </row>
    <row r="26" spans="2:16" ht="20" customHeight="1">
      <c r="B26" s="128"/>
      <c r="O26" s="3" t="s">
        <v>142</v>
      </c>
      <c r="P26" s="3" t="s">
        <v>152</v>
      </c>
    </row>
    <row r="27" spans="2:16" ht="20" customHeight="1">
      <c r="B27" s="128"/>
      <c r="O27" s="3" t="s">
        <v>149</v>
      </c>
      <c r="P27" s="3"/>
    </row>
    <row r="28" spans="2:16" ht="20" customHeight="1">
      <c r="B28" s="128"/>
      <c r="O28" s="3"/>
      <c r="P28" s="3"/>
    </row>
    <row r="29" spans="2:16" ht="20" customHeight="1">
      <c r="B29" s="128"/>
      <c r="O29" s="3"/>
      <c r="P29" s="3"/>
    </row>
    <row r="47" spans="2:3">
      <c r="B47" s="121"/>
      <c r="C47" s="53"/>
    </row>
    <row r="48" spans="2:3" ht="20.25" customHeight="1">
      <c r="B48" s="204"/>
      <c r="C48" s="204"/>
    </row>
    <row r="61" spans="3:3">
      <c r="C61" s="53"/>
    </row>
    <row r="62" spans="3:3">
      <c r="C62" s="53"/>
    </row>
    <row r="63" spans="3:3">
      <c r="C63" s="53"/>
    </row>
  </sheetData>
  <mergeCells count="1">
    <mergeCell ref="B48:C48"/>
  </mergeCells>
  <dataValidations count="4">
    <dataValidation type="list" allowBlank="1" showInputMessage="1" showErrorMessage="1" sqref="D20" xr:uid="{2662F789-4CCC-4029-86A3-66263CEBA2BB}">
      <formula1>"IP55,IP66"</formula1>
    </dataValidation>
    <dataValidation type="list" allowBlank="1" showInputMessage="1" showErrorMessage="1" sqref="D17" xr:uid="{3E32C01F-B62B-410C-8BBE-4862CC843818}">
      <formula1>$B$50:$B$63</formula1>
    </dataValidation>
    <dataValidation type="list" allowBlank="1" showInputMessage="1" showErrorMessage="1" sqref="D21" xr:uid="{EBB5D06E-2D4D-4876-B094-F0F53D647351}">
      <formula1>"YES,NO"</formula1>
    </dataValidation>
    <dataValidation type="list" allowBlank="1" showInputMessage="1" showErrorMessage="1" sqref="D19" xr:uid="{A434644F-5E41-4179-BD71-59E674D19908}">
      <formula1>$A$2:$A$5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6B36-44A9-4444-9191-5E943BC8309B}">
  <sheetPr>
    <tabColor theme="5" tint="0.59999389629810485"/>
  </sheetPr>
  <dimension ref="A1:P61"/>
  <sheetViews>
    <sheetView zoomScale="115" zoomScaleNormal="115" workbookViewId="0">
      <selection activeCell="A12" sqref="A12"/>
    </sheetView>
  </sheetViews>
  <sheetFormatPr baseColWidth="10" defaultColWidth="8.83203125" defaultRowHeight="15"/>
  <cols>
    <col min="1" max="1" width="30.83203125" customWidth="1"/>
    <col min="2" max="2" width="28.5" customWidth="1"/>
    <col min="3" max="3" width="16.83203125" customWidth="1"/>
    <col min="4" max="4" width="16.5" customWidth="1"/>
    <col min="5" max="5" width="15.83203125" customWidth="1"/>
    <col min="6" max="6" width="10" customWidth="1"/>
    <col min="7" max="7" width="15" bestFit="1" customWidth="1"/>
    <col min="8" max="8" width="31.83203125" customWidth="1"/>
    <col min="9" max="9" width="35.6640625" bestFit="1" customWidth="1"/>
    <col min="10" max="10" width="19.83203125" bestFit="1" customWidth="1"/>
  </cols>
  <sheetData>
    <row r="1" spans="1:16">
      <c r="A1" t="s">
        <v>142</v>
      </c>
      <c r="B1" s="7"/>
      <c r="C1" s="53"/>
      <c r="D1" s="53"/>
      <c r="E1" s="53"/>
      <c r="F1" s="53"/>
    </row>
    <row r="2" spans="1:16" ht="16">
      <c r="A2" s="53" t="s">
        <v>272</v>
      </c>
      <c r="B2" s="53"/>
      <c r="G2" s="82"/>
    </row>
    <row r="3" spans="1:16" ht="16">
      <c r="A3" s="53" t="s">
        <v>143</v>
      </c>
      <c r="B3" s="53"/>
      <c r="G3" s="53"/>
    </row>
    <row r="4" spans="1:16">
      <c r="A4" s="121"/>
      <c r="B4" s="53"/>
    </row>
    <row r="5" spans="1:16">
      <c r="A5" s="121"/>
      <c r="B5" s="53"/>
    </row>
    <row r="6" spans="1:16">
      <c r="A6" s="121"/>
      <c r="B6" s="53"/>
    </row>
    <row r="7" spans="1:16">
      <c r="A7" s="121"/>
      <c r="B7" s="53"/>
    </row>
    <row r="8" spans="1:16">
      <c r="A8" s="121"/>
      <c r="B8" s="53"/>
    </row>
    <row r="9" spans="1:16">
      <c r="A9" s="121"/>
      <c r="B9" s="53"/>
    </row>
    <row r="10" spans="1:16">
      <c r="A10" s="121"/>
      <c r="B10" s="53"/>
    </row>
    <row r="11" spans="1:16">
      <c r="A11" s="121"/>
      <c r="B11" s="53"/>
    </row>
    <row r="12" spans="1:16">
      <c r="A12" s="121"/>
      <c r="B12" s="53"/>
    </row>
    <row r="13" spans="1:16">
      <c r="F13" s="53"/>
    </row>
    <row r="14" spans="1:16">
      <c r="F14" s="53"/>
      <c r="O14" s="3" t="s">
        <v>148</v>
      </c>
      <c r="P14" s="3"/>
    </row>
    <row r="15" spans="1:16">
      <c r="F15" s="53"/>
      <c r="O15" s="3" t="s">
        <v>142</v>
      </c>
      <c r="P15" s="3" t="s">
        <v>150</v>
      </c>
    </row>
    <row r="16" spans="1:16">
      <c r="F16" s="53"/>
      <c r="O16" s="3"/>
      <c r="P16" s="3"/>
    </row>
    <row r="17" spans="2:16">
      <c r="F17" s="53"/>
      <c r="O17" s="3"/>
      <c r="P17" s="3"/>
    </row>
    <row r="18" spans="2:16">
      <c r="F18" s="53"/>
      <c r="O18" s="3"/>
      <c r="P18" s="3"/>
    </row>
    <row r="19" spans="2:16">
      <c r="F19" s="53"/>
      <c r="O19" s="3"/>
      <c r="P19" s="3"/>
    </row>
    <row r="20" spans="2:16">
      <c r="F20" s="53"/>
      <c r="O20" s="3"/>
      <c r="P20" s="3"/>
    </row>
    <row r="21" spans="2:16">
      <c r="F21" s="53"/>
      <c r="O21" s="3"/>
      <c r="P21" s="3"/>
    </row>
    <row r="22" spans="2:16">
      <c r="F22" s="53"/>
      <c r="O22" s="3" t="s">
        <v>142</v>
      </c>
      <c r="P22" s="3" t="s">
        <v>153</v>
      </c>
    </row>
    <row r="23" spans="2:16" ht="20" customHeight="1">
      <c r="B23" s="128"/>
      <c r="F23" s="53"/>
      <c r="O23" s="3" t="s">
        <v>142</v>
      </c>
      <c r="P23" s="3" t="s">
        <v>151</v>
      </c>
    </row>
    <row r="24" spans="2:16" ht="20" customHeight="1">
      <c r="B24" s="128"/>
      <c r="O24" s="3" t="s">
        <v>142</v>
      </c>
      <c r="P24" s="3" t="s">
        <v>152</v>
      </c>
    </row>
    <row r="25" spans="2:16" ht="20" customHeight="1">
      <c r="B25" s="128"/>
      <c r="O25" s="3" t="s">
        <v>149</v>
      </c>
      <c r="P25" s="3"/>
    </row>
    <row r="26" spans="2:16" ht="20" customHeight="1">
      <c r="B26" s="128"/>
      <c r="O26" s="3"/>
      <c r="P26" s="3"/>
    </row>
    <row r="27" spans="2:16" ht="20" customHeight="1">
      <c r="B27" s="128"/>
      <c r="O27" s="3"/>
      <c r="P27" s="3"/>
    </row>
    <row r="45" spans="2:3">
      <c r="B45" s="121"/>
      <c r="C45" s="53"/>
    </row>
    <row r="46" spans="2:3" ht="20.25" customHeight="1">
      <c r="B46" s="204"/>
      <c r="C46" s="204"/>
    </row>
    <row r="59" spans="3:3">
      <c r="C59" s="53"/>
    </row>
    <row r="60" spans="3:3">
      <c r="C60" s="53"/>
    </row>
    <row r="61" spans="3:3">
      <c r="C61" s="53"/>
    </row>
  </sheetData>
  <mergeCells count="1">
    <mergeCell ref="B46:C46"/>
  </mergeCells>
  <dataValidations count="4">
    <dataValidation type="list" allowBlank="1" showInputMessage="1" showErrorMessage="1" sqref="D17" xr:uid="{113FF65F-0400-4EBA-ACD7-EC669E76F3E3}">
      <formula1>$A$2:$A$3</formula1>
    </dataValidation>
    <dataValidation type="list" allowBlank="1" showInputMessage="1" showErrorMessage="1" sqref="D19" xr:uid="{041BB60D-CFD2-43F9-B31F-6F270EC87C9D}">
      <formula1>"YES,NO"</formula1>
    </dataValidation>
    <dataValidation type="list" allowBlank="1" showInputMessage="1" showErrorMessage="1" sqref="D15" xr:uid="{70ACDD40-DDC7-4A10-B63B-4A176CCF7F43}">
      <formula1>$B$48:$B$61</formula1>
    </dataValidation>
    <dataValidation type="list" allowBlank="1" showInputMessage="1" showErrorMessage="1" sqref="D18" xr:uid="{551C9396-EC43-4A77-A243-98FC0830EB5B}">
      <formula1>"IP55,IP66"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DBBD-1BE8-4DCA-9FE1-59A65A5F5714}">
  <dimension ref="A1:H7"/>
  <sheetViews>
    <sheetView workbookViewId="0">
      <selection activeCell="E13" sqref="E13"/>
    </sheetView>
  </sheetViews>
  <sheetFormatPr baseColWidth="10" defaultColWidth="8.83203125" defaultRowHeight="15"/>
  <cols>
    <col min="2" max="2" width="29" customWidth="1"/>
    <col min="3" max="4" width="19.5" customWidth="1"/>
    <col min="5" max="5" width="19.33203125" customWidth="1"/>
    <col min="6" max="6" width="19.6640625" customWidth="1"/>
    <col min="7" max="7" width="17.5" customWidth="1"/>
    <col min="8" max="8" width="15" customWidth="1"/>
    <col min="10" max="10" width="16.6640625" customWidth="1"/>
  </cols>
  <sheetData>
    <row r="1" spans="1:8">
      <c r="A1" t="s">
        <v>308</v>
      </c>
      <c r="B1" t="s">
        <v>304</v>
      </c>
      <c r="C1" t="s">
        <v>68</v>
      </c>
      <c r="D1" t="s">
        <v>1</v>
      </c>
      <c r="E1" t="s">
        <v>305</v>
      </c>
      <c r="F1" t="s">
        <v>306</v>
      </c>
      <c r="G1" t="s">
        <v>307</v>
      </c>
      <c r="H1" t="s">
        <v>377</v>
      </c>
    </row>
    <row r="2" spans="1:8" ht="32">
      <c r="A2" t="s">
        <v>207</v>
      </c>
      <c r="B2" s="53" t="s">
        <v>309</v>
      </c>
      <c r="C2">
        <f>$D$2+2*(Input!$D$10)</f>
        <v>416</v>
      </c>
      <c r="D2">
        <f>Input!$D$9</f>
        <v>406</v>
      </c>
      <c r="E2">
        <f>$C$2</f>
        <v>416</v>
      </c>
      <c r="F2">
        <f>0.1*$C$2</f>
        <v>41.6</v>
      </c>
      <c r="G2" s="82">
        <f>0.1935*$C$2-0.455*Input!$D$10</f>
        <v>78.221000000000004</v>
      </c>
      <c r="H2" s="82">
        <f>(0.098983*Tabell2[[#This Row],[Inner diameter]]^3)/1000000</f>
        <v>6.6242804859279998</v>
      </c>
    </row>
    <row r="3" spans="1:8" ht="32">
      <c r="A3" t="s">
        <v>208</v>
      </c>
      <c r="B3" s="53" t="s">
        <v>310</v>
      </c>
      <c r="C3">
        <f>$D$2+2*(Input!$D$10)</f>
        <v>416</v>
      </c>
      <c r="D3">
        <f>Input!$D$9</f>
        <v>406</v>
      </c>
      <c r="E3" s="82">
        <f>0.8*$C$3</f>
        <v>332.8</v>
      </c>
      <c r="F3" s="82">
        <f>0.154*$C$3</f>
        <v>64.063999999999993</v>
      </c>
      <c r="G3" s="82">
        <f>0.255*$C$3-0.635*Input!$D$10</f>
        <v>102.905</v>
      </c>
      <c r="H3" s="82">
        <f>(0.1298*Tabell2[[#This Row],[Inner diameter]]^3)/1000000</f>
        <v>8.6866593967999997</v>
      </c>
    </row>
    <row r="4" spans="1:8">
      <c r="A4" t="s">
        <v>209</v>
      </c>
      <c r="B4" t="s">
        <v>311</v>
      </c>
      <c r="C4">
        <f>$D$2+2*(Input!$D$10)</f>
        <v>416</v>
      </c>
      <c r="D4">
        <f>Input!$D$9</f>
        <v>406</v>
      </c>
      <c r="E4" s="82">
        <f>$C$4</f>
        <v>416</v>
      </c>
      <c r="F4" s="82">
        <f>0.05*$C$4</f>
        <v>20.8</v>
      </c>
      <c r="G4" s="82">
        <f>0.1675*$C$4-Input!$D$10</f>
        <v>64.680000000000007</v>
      </c>
      <c r="H4" s="82">
        <f>(0.076435*Tabell2[[#This Row],[Inner diameter]]^3)/1000000</f>
        <v>5.1152913019600001</v>
      </c>
    </row>
    <row r="5" spans="1:8">
      <c r="A5" t="s">
        <v>210</v>
      </c>
      <c r="B5" t="s">
        <v>312</v>
      </c>
      <c r="C5">
        <f>$D$2+2*(Input!$D$10)</f>
        <v>416</v>
      </c>
      <c r="D5">
        <f>Input!$D$9</f>
        <v>406</v>
      </c>
      <c r="E5" s="82">
        <f>0.875*$C$5</f>
        <v>364</v>
      </c>
      <c r="F5" s="82">
        <f>0.08*$C$5</f>
        <v>33.28</v>
      </c>
      <c r="G5" s="82">
        <f>0.205*$C$5-Input!$D$10</f>
        <v>80.28</v>
      </c>
      <c r="H5" s="82">
        <f>(0.09653*Tabell2[[#This Row],[Inner diameter]]^3)/1000000</f>
        <v>6.4601173464800006</v>
      </c>
    </row>
    <row r="6" spans="1:8">
      <c r="A6" t="s">
        <v>211</v>
      </c>
      <c r="B6" t="s">
        <v>313</v>
      </c>
      <c r="C6">
        <f>$D$2+2*(Input!$D$10)</f>
        <v>416</v>
      </c>
      <c r="D6">
        <f>Input!$D$9</f>
        <v>406</v>
      </c>
      <c r="E6" s="82">
        <f>0.9*$D$6</f>
        <v>365.40000000000003</v>
      </c>
      <c r="F6" s="82">
        <f>0.17*$D$6</f>
        <v>69.02000000000001</v>
      </c>
      <c r="G6" s="82">
        <f>0.25*$D$6</f>
        <v>101.5</v>
      </c>
      <c r="H6" s="82">
        <f>(0.132842*Tabell2[[#This Row],[Inner diameter]]^3)/1000000</f>
        <v>8.8902404282719996</v>
      </c>
    </row>
    <row r="7" spans="1:8">
      <c r="A7" t="s">
        <v>212</v>
      </c>
      <c r="B7" t="s">
        <v>314</v>
      </c>
      <c r="C7">
        <f>$D$2+2*(Input!$D$10)</f>
        <v>416</v>
      </c>
      <c r="D7">
        <f>Input!$D$9</f>
        <v>406</v>
      </c>
      <c r="E7" s="82">
        <f>$D$7/1.16</f>
        <v>350</v>
      </c>
      <c r="F7" s="82">
        <f>$D$7/5.39</f>
        <v>75.324675324675326</v>
      </c>
      <c r="G7" s="82">
        <f>$D$7/3.8</f>
        <v>106.8421052631579</v>
      </c>
      <c r="H7" s="82">
        <f>(0.1405496*Tabell2[[#This Row],[Inner diameter]]^3)/1000000</f>
        <v>9.4060593494335993</v>
      </c>
    </row>
  </sheetData>
  <phoneticPr fontId="15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43104-DA86-4808-9462-4070C3E9F604}">
  <dimension ref="A1:T39"/>
  <sheetViews>
    <sheetView tabSelected="1" workbookViewId="0">
      <selection activeCell="J14" sqref="J14"/>
    </sheetView>
  </sheetViews>
  <sheetFormatPr baseColWidth="10" defaultColWidth="8.83203125" defaultRowHeight="15"/>
  <cols>
    <col min="1" max="1" width="16.5" style="53" customWidth="1"/>
    <col min="2" max="2" width="11.5" bestFit="1" customWidth="1"/>
    <col min="4" max="4" width="16.6640625" bestFit="1" customWidth="1"/>
    <col min="5" max="5" width="10.6640625" bestFit="1" customWidth="1"/>
    <col min="7" max="7" width="12" bestFit="1" customWidth="1"/>
    <col min="9" max="9" width="13.5" customWidth="1"/>
    <col min="16" max="16" width="20.5" customWidth="1"/>
    <col min="17" max="17" width="12.1640625" customWidth="1"/>
    <col min="18" max="18" width="11.1640625" customWidth="1"/>
  </cols>
  <sheetData>
    <row r="1" spans="1:20" ht="30" customHeight="1">
      <c r="A1" s="211" t="s">
        <v>321</v>
      </c>
      <c r="B1" s="211"/>
      <c r="E1" t="s">
        <v>380</v>
      </c>
      <c r="F1" t="s">
        <v>326</v>
      </c>
      <c r="L1" t="s">
        <v>327</v>
      </c>
      <c r="M1" t="s">
        <v>338</v>
      </c>
      <c r="N1" t="s">
        <v>337</v>
      </c>
      <c r="O1" t="s">
        <v>336</v>
      </c>
      <c r="P1" t="s">
        <v>324</v>
      </c>
      <c r="Q1" t="s">
        <v>325</v>
      </c>
      <c r="R1" t="s">
        <v>326</v>
      </c>
    </row>
    <row r="2" spans="1:20" ht="16">
      <c r="A2" s="196" t="s">
        <v>315</v>
      </c>
      <c r="B2" s="3">
        <f>IF(Input!$D$10=0,5,Input!$D$10)</f>
        <v>5</v>
      </c>
      <c r="D2" s="3" t="s">
        <v>376</v>
      </c>
      <c r="E2" s="93">
        <f>Tabell2[[#This Row],[Vol dish]]</f>
        <v>6.6242804859279998</v>
      </c>
      <c r="L2" s="199" t="s">
        <v>18</v>
      </c>
      <c r="M2">
        <v>35</v>
      </c>
      <c r="N2">
        <v>27.5</v>
      </c>
      <c r="O2">
        <v>9</v>
      </c>
      <c r="P2" s="200">
        <v>61.25</v>
      </c>
      <c r="Q2" s="201">
        <v>90</v>
      </c>
      <c r="R2" s="200">
        <v>16.39</v>
      </c>
      <c r="T2">
        <v>0.5</v>
      </c>
    </row>
    <row r="3" spans="1:20" ht="16">
      <c r="A3" s="196" t="s">
        <v>318</v>
      </c>
      <c r="B3" s="3">
        <f>'Vessel Dish Type List'!$D$2</f>
        <v>406</v>
      </c>
      <c r="D3" s="3" t="s">
        <v>331</v>
      </c>
      <c r="E3" s="93">
        <f>$B$6-SQRT(($B$6)^2-($B$9)^2)</f>
        <v>40.639432604388332</v>
      </c>
      <c r="L3" s="199" t="s">
        <v>19</v>
      </c>
      <c r="M3">
        <v>48</v>
      </c>
      <c r="N3">
        <v>27.5</v>
      </c>
      <c r="O3">
        <v>9</v>
      </c>
      <c r="P3" s="200">
        <v>61.75</v>
      </c>
      <c r="Q3" s="201">
        <v>90.5</v>
      </c>
      <c r="R3" s="200">
        <v>18.88</v>
      </c>
    </row>
    <row r="4" spans="1:20" ht="16">
      <c r="A4" s="196" t="s">
        <v>330</v>
      </c>
      <c r="B4" s="3">
        <f>$B$3/2</f>
        <v>203</v>
      </c>
      <c r="D4" s="3" t="s">
        <v>339</v>
      </c>
      <c r="E4" s="37">
        <f>ASIN(($B$9/2)/$B$6)*(180/PI())</f>
        <v>12.447495689296531</v>
      </c>
      <c r="L4" s="199"/>
      <c r="M4">
        <v>0</v>
      </c>
      <c r="N4">
        <v>0</v>
      </c>
      <c r="O4">
        <v>0</v>
      </c>
      <c r="P4" s="200"/>
      <c r="Q4" s="201"/>
      <c r="R4" s="200"/>
    </row>
    <row r="5" spans="1:20" ht="32">
      <c r="A5" s="196" t="s">
        <v>317</v>
      </c>
      <c r="B5" s="3">
        <f>'Vessel Dish Type List'!$C$2</f>
        <v>416</v>
      </c>
      <c r="D5" s="3" t="s">
        <v>343</v>
      </c>
      <c r="E5" s="37">
        <f>ASIN($B$14/$B$6)*(180/PI())</f>
        <v>16.012159166567791</v>
      </c>
      <c r="L5" s="199" t="s">
        <v>20</v>
      </c>
      <c r="M5">
        <v>58.5</v>
      </c>
      <c r="N5">
        <v>47</v>
      </c>
      <c r="O5">
        <v>16</v>
      </c>
      <c r="P5" s="201">
        <v>91</v>
      </c>
      <c r="Q5" s="201">
        <v>162.80000000000001</v>
      </c>
      <c r="R5" s="200">
        <v>19.37</v>
      </c>
    </row>
    <row r="6" spans="1:20" ht="16">
      <c r="A6" s="196" t="s">
        <v>305</v>
      </c>
      <c r="B6" s="3">
        <f>'Vessel Dish Type List'!$E$2</f>
        <v>416</v>
      </c>
      <c r="D6" s="3" t="s">
        <v>340</v>
      </c>
      <c r="E6" s="37">
        <f>$B$6*(1-COS($E$5*PI()/180))</f>
        <v>16.139477442446193</v>
      </c>
      <c r="L6" s="199" t="s">
        <v>21</v>
      </c>
      <c r="M6">
        <v>74</v>
      </c>
      <c r="N6">
        <v>47</v>
      </c>
      <c r="O6">
        <v>16</v>
      </c>
      <c r="P6" s="201">
        <v>101</v>
      </c>
      <c r="Q6" s="201">
        <v>172.8</v>
      </c>
      <c r="R6" s="200">
        <v>19.96</v>
      </c>
    </row>
    <row r="7" spans="1:20" ht="16">
      <c r="A7" s="196" t="s">
        <v>319</v>
      </c>
      <c r="B7" s="3">
        <f>'Vessel Dish Type List'!$F$2</f>
        <v>41.6</v>
      </c>
      <c r="D7" s="3" t="s">
        <v>332</v>
      </c>
      <c r="E7" s="3">
        <f>ATAN($B$15/($B$6-$E$6-$B$16))*(180/PI())</f>
        <v>4.1693034069196804</v>
      </c>
      <c r="F7" s="3">
        <f>ATAN($B$19/($B$6-$E$6-$B$18))*(180/PI())</f>
        <v>24.656438759206932</v>
      </c>
      <c r="L7" s="199" t="s">
        <v>22</v>
      </c>
      <c r="M7">
        <v>80</v>
      </c>
      <c r="N7">
        <v>52</v>
      </c>
      <c r="O7">
        <v>16</v>
      </c>
      <c r="P7" s="201">
        <v>102.5</v>
      </c>
      <c r="Q7" s="201">
        <v>174.3</v>
      </c>
      <c r="R7" s="200">
        <v>19.59</v>
      </c>
    </row>
    <row r="8" spans="1:20" ht="16">
      <c r="A8" s="196" t="s">
        <v>320</v>
      </c>
      <c r="B8" s="93">
        <f>'Vessel Dish Type List'!$G$2</f>
        <v>78.221000000000004</v>
      </c>
      <c r="D8" s="3" t="s">
        <v>333</v>
      </c>
      <c r="E8" s="3">
        <f>SQRT(($B$6-$E$6-$B$16)^2+($B$15)^2)</f>
        <v>275.08852454810614</v>
      </c>
      <c r="F8" s="3">
        <f>SQRT(($B$6-$E$6-$B$18)^2+($B$19)^2)</f>
        <v>419.48699150266469</v>
      </c>
      <c r="L8" s="199" t="s">
        <v>23</v>
      </c>
      <c r="M8">
        <v>88.5</v>
      </c>
      <c r="N8">
        <v>64.75</v>
      </c>
      <c r="O8">
        <v>16</v>
      </c>
      <c r="P8" s="201">
        <v>106</v>
      </c>
      <c r="Q8" s="201">
        <v>177.8</v>
      </c>
      <c r="R8" s="200">
        <v>18.850000000000001</v>
      </c>
    </row>
    <row r="9" spans="1:20" ht="16">
      <c r="A9" s="196" t="s">
        <v>329</v>
      </c>
      <c r="B9" s="93">
        <f>($B$4-$B$7)*$B$6/($B$6-$B$7)</f>
        <v>179.33333333333337</v>
      </c>
      <c r="D9" s="3" t="s">
        <v>334</v>
      </c>
      <c r="E9" s="3">
        <f>$E$8*SIN(($E$4+$E$7)*(PI()/180))</f>
        <v>78.666882392511994</v>
      </c>
      <c r="F9" s="3">
        <f>$F$8*SIN(($E$4+$F$7)*(PI()/180))</f>
        <v>253.06087846504059</v>
      </c>
      <c r="L9" s="199" t="s">
        <v>24</v>
      </c>
      <c r="M9">
        <v>118</v>
      </c>
      <c r="N9">
        <v>79.75</v>
      </c>
      <c r="O9">
        <v>20</v>
      </c>
      <c r="P9" s="201">
        <v>107.6</v>
      </c>
      <c r="Q9" s="200">
        <f>194.94+4.6</f>
        <v>199.54</v>
      </c>
      <c r="R9" s="200">
        <v>19.09</v>
      </c>
    </row>
    <row r="10" spans="1:20">
      <c r="D10" s="3" t="s">
        <v>335</v>
      </c>
      <c r="E10" s="3">
        <f>$B$6-SQRT($E$8^2-$E$9^2)</f>
        <v>152.39951071233446</v>
      </c>
      <c r="F10" s="3">
        <f>$B$6-SQRT($F$8^2-$F$9^2)</f>
        <v>81.441293895288595</v>
      </c>
      <c r="L10" s="199" t="s">
        <v>25</v>
      </c>
      <c r="M10">
        <v>150</v>
      </c>
      <c r="N10">
        <v>99.75</v>
      </c>
      <c r="O10">
        <v>20</v>
      </c>
      <c r="P10" s="201">
        <v>119.6</v>
      </c>
      <c r="Q10" s="200">
        <v>211.09527947999999</v>
      </c>
      <c r="R10" s="200">
        <v>19.079999999999998</v>
      </c>
    </row>
    <row r="11" spans="1:20">
      <c r="L11" s="199" t="s">
        <v>26</v>
      </c>
      <c r="M11">
        <v>175</v>
      </c>
      <c r="N11">
        <v>114.75</v>
      </c>
      <c r="O11">
        <v>20</v>
      </c>
      <c r="P11" s="201">
        <v>125.5</v>
      </c>
      <c r="Q11" s="201">
        <v>217</v>
      </c>
      <c r="R11" s="200">
        <v>18.62</v>
      </c>
    </row>
    <row r="12" spans="1:20" ht="17" thickBot="1">
      <c r="A12" s="196" t="s">
        <v>322</v>
      </c>
      <c r="B12" s="3"/>
      <c r="D12" s="11" t="s">
        <v>344</v>
      </c>
      <c r="L12" t="s">
        <v>134</v>
      </c>
      <c r="M12">
        <v>200</v>
      </c>
      <c r="N12">
        <v>124.75</v>
      </c>
      <c r="O12">
        <v>0</v>
      </c>
    </row>
    <row r="13" spans="1:20" ht="16">
      <c r="A13" s="196" t="s">
        <v>180</v>
      </c>
      <c r="B13" s="3" t="str">
        <f>Input!$C$33</f>
        <v>ZG10</v>
      </c>
      <c r="D13" t="s">
        <v>345</v>
      </c>
      <c r="E13">
        <f>1/3*PI()*$E$10^2*(3*$B$6-$E$10)/1000000</f>
        <v>26.646979073509712</v>
      </c>
      <c r="F13" t="s">
        <v>12</v>
      </c>
      <c r="G13" s="202" t="s">
        <v>345</v>
      </c>
      <c r="H13" s="202" t="s">
        <v>379</v>
      </c>
      <c r="L13" t="s">
        <v>135</v>
      </c>
      <c r="M13">
        <v>225</v>
      </c>
      <c r="N13">
        <v>124.75</v>
      </c>
      <c r="O13">
        <v>0</v>
      </c>
    </row>
    <row r="14" spans="1:20" ht="17" thickBot="1">
      <c r="A14" s="196" t="s">
        <v>337</v>
      </c>
      <c r="B14" s="3">
        <f>VLOOKUP($B$13,Tabell3[],3,FALSE)</f>
        <v>114.75</v>
      </c>
      <c r="G14" s="203">
        <f>IF($E$10&lt;$E$3,(1/3*PI()*$E$10^2*(3*$B$6-$E$10)/1000000),IF($E$10&lt;$B$8,(1/3*PI()*$E$3^2*(3*$B$6-$E$3)/1000000)+(((PI()*(SQRT($B$7^2-($E$10-$B$8)^2)+$B$4-$B$7)^2*($E$10-$E$3)-$B$9^2*PI()*($E$10-$E$3))/1.4+$B$9^2*PI()*($E$10-$E$3))/1000000),$E$2+(($E$10-$B$8)*PI()*$B$4^2/1000000)))</f>
        <v>16.227570803400564</v>
      </c>
      <c r="H14" s="203">
        <f>IF($F$10&lt;$E$3,(1/3*PI()*$F$10^2*(3*$B$6-$F$10)/1000000),IF($F$10&lt;$B$8,(1/3*PI()*$E$3^2*(3*$B$6-$E$3)/1000000)+(((PI()*(SQRT($B$7^2-($F$10-$B$8)^2)+$B$4-$B$7)^2*($F$10-$E$3)-$B$9^2*PI()*($F$10-$E$3))/1.4+$B$9^2*PI()*($F$10-$E$3))/1000000),$E$2+(($F$10-$B$8)*PI()*$B$4^2/1000000)))</f>
        <v>7.0411858253189488</v>
      </c>
      <c r="L14" s="199" t="s">
        <v>30</v>
      </c>
      <c r="M14">
        <v>33</v>
      </c>
      <c r="N14">
        <v>40</v>
      </c>
      <c r="O14">
        <v>9</v>
      </c>
      <c r="P14" s="200">
        <v>89.75</v>
      </c>
      <c r="Q14" s="201">
        <f>2.27+135.93</f>
        <v>138.20000000000002</v>
      </c>
      <c r="R14" s="201">
        <v>42</v>
      </c>
    </row>
    <row r="15" spans="1:20" ht="32">
      <c r="A15" s="196" t="s">
        <v>341</v>
      </c>
      <c r="B15" s="3">
        <f>VLOOKUP($B$13,Tabell3[],4,FALSE)</f>
        <v>20</v>
      </c>
      <c r="D15" s="11" t="s">
        <v>346</v>
      </c>
      <c r="L15" s="199" t="s">
        <v>31</v>
      </c>
      <c r="M15">
        <v>52.5</v>
      </c>
      <c r="N15">
        <v>57</v>
      </c>
      <c r="O15">
        <v>16</v>
      </c>
      <c r="P15" s="201">
        <v>131.5</v>
      </c>
      <c r="Q15" s="201">
        <f>207.14+4.16</f>
        <v>211.29999999999998</v>
      </c>
      <c r="R15" s="201">
        <v>47</v>
      </c>
    </row>
    <row r="16" spans="1:20" ht="32">
      <c r="A16" s="196" t="s">
        <v>342</v>
      </c>
      <c r="B16" s="3">
        <f>VLOOKUP($B$13,Tabell3[],5,FALSE)</f>
        <v>125.5</v>
      </c>
      <c r="D16" t="s">
        <v>347</v>
      </c>
      <c r="E16">
        <f>1/3*PI()*$E$3^2*(3*$B$6-$E$3)/1000000</f>
        <v>2.0881460800298921</v>
      </c>
      <c r="L16" s="199" t="s">
        <v>32</v>
      </c>
      <c r="M16">
        <v>69.5</v>
      </c>
      <c r="N16">
        <v>80</v>
      </c>
      <c r="O16">
        <v>20</v>
      </c>
      <c r="P16" s="201">
        <v>169</v>
      </c>
      <c r="Q16" s="201">
        <f>255.84+4.16</f>
        <v>260</v>
      </c>
      <c r="R16" s="201">
        <v>58</v>
      </c>
    </row>
    <row r="17" spans="1:18" ht="16">
      <c r="A17" s="196" t="s">
        <v>325</v>
      </c>
      <c r="B17" s="3">
        <f>VLOOKUP($B$13,Tabell3[],6,FALSE)</f>
        <v>217</v>
      </c>
      <c r="D17" t="s">
        <v>348</v>
      </c>
      <c r="E17" s="44" t="s">
        <v>374</v>
      </c>
      <c r="L17" s="199" t="s">
        <v>27</v>
      </c>
      <c r="M17">
        <v>33</v>
      </c>
      <c r="N17">
        <v>27.5</v>
      </c>
      <c r="O17">
        <v>9</v>
      </c>
      <c r="P17" s="200">
        <f>3.5+58.13</f>
        <v>61.63</v>
      </c>
      <c r="Q17" s="200">
        <f>106.56+2.27</f>
        <v>108.83</v>
      </c>
      <c r="R17" s="200">
        <v>34.14</v>
      </c>
    </row>
    <row r="18" spans="1:18" ht="16">
      <c r="A18" s="196" t="s">
        <v>328</v>
      </c>
      <c r="B18" s="3">
        <f>VLOOKUP($B$13,Tabell3[],7,FALSE)</f>
        <v>18.62</v>
      </c>
      <c r="D18" t="s">
        <v>372</v>
      </c>
      <c r="E18" t="e">
        <f>(($B$7^2*ASIN(($E$10-$B$8)/$B$7)/2-$B$7*$E$10+$B$4*$E$10+($E$10-$B$8)*SQRT($B$7^2-($E$10-$B$8)^2)/2)-($B$7^2*ASIN(($E$3-$B$8)/$B$7)/2-$B$7*$E$3+$B$4*$E$3+($E$3-$B$8)*SQRT($B$7^2-($E$3-$B$8)^2)/2))/1000000</f>
        <v>#NUM!</v>
      </c>
      <c r="L18" s="199" t="s">
        <v>28</v>
      </c>
      <c r="M18">
        <v>51.5</v>
      </c>
      <c r="N18">
        <v>47</v>
      </c>
      <c r="O18">
        <v>16</v>
      </c>
      <c r="P18" s="200">
        <v>100.37</v>
      </c>
      <c r="Q18" s="200">
        <f>176.01+4.16</f>
        <v>180.17</v>
      </c>
      <c r="R18" s="200">
        <v>47.4</v>
      </c>
    </row>
    <row r="19" spans="1:18" ht="16">
      <c r="A19" s="53" t="s">
        <v>381</v>
      </c>
      <c r="B19" s="3">
        <f>VLOOKUP($B$13,Tabell3[],2,FALSE)</f>
        <v>175</v>
      </c>
      <c r="D19" t="s">
        <v>373</v>
      </c>
      <c r="E19" t="e">
        <f>(($B$7^2*ASIN(($E$10-$B$8)/$B$7)*(180/PI())/2-$B$7*$E$10+$B$4*$E$10+($E$10-$B$8)*SQRT($B$7^2-($E$10-$B$8)^2)/2)-($B$7^2*ASIN(($E$3-$B$8)/$B$7)*(180/PI())/2-$B$7*$E$3+$B$4*$E$3+($E$3-$B$8)*SQRT($B$7^2-($E$3-$B$8)^2)/2))/1000000</f>
        <v>#NUM!</v>
      </c>
      <c r="L19" s="199" t="s">
        <v>29</v>
      </c>
      <c r="M19">
        <v>68</v>
      </c>
      <c r="N19">
        <v>79.75</v>
      </c>
      <c r="O19">
        <v>20</v>
      </c>
      <c r="P19" s="201">
        <v>137</v>
      </c>
      <c r="Q19" s="200">
        <f>224.61+4.16</f>
        <v>228.77</v>
      </c>
      <c r="R19" s="201">
        <v>78</v>
      </c>
    </row>
    <row r="20" spans="1:18" ht="16" thickBot="1">
      <c r="L20" s="199" t="s">
        <v>79</v>
      </c>
      <c r="M20">
        <v>48</v>
      </c>
      <c r="N20">
        <v>27.5</v>
      </c>
      <c r="O20">
        <v>9</v>
      </c>
      <c r="P20" s="201"/>
      <c r="Q20" s="201"/>
      <c r="R20" s="201"/>
    </row>
    <row r="21" spans="1:18" ht="16" thickBot="1">
      <c r="D21" s="197" t="s">
        <v>349</v>
      </c>
      <c r="E21" s="173" t="e">
        <f>((PI()*(SQRT($B$7^2-($E$10-$B$8)^2)+$B$4-$B$7)^2*($E$10-$E$3)-$B$9^2*PI()*($E$10-$E$3))/1.4+$B$9^2*PI()*($E$10-$E$3))/1000000</f>
        <v>#NUM!</v>
      </c>
      <c r="F21" t="s">
        <v>350</v>
      </c>
      <c r="L21" s="199" t="s">
        <v>80</v>
      </c>
      <c r="M21">
        <v>75</v>
      </c>
      <c r="N21">
        <v>47</v>
      </c>
      <c r="O21">
        <v>16</v>
      </c>
      <c r="P21" s="201">
        <v>101</v>
      </c>
      <c r="Q21" s="201">
        <v>179</v>
      </c>
      <c r="R21" s="201">
        <v>20</v>
      </c>
    </row>
    <row r="22" spans="1:18">
      <c r="L22" t="s">
        <v>119</v>
      </c>
      <c r="M22">
        <v>88.5</v>
      </c>
      <c r="N22">
        <v>64.75</v>
      </c>
      <c r="O22">
        <v>0</v>
      </c>
    </row>
    <row r="23" spans="1:18">
      <c r="D23" s="11" t="s">
        <v>375</v>
      </c>
      <c r="L23" s="199" t="s">
        <v>81</v>
      </c>
      <c r="M23">
        <v>118</v>
      </c>
      <c r="N23">
        <v>79.75</v>
      </c>
      <c r="O23">
        <v>20</v>
      </c>
      <c r="P23" s="201"/>
      <c r="Q23" s="201"/>
      <c r="R23" s="201"/>
    </row>
    <row r="24" spans="1:18">
      <c r="L24" s="199" t="s">
        <v>33</v>
      </c>
      <c r="M24">
        <v>70</v>
      </c>
      <c r="N24">
        <v>54.75</v>
      </c>
      <c r="O24">
        <v>54</v>
      </c>
      <c r="P24" s="201">
        <v>55</v>
      </c>
      <c r="Q24" s="201">
        <v>66.5</v>
      </c>
      <c r="R24" s="201">
        <v>31.1</v>
      </c>
    </row>
    <row r="25" spans="1:18">
      <c r="L25" s="199" t="s">
        <v>34</v>
      </c>
      <c r="M25">
        <v>110</v>
      </c>
      <c r="N25">
        <v>84</v>
      </c>
      <c r="O25">
        <v>83</v>
      </c>
      <c r="P25" s="201">
        <v>71.5</v>
      </c>
      <c r="Q25" s="201">
        <v>169.5</v>
      </c>
      <c r="R25" s="201">
        <v>41.5</v>
      </c>
    </row>
    <row r="29" spans="1:18">
      <c r="D29" t="s">
        <v>372</v>
      </c>
      <c r="E29" t="e">
        <f>(PI()*($B$7^2*ASIN(($E$10-$B$8)/$B$7)/2-$B$7*$E$10+$B$4*$E$10+($E$10-$B$8)*SQRT($B$7^2-($E$10-$B$8)^2)/2)-PI()*($B$7^2*ASIN(($E$3-$B$8)/$B$7)/2-$B$7*$E$3+$B$4*$E$3+($E$3-$B$8)*SQRT($B$7^2-($E$3-$B$8)^2)/2))/1000000</f>
        <v>#NUM!</v>
      </c>
      <c r="G29" t="e">
        <f>(D37-I37)/1000000</f>
        <v>#NUM!</v>
      </c>
    </row>
    <row r="30" spans="1:18">
      <c r="D30" t="s">
        <v>373</v>
      </c>
      <c r="E30" t="e">
        <f>(($B$7^2*ASIN(($E$10-$B$8)/$B$7)*(180/PI())/2-$B$7*$E$10+$B$4*$E$10+($E$10-$B$8)*SQRT($B$7^2-($E$10-$B$8)^2)/2)-($B$7^2*ASIN(($E$3-$B$8)/$B$7)*(180/PI())/2-$B$7*$E$3+$B$4*$E$3+($E$3-$B$8)*SQRT($B$7^2-($E$3-$B$8)^2)/2))/1000000</f>
        <v>#NUM!</v>
      </c>
    </row>
    <row r="33" spans="1:9">
      <c r="A33" s="53">
        <v>1</v>
      </c>
      <c r="B33">
        <f>-(($B$7^2*($E$10-$B$8)*SQRT((-($E$10-$B$8)^2)/($B$7^2)+1)/$B$7))</f>
        <v>-6308.6681922590651</v>
      </c>
      <c r="C33">
        <v>5</v>
      </c>
      <c r="D33">
        <f>($B$4*$B$7*($E$10-$B$8)*SQRT((-($E$10-$B$8)^2/($B$7)^2)+1)/$B$7)</f>
        <v>30785.087572802648</v>
      </c>
      <c r="F33" s="53">
        <v>1</v>
      </c>
      <c r="G33">
        <f>-(($B$7^2*($E$3-$B$8)*SQRT((-($E$3-$B$8)^2)/($B$7^2)+1)/$B$7))</f>
        <v>2106.8932608023219</v>
      </c>
      <c r="H33">
        <v>5</v>
      </c>
      <c r="I33">
        <f>($B$4*$B$7*($E$3-$B$8)*SQRT((-($E$3-$B$8)^2/($B$7)^2)+1)/$B$7)</f>
        <v>-10281.233940934406</v>
      </c>
    </row>
    <row r="34" spans="1:9">
      <c r="A34">
        <v>2</v>
      </c>
      <c r="B34">
        <f>7*$B$7*($E$10-$B$8)/(4*$B$7)</f>
        <v>129.81239374658529</v>
      </c>
      <c r="C34">
        <v>6</v>
      </c>
      <c r="D34">
        <f>-(2*$B$4*$B$7*($E$10-$B$8)/$B$7)</f>
        <v>-30116.475349207791</v>
      </c>
      <c r="F34">
        <v>2</v>
      </c>
      <c r="G34">
        <f>7*$B$7*($E$3-$B$8)/(4*$B$7)</f>
        <v>-65.767742942320425</v>
      </c>
      <c r="H34">
        <v>6</v>
      </c>
      <c r="I34">
        <f>-(2*$B$4*$B$7*($E$3-$B$8)/$B$7)</f>
        <v>15258.116362618339</v>
      </c>
    </row>
    <row r="35" spans="1:9">
      <c r="A35">
        <v>3</v>
      </c>
      <c r="B35">
        <f>($B$7^2*SIN(3*SIN(($E$10-$B$8)/$B$7))/12)</f>
        <v>29.917676945980634</v>
      </c>
      <c r="C35">
        <v>7</v>
      </c>
      <c r="D35" t="e">
        <f>$B$4*$B$7*ASIN(($E$10-$B$8)/$B$7)</f>
        <v>#NUM!</v>
      </c>
      <c r="F35">
        <v>3</v>
      </c>
      <c r="G35">
        <f>($B$7^2*SIN(3*SIN(($E$3-$B$8)/$B$7))/12)</f>
        <v>-101.96211561526428</v>
      </c>
      <c r="H35">
        <v>7</v>
      </c>
      <c r="I35">
        <f>$B$4*$B$7*ASIN(($E$3-$B$8)/$B$7)</f>
        <v>-9522.7003345874127</v>
      </c>
    </row>
    <row r="36" spans="1:9">
      <c r="A36" s="53">
        <v>4</v>
      </c>
      <c r="B36" t="e">
        <f>-($B$7^2*ASIN(($E$10-$B$8)/$B$7))</f>
        <v>#NUM!</v>
      </c>
      <c r="C36">
        <v>8</v>
      </c>
      <c r="D36">
        <f>-($E$10-$B$8)/$B$7</f>
        <v>-1.783137276738809</v>
      </c>
      <c r="E36" s="82"/>
      <c r="F36" s="53">
        <v>4</v>
      </c>
      <c r="G36">
        <f>-($B$7^2*ASIN(($E$3-$B$8)/$B$7))</f>
        <v>1951.4499207824451</v>
      </c>
      <c r="H36">
        <v>8</v>
      </c>
      <c r="I36">
        <f>-($E$3-$B$8)/$B$7</f>
        <v>0.90340306239451129</v>
      </c>
    </row>
    <row r="37" spans="1:9">
      <c r="D37" t="e">
        <f>(SUM(B33:B36,D33:D36))*PI()*$B$8*$B$7</f>
        <v>#NUM!</v>
      </c>
      <c r="F37" s="53"/>
      <c r="I37">
        <f>(SUM(G33:G36,I33:I36))*PI()*$B$8*$B$7</f>
        <v>-6688739.3913223147</v>
      </c>
    </row>
    <row r="39" spans="1:9">
      <c r="E39" t="e">
        <f>(D37-I37)/1000000</f>
        <v>#NUM!</v>
      </c>
    </row>
  </sheetData>
  <mergeCells count="1">
    <mergeCell ref="A1:B1"/>
  </mergeCells>
  <phoneticPr fontId="15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94FB-1DCC-49F7-8943-A310190A241C}">
  <sheetPr>
    <tabColor rgb="FF00B050"/>
  </sheetPr>
  <dimension ref="A1:AK53"/>
  <sheetViews>
    <sheetView topLeftCell="A16" zoomScaleNormal="100" workbookViewId="0">
      <selection activeCell="C24" sqref="C24"/>
    </sheetView>
  </sheetViews>
  <sheetFormatPr baseColWidth="10" defaultColWidth="8.83203125" defaultRowHeight="15"/>
  <cols>
    <col min="1" max="1" width="19.83203125" bestFit="1" customWidth="1"/>
    <col min="2" max="2" width="19.83203125" style="53" bestFit="1" customWidth="1"/>
    <col min="3" max="3" width="21" style="53" customWidth="1"/>
    <col min="4" max="4" width="16.33203125" style="53" customWidth="1"/>
    <col min="5" max="7" width="13.6640625" style="53" customWidth="1"/>
    <col min="8" max="12" width="13.6640625" customWidth="1"/>
    <col min="15" max="15" width="11.6640625" bestFit="1" customWidth="1"/>
  </cols>
  <sheetData>
    <row r="1" spans="2:37" ht="16" thickBot="1">
      <c r="B1" s="119"/>
      <c r="C1" s="223" t="s">
        <v>125</v>
      </c>
      <c r="D1" s="224"/>
      <c r="E1" s="223" t="s">
        <v>126</v>
      </c>
      <c r="F1" s="224"/>
      <c r="G1" s="223" t="s">
        <v>127</v>
      </c>
      <c r="H1" s="228"/>
      <c r="I1" s="223" t="s">
        <v>128</v>
      </c>
      <c r="J1" s="224"/>
      <c r="K1" s="223" t="s">
        <v>129</v>
      </c>
      <c r="L1" s="224"/>
      <c r="M1" s="53"/>
      <c r="N1" s="53"/>
      <c r="O1" s="53"/>
    </row>
    <row r="2" spans="2:37">
      <c r="B2" s="225" t="s">
        <v>195</v>
      </c>
      <c r="C2" s="226"/>
      <c r="D2" s="226"/>
      <c r="E2" s="226"/>
      <c r="F2" s="226"/>
      <c r="G2" s="226"/>
      <c r="H2" s="226"/>
      <c r="I2" s="226"/>
      <c r="J2" s="226"/>
      <c r="K2" s="226"/>
      <c r="L2" s="227"/>
      <c r="P2" s="204"/>
      <c r="Q2" s="204"/>
      <c r="R2" s="204"/>
      <c r="S2" s="204"/>
      <c r="T2" s="204"/>
      <c r="U2" s="204"/>
      <c r="V2" s="204"/>
      <c r="W2" s="204"/>
      <c r="X2" s="204"/>
      <c r="Y2" s="204"/>
      <c r="Z2" s="204"/>
      <c r="AA2" s="204"/>
      <c r="AB2" s="204"/>
      <c r="AC2" s="204"/>
      <c r="AD2" s="204"/>
      <c r="AE2" s="204"/>
      <c r="AF2" s="204"/>
      <c r="AG2" s="204"/>
      <c r="AH2" s="204"/>
      <c r="AI2" s="204"/>
      <c r="AJ2" s="204"/>
      <c r="AK2" s="204"/>
    </row>
    <row r="3" spans="2:37" ht="36.75" customHeight="1">
      <c r="B3" s="114" t="s">
        <v>194</v>
      </c>
      <c r="C3" s="212" t="str">
        <f>IF(Input!$D$3=0,"",VLOOKUP(Input!$D$3,'Main Mixing Purpose List'!$A$2:$F$19,2,FALSE))</f>
        <v xml:space="preserve">Biopharma - Downstream: Buffer prep - Dissolve salt </v>
      </c>
      <c r="D3" s="213"/>
      <c r="E3" s="212" t="str">
        <f>IF(Input!$D$3=0,"",VLOOKUP(Input!$D$3,'Main Mixing Purpose List'!$A$2:$F$19,2,FALSE))</f>
        <v xml:space="preserve">Biopharma - Downstream: Buffer prep - Dissolve salt </v>
      </c>
      <c r="F3" s="213"/>
      <c r="G3" s="212" t="str">
        <f>IF(Input!$D$3=0,"",VLOOKUP(Input!$D$3,'Main Mixing Purpose List'!$A$2:$F$19,2,FALSE))</f>
        <v xml:space="preserve">Biopharma - Downstream: Buffer prep - Dissolve salt </v>
      </c>
      <c r="H3" s="220"/>
      <c r="I3" s="212" t="str">
        <f>IF(Input!$D$3=0,"",VLOOKUP(Input!$D$3,'Main Mixing Purpose List'!$A$2:$F$19,2,FALSE))</f>
        <v xml:space="preserve">Biopharma - Downstream: Buffer prep - Dissolve salt </v>
      </c>
      <c r="J3" s="213"/>
      <c r="K3" s="212" t="str">
        <f>IF(Input!$D$3=0,"",VLOOKUP(Input!$D$3,'Main Mixing Purpose List'!$A$2:$F$19,2,FALSE))</f>
        <v xml:space="preserve">Biopharma - Downstream: Buffer prep - Dissolve salt </v>
      </c>
      <c r="L3" s="213"/>
      <c r="P3" s="204"/>
      <c r="Q3" s="204"/>
      <c r="R3" s="204"/>
      <c r="S3" s="204"/>
      <c r="T3" s="204"/>
      <c r="U3" s="204"/>
      <c r="V3" s="204"/>
      <c r="W3" s="204"/>
      <c r="X3" s="204"/>
      <c r="Y3" s="204"/>
      <c r="Z3" s="204"/>
      <c r="AA3" s="204"/>
      <c r="AB3" s="204"/>
      <c r="AC3" s="204"/>
      <c r="AD3" s="204"/>
      <c r="AE3" s="204"/>
      <c r="AF3" s="204"/>
      <c r="AG3" s="204"/>
      <c r="AH3" s="204"/>
      <c r="AI3" s="204"/>
      <c r="AJ3" s="204"/>
      <c r="AK3" s="204"/>
    </row>
    <row r="4" spans="2:37" ht="16">
      <c r="B4" s="114" t="s">
        <v>193</v>
      </c>
      <c r="C4" s="212" t="str">
        <f>IF(Input!$D$4=0,"",Input!$D$4)</f>
        <v/>
      </c>
      <c r="D4" s="213"/>
      <c r="E4" s="212" t="str">
        <f>IF(Input!$D$4=0,"",Input!$D$4)</f>
        <v/>
      </c>
      <c r="F4" s="213"/>
      <c r="G4" s="212" t="str">
        <f>IF(Input!$D$4=0,"",Input!$D$4)</f>
        <v/>
      </c>
      <c r="H4" s="220"/>
      <c r="I4" s="212" t="str">
        <f>IF(Input!$D$4=0,"",Input!$D$4)</f>
        <v/>
      </c>
      <c r="J4" s="213"/>
      <c r="K4" s="212" t="str">
        <f>IF(Input!$D$4=0,"",Input!$D$4)</f>
        <v/>
      </c>
      <c r="L4" s="213"/>
    </row>
    <row r="5" spans="2:37" ht="16">
      <c r="B5" s="114" t="s">
        <v>192</v>
      </c>
      <c r="C5" s="212" t="str">
        <f>IF(Input!$D$5=0,"",Input!$D$5)</f>
        <v/>
      </c>
      <c r="D5" s="213"/>
      <c r="E5" s="212" t="str">
        <f>IF(Input!$D$5=0,"",Input!$D$5)</f>
        <v/>
      </c>
      <c r="F5" s="213"/>
      <c r="G5" s="212" t="str">
        <f>IF(Input!$D$5=0,"",Input!$D$5)</f>
        <v/>
      </c>
      <c r="H5" s="220"/>
      <c r="I5" s="212" t="str">
        <f>IF(Input!$D$5=0,"",Input!$D$5)</f>
        <v/>
      </c>
      <c r="J5" s="213"/>
      <c r="K5" s="212" t="str">
        <f>IF(Input!$D$5=0,"",Input!$D$5)</f>
        <v/>
      </c>
      <c r="L5" s="213"/>
    </row>
    <row r="6" spans="2:37" ht="16">
      <c r="B6" s="114" t="s">
        <v>191</v>
      </c>
      <c r="C6" s="212" t="str">
        <f>IF(Input!$D$6=0,"",Input!$D$6)</f>
        <v/>
      </c>
      <c r="D6" s="213"/>
      <c r="E6" s="212" t="str">
        <f>IF(Input!$D$6=0,"",Input!$D$6)</f>
        <v/>
      </c>
      <c r="F6" s="213"/>
      <c r="G6" s="212" t="str">
        <f>IF(Input!$D$6=0,"",Input!$D$6)</f>
        <v/>
      </c>
      <c r="H6" s="220"/>
      <c r="I6" s="212" t="str">
        <f>IF(Input!$D$6=0,"",Input!$D$6)</f>
        <v/>
      </c>
      <c r="J6" s="213"/>
      <c r="K6" s="212" t="str">
        <f>IF(Input!$D$6=0,"",Input!$D$6)</f>
        <v/>
      </c>
      <c r="L6" s="213"/>
    </row>
    <row r="7" spans="2:37" ht="21.75" customHeight="1">
      <c r="B7" s="216" t="s">
        <v>124</v>
      </c>
      <c r="C7" s="217"/>
      <c r="D7" s="217"/>
      <c r="E7" s="217"/>
      <c r="F7" s="217"/>
      <c r="G7" s="217"/>
      <c r="H7" s="217"/>
      <c r="I7" s="217"/>
      <c r="J7" s="217"/>
      <c r="K7" s="217"/>
      <c r="L7" s="218"/>
    </row>
    <row r="8" spans="2:37" ht="16">
      <c r="B8" s="114" t="s">
        <v>190</v>
      </c>
      <c r="C8" s="212" t="str">
        <f>Input!$D$7</f>
        <v>NO</v>
      </c>
      <c r="D8" s="213"/>
      <c r="E8" s="212" t="str">
        <f>Input!$D$7</f>
        <v>NO</v>
      </c>
      <c r="F8" s="213"/>
      <c r="G8" s="212" t="str">
        <f>Input!$D$7</f>
        <v>NO</v>
      </c>
      <c r="H8" s="220"/>
      <c r="I8" s="212" t="str">
        <f>Input!$D$7</f>
        <v>NO</v>
      </c>
      <c r="J8" s="213"/>
      <c r="K8" s="212" t="str">
        <f>Input!$D$7</f>
        <v>NO</v>
      </c>
      <c r="L8" s="213"/>
    </row>
    <row r="9" spans="2:37" ht="16">
      <c r="B9" s="114" t="s">
        <v>189</v>
      </c>
      <c r="C9" s="212" t="str">
        <f>Input!$D$8</f>
        <v>NO</v>
      </c>
      <c r="D9" s="213"/>
      <c r="E9" s="212" t="str">
        <f>Input!$D$8</f>
        <v>NO</v>
      </c>
      <c r="F9" s="213"/>
      <c r="G9" s="212" t="str">
        <f>Input!$D$8</f>
        <v>NO</v>
      </c>
      <c r="H9" s="220"/>
      <c r="I9" s="212" t="str">
        <f>Input!$D$8</f>
        <v>NO</v>
      </c>
      <c r="J9" s="213"/>
      <c r="K9" s="212" t="str">
        <f>Input!$D$8</f>
        <v>NO</v>
      </c>
      <c r="L9" s="213"/>
    </row>
    <row r="10" spans="2:37" ht="16">
      <c r="B10" s="114" t="s">
        <v>1</v>
      </c>
      <c r="C10" s="212" t="str">
        <f>IF(Input!$D$24="Metric",
CONCATENATE(Input!$D$9," mm"),
CONCATENATE(SUBSTITUTE(ROUND(Input!$D$9/25.4,1),",",".",1)," in"))</f>
        <v>406 mm</v>
      </c>
      <c r="D10" s="213"/>
      <c r="E10" s="212" t="str">
        <f>IF(Input!$D$24="Metric",
CONCATENATE(Input!$D$9," mm"),
CONCATENATE(SUBSTITUTE(ROUND(Input!$D$9/25.4,1),",",".",1)," in"))</f>
        <v>406 mm</v>
      </c>
      <c r="F10" s="213"/>
      <c r="G10" s="212" t="str">
        <f>IF(Input!$D$24="Metric",
CONCATENATE(Input!$D$9," mm"),
CONCATENATE(SUBSTITUTE(ROUND(Input!$D$9/25.4,1),",",".",1)," in"))</f>
        <v>406 mm</v>
      </c>
      <c r="H10" s="220"/>
      <c r="I10" s="212" t="str">
        <f>IF(Input!$D$24="Metric",
CONCATENATE(Input!$D$9," mm"),
CONCATENATE(SUBSTITUTE(ROUND(Input!$D$9/25.4,1),",",".",1)," in"))</f>
        <v>406 mm</v>
      </c>
      <c r="J10" s="213"/>
      <c r="K10" s="212" t="str">
        <f>IF(Input!$D$24="Metric",
CONCATENATE(Input!$D$9," mm"),
CONCATENATE(SUBSTITUTE(ROUND(Input!$D$9/25.4,1),",",".",1)," in"))</f>
        <v>406 mm</v>
      </c>
      <c r="L10" s="213"/>
    </row>
    <row r="11" spans="2:37" ht="16">
      <c r="B11" s="114" t="s">
        <v>188</v>
      </c>
      <c r="C11" s="212" t="str">
        <f>IF(Input!$D$24="Metric",
'Vessel dimension - DIN 28011'!$B$10,
'Vessel dimension - DIN 28011'!$B$11)</f>
        <v>90mm</v>
      </c>
      <c r="D11" s="213"/>
      <c r="E11" s="212" t="str">
        <f>IF(Input!$D$24="Metric",
'Vessel dimension - DIN 28011'!$B$10,
'Vessel dimension - DIN 28011'!$B$11)</f>
        <v>90mm</v>
      </c>
      <c r="F11" s="213"/>
      <c r="G11" s="212" t="str">
        <f>IF(Input!$D$24="Metric",
'Vessel dimension - DIN 28011'!$B$10,
'Vessel dimension - DIN 28011'!$B$11)</f>
        <v>90mm</v>
      </c>
      <c r="H11" s="220"/>
      <c r="I11" s="212" t="str">
        <f>IF(Input!$D$24="Metric",
'Vessel dimension - DIN 28011'!$B$10,
'Vessel dimension - DIN 28011'!$B$11)</f>
        <v>90mm</v>
      </c>
      <c r="J11" s="213"/>
      <c r="K11" s="212" t="str">
        <f>IF(Input!$D$24="Metric",
'Vessel dimension - DIN 28011'!$B$10,
'Vessel dimension - DIN 28011'!$B$11)</f>
        <v>90mm</v>
      </c>
      <c r="L11" s="213"/>
    </row>
    <row r="12" spans="2:37" ht="16">
      <c r="B12" s="114" t="s">
        <v>15</v>
      </c>
      <c r="C12" s="212" t="str">
        <f>IF(Input!$D$24="Metric",
CONCATENATE(Input!$D$10," mm"),
CONCATENATE(SUBSTITUTE(ROUND(Input!$D$10/25.4,3),",",".",1)," in"))</f>
        <v>5 mm</v>
      </c>
      <c r="D12" s="213"/>
      <c r="E12" s="212" t="str">
        <f>IF(Input!$D$24="Metric",
CONCATENATE(Input!$D$10," mm"),
CONCATENATE(SUBSTITUTE(ROUND(Input!$D$10/25.4,3),",",".",1)," in"))</f>
        <v>5 mm</v>
      </c>
      <c r="F12" s="213"/>
      <c r="G12" s="212" t="str">
        <f>IF(Input!$D$24="Metric",
CONCATENATE(Input!$D$10," mm"),
CONCATENATE(SUBSTITUTE(ROUND(Input!$D$10/25.4,3),",",".",1)," in"))</f>
        <v>5 mm</v>
      </c>
      <c r="H12" s="220"/>
      <c r="I12" s="212" t="str">
        <f>IF(Input!$D$24="Metric",
CONCATENATE(Input!$D$10," mm"),
CONCATENATE(SUBSTITUTE(ROUND(Input!$D$10/25.4,3),",",".",1)," in"))</f>
        <v>5 mm</v>
      </c>
      <c r="J12" s="213"/>
      <c r="K12" s="212" t="str">
        <f>IF(Input!$D$24="Metric",
CONCATENATE(Input!$D$10," mm"),
CONCATENATE(SUBSTITUTE(ROUND(Input!$D$10/25.4,3),",",".",1)," in"))</f>
        <v>5 mm</v>
      </c>
      <c r="L12" s="213"/>
    </row>
    <row r="13" spans="2:37" ht="32">
      <c r="B13" s="114" t="s">
        <v>161</v>
      </c>
      <c r="C13" s="212" t="str">
        <f>IF(Input!$D$24="Metric",
CONCATENATE('Vessel dimension - DIN 28011'!$B$32," kg"),
CONCATENATE(ROUNDUP('Vessel dimension - DIN 28011'!$B$32*2.20462,-1)," lb"))</f>
        <v>820 kg</v>
      </c>
      <c r="D13" s="213"/>
      <c r="E13" s="212" t="str">
        <f>IF(Input!$D$24="Metric",
CONCATENATE('Vessel dimension - DIN 28011'!$B$32," kg"),
CONCATENATE(ROUNDUP('Vessel dimension - DIN 28011'!$B$32*2.20462,-1)," lb"))</f>
        <v>820 kg</v>
      </c>
      <c r="F13" s="213"/>
      <c r="G13" s="212" t="str">
        <f>IF(Input!$D$24="Metric",
CONCATENATE('Vessel dimension - DIN 28011'!$B$32," kg"),
CONCATENATE(ROUNDUP('Vessel dimension - DIN 28011'!$B$32*2.20462,-1)," lb"))</f>
        <v>820 kg</v>
      </c>
      <c r="H13" s="220"/>
      <c r="I13" s="212" t="str">
        <f>IF(Input!$D$24="Metric",
CONCATENATE('Vessel dimension - DIN 28011'!$B$32," kg"),
CONCATENATE(ROUNDUP('Vessel dimension - DIN 28011'!$B$32*2.20462,-1)," lb"))</f>
        <v>820 kg</v>
      </c>
      <c r="J13" s="213"/>
      <c r="K13" s="212" t="str">
        <f>IF(Input!$D$24="Metric",
CONCATENATE('Vessel dimension - DIN 28011'!$B$32," kg"),
CONCATENATE(ROUNDUP('Vessel dimension - DIN 28011'!$B$32*2.20462,-1)," lb"))</f>
        <v>820 kg</v>
      </c>
      <c r="L13" s="213"/>
      <c r="O13" s="126"/>
      <c r="P13" s="127"/>
    </row>
    <row r="14" spans="2:37" ht="23">
      <c r="B14" s="114" t="s">
        <v>384</v>
      </c>
      <c r="C14" s="212" t="str">
        <f>IF(Input!$D$24="Metric",
CONCATENATE(Input!$D$11," L"),
CONCATENATE(SUBSTITUTE(ROUNDUP(Input!$D$11*0.264172,1),",",".",1)," gal"))</f>
        <v>2000 L</v>
      </c>
      <c r="D14" s="213"/>
      <c r="E14" s="212" t="str">
        <f>IF(Input!$D$24="Metric",
CONCATENATE(Input!$D$11," L"),
CONCATENATE(SUBSTITUTE(ROUNDUP(Input!$D$11*0.264172,1),",",".",1)," gal"))</f>
        <v>2000 L</v>
      </c>
      <c r="F14" s="213"/>
      <c r="G14" s="212" t="str">
        <f>IF(Input!$D$24="Metric",
CONCATENATE(Input!$D$11," L"),
CONCATENATE(SUBSTITUTE(ROUNDUP(Input!$D$11*0.264172,1),",",".",1)," gal"))</f>
        <v>2000 L</v>
      </c>
      <c r="H14" s="213"/>
      <c r="I14" s="212" t="str">
        <f>IF(Input!$D$24="Metric",
CONCATENATE(Input!$D$11," L"),
CONCATENATE(SUBSTITUTE(ROUNDUP(Input!$D$11*0.264172,1),",",".",1)," gal"))</f>
        <v>2000 L</v>
      </c>
      <c r="J14" s="213"/>
      <c r="K14" s="212" t="str">
        <f>IF(Input!$D$24="Metric",
CONCATENATE(Input!$D$11," L"),
CONCATENATE(SUBSTITUTE(ROUNDUP(Input!$D$11*0.264172,1),",",".",1)," gal"))</f>
        <v>2000 L</v>
      </c>
      <c r="L14" s="213"/>
      <c r="O14" s="126"/>
      <c r="P14" s="127"/>
    </row>
    <row r="15" spans="2:37" ht="23">
      <c r="B15" s="114" t="s">
        <v>2</v>
      </c>
      <c r="C15" s="212" t="str">
        <f>IF(Input!$D$24="Metric",
CONCATENATE(Input!$D$12," L"),
CONCATENATE(SUBSTITUTE(ROUNDUP(Input!$D$12*0.264172,1),",",".",1)," gal"))</f>
        <v>900 L</v>
      </c>
      <c r="D15" s="213"/>
      <c r="E15" s="212" t="str">
        <f>IF(Input!$D$24="Metric",
CONCATENATE(Input!$D$12," L"),
CONCATENATE(SUBSTITUTE(ROUNDUP(Input!$D$12*0.264172,1),",",".",1)," gal"))</f>
        <v>900 L</v>
      </c>
      <c r="F15" s="213"/>
      <c r="G15" s="212" t="str">
        <f>IF(Input!$D$24="Metric",
CONCATENATE(Input!$D$12," L"),
CONCATENATE(SUBSTITUTE(ROUNDUP(Input!$D$12*0.264172,1),",",".",1)," gal"))</f>
        <v>900 L</v>
      </c>
      <c r="H15" s="213"/>
      <c r="I15" s="212" t="str">
        <f>IF(Input!$D$24="Metric",
CONCATENATE(Input!$D$12," L"),
CONCATENATE(SUBSTITUTE(ROUNDUP(Input!$D$12*0.264172,1),",",".",1)," gal"))</f>
        <v>900 L</v>
      </c>
      <c r="J15" s="213"/>
      <c r="K15" s="212" t="str">
        <f>IF(Input!$D$24="Metric",
CONCATENATE(Input!$D$12," L"),
CONCATENATE(SUBSTITUTE(ROUNDUP(Input!$D$12*0.264172,1),",",".",1)," gal"))</f>
        <v>900 L</v>
      </c>
      <c r="L15" s="213"/>
      <c r="O15" s="126"/>
      <c r="P15" s="127"/>
    </row>
    <row r="16" spans="2:37" ht="32">
      <c r="B16" s="114" t="s">
        <v>385</v>
      </c>
      <c r="C16" s="212" t="str">
        <f>IF(Input!$D$24="Metric",
CONCATENATE(ROUNDUP('Min Vol'!$G$14,1)," L"),
CONCATENATE(SUBSTITUTE(ROUNDUP('Min Vol'!$G$14*0.264172,1),",",".",1)," gal"))</f>
        <v>16,3 L</v>
      </c>
      <c r="D16" s="213"/>
      <c r="E16" s="212" t="str">
        <f>IF(Input!$D$24="Metric",
CONCATENATE(ROUNDUP('Min Vol'!$G$14,1)," L"),
CONCATENATE(SUBSTITUTE(ROUNDUP('Min Vol'!$G$14*0.264172,1),",",".",1)," gal"))</f>
        <v>16,3 L</v>
      </c>
      <c r="F16" s="213"/>
      <c r="G16" s="212" t="str">
        <f>IF(Input!$D$24="Metric",
CONCATENATE(ROUNDUP('Min Vol'!$G$14,1)," L"),
CONCATENATE(SUBSTITUTE(ROUNDUP('Min Vol'!$G$14*0.264172,1),",",".",1)," gal"))</f>
        <v>16,3 L</v>
      </c>
      <c r="H16" s="220"/>
      <c r="I16" s="212" t="str">
        <f>IF(Input!$D$24="Metric",
CONCATENATE(ROUNDUP('Min Vol'!$G$14,1)," L"),
CONCATENATE(SUBSTITUTE(ROUNDUP('Min Vol'!$G$14*0.264172,1),",",".",1)," gal"))</f>
        <v>16,3 L</v>
      </c>
      <c r="J16" s="213"/>
      <c r="K16" s="212" t="str">
        <f>IF(Input!$D$24="Metric",
CONCATENATE(ROUNDUP('Min Vol'!$G$14,1)," L"),
CONCATENATE(SUBSTITUTE(ROUNDUP('Min Vol'!$G$14*0.264172,1),",",".",1)," gal"))</f>
        <v>16,3 L</v>
      </c>
      <c r="L16" s="213"/>
    </row>
    <row r="17" spans="2:12" ht="32">
      <c r="B17" s="114" t="s">
        <v>386</v>
      </c>
      <c r="C17" s="212" t="str">
        <f>IF(Input!$D$24="Metric",
CONCATENATE(ROUNDUP('Min Vol'!$H$14,1)," L"),
CONCATENATE(SUBSTITUTE(ROUNDUP('Min Vol'!$H$14*0.264172,1),",",".",1)," gal"))</f>
        <v>7,1 L</v>
      </c>
      <c r="D17" s="213"/>
      <c r="E17" s="212" t="str">
        <f>IF(Input!$D$24="Metric",
CONCATENATE(ROUNDUP('Min Vol'!$H$14,1)," L"),
CONCATENATE(SUBSTITUTE(ROUNDUP('Min Vol'!$H$14*0.264172,1),",",".",1)," gal"))</f>
        <v>7,1 L</v>
      </c>
      <c r="F17" s="213"/>
      <c r="G17" s="212" t="str">
        <f>IF(Input!$D$24="Metric",
CONCATENATE(ROUNDUP('Min Vol'!$H$14,1)," L"),
CONCATENATE(SUBSTITUTE(ROUNDUP('Min Vol'!$H$14*0.264172,1),",",".",1)," gal"))</f>
        <v>7,1 L</v>
      </c>
      <c r="H17" s="220"/>
      <c r="I17" s="212" t="str">
        <f>IF(Input!$D$24="Metric",
CONCATENATE(ROUNDUP('Min Vol'!$H$14,1)," L"),
CONCATENATE(SUBSTITUTE(ROUNDUP('Min Vol'!$H$14*0.264172,1),",",".",1)," gal"))</f>
        <v>7,1 L</v>
      </c>
      <c r="J17" s="213"/>
      <c r="K17" s="212" t="str">
        <f>IF(Input!$D$24="Metric",
CONCATENATE(ROUNDUP('Min Vol'!$H$14,1)," L"),
CONCATENATE(SUBSTITUTE(ROUNDUP('Min Vol'!$H$14*0.264172,1),",",".",1)," gal"))</f>
        <v>7,1 L</v>
      </c>
      <c r="L17" s="213"/>
    </row>
    <row r="18" spans="2:12" ht="30" customHeight="1">
      <c r="B18" s="114" t="s">
        <v>187</v>
      </c>
      <c r="C18" s="212">
        <f>IF(Input!$D$24="metric",
ROUND('Vessel dimension - DIN 28011'!$B$16,2),
SUBSTITUTE(ROUND('Vessel dimension - DIN 28011'!$B$16,2),",",".",1))</f>
        <v>17.190000000000001</v>
      </c>
      <c r="D18" s="213"/>
      <c r="E18" s="212">
        <f>IF(Input!$D$24="metric",
ROUND('Vessel dimension - DIN 28011'!$B$16,2),
SUBSTITUTE(ROUND('Vessel dimension - DIN 28011'!$B$16,2),",",".",1))</f>
        <v>17.190000000000001</v>
      </c>
      <c r="F18" s="213"/>
      <c r="G18" s="212">
        <f>IF(Input!$D$24="metric",
ROUND('Vessel dimension - DIN 28011'!$B$16,2),
SUBSTITUTE(ROUND('Vessel dimension - DIN 28011'!$B$16,2),",",".",1))</f>
        <v>17.190000000000001</v>
      </c>
      <c r="H18" s="213"/>
      <c r="I18" s="212">
        <f>IF(Input!$D$24="metric",
ROUND('Vessel dimension - DIN 28011'!$B$16,2),
SUBSTITUTE(ROUND('Vessel dimension - DIN 28011'!$B$16,2),",",".",1))</f>
        <v>17.190000000000001</v>
      </c>
      <c r="J18" s="213"/>
      <c r="K18" s="212">
        <f>IF(Input!$D$24="metric",
ROUND('Vessel dimension - DIN 28011'!$B$16,2),
SUBSTITUTE(ROUND('Vessel dimension - DIN 28011'!$B$16,2),",",".",1))</f>
        <v>17.190000000000001</v>
      </c>
      <c r="L18" s="213"/>
    </row>
    <row r="19" spans="2:12" ht="23.25" customHeight="1">
      <c r="B19" s="216" t="s">
        <v>186</v>
      </c>
      <c r="C19" s="217"/>
      <c r="D19" s="217"/>
      <c r="E19" s="217"/>
      <c r="F19" s="217"/>
      <c r="G19" s="217"/>
      <c r="H19" s="217"/>
      <c r="I19" s="217"/>
      <c r="J19" s="217"/>
      <c r="K19" s="217"/>
      <c r="L19" s="218"/>
    </row>
    <row r="20" spans="2:12" ht="16">
      <c r="B20" s="114" t="s">
        <v>185</v>
      </c>
      <c r="C20" s="212" t="str">
        <f>IF(Input!$D$3=0,Input!$D$13,VLOOKUP(Input!$D$3,'Main Mixing Purpose List'!$A$2:$F$19,5,FALSE))</f>
        <v>Vigorous</v>
      </c>
      <c r="D20" s="213"/>
      <c r="E20" s="221" t="str">
        <f>IF(Input!$D$3=0,Input!$D$13,VLOOKUP(Input!$D$3,'Main Mixing Purpose List'!$A$2:$F$19,5,FALSE))</f>
        <v>Vigorous</v>
      </c>
      <c r="F20" s="222"/>
      <c r="G20" s="221" t="str">
        <f>IF(Input!$D$3=0,Input!$D$13,VLOOKUP(Input!$D$3,'Main Mixing Purpose List'!$A$2:$F$19,5,FALSE))</f>
        <v>Vigorous</v>
      </c>
      <c r="H20" s="222"/>
      <c r="I20" s="221" t="str">
        <f>IF(Input!$D$3=0,Input!$D$13,VLOOKUP(Input!$D$3,'Main Mixing Purpose List'!$A$2:$F$19,5,FALSE))</f>
        <v>Vigorous</v>
      </c>
      <c r="J20" s="222"/>
      <c r="K20" s="221" t="str">
        <f>IF(Input!$D$3=0,Input!$D$13,VLOOKUP(Input!$D$3,'Main Mixing Purpose List'!$A$2:$F$19,5,FALSE))</f>
        <v>Vigorous</v>
      </c>
      <c r="L20" s="222"/>
    </row>
    <row r="21" spans="2:12" ht="16">
      <c r="B21" s="114" t="s">
        <v>4</v>
      </c>
      <c r="C21" s="212" t="str">
        <f>IF(Input!$D$24="Metric",
CONCATENATE(Input!$D$14," kg/m3"),
CONCATENATE(SUBSTITUTE(ROUNDUP(Input!$D$14*2.20462/35.3147,1),",",".",1)," lb/ft3"))</f>
        <v>2000 kg/m3</v>
      </c>
      <c r="D21" s="213"/>
      <c r="E21" s="212" t="str">
        <f>IF(Input!$D$24="Metric",
CONCATENATE(Input!$D$14," kg/m3"),
CONCATENATE(SUBSTITUTE(ROUNDUP(Input!$D$14*2.20462/35.3147,1),",",".",1)," lb/ft3"))</f>
        <v>2000 kg/m3</v>
      </c>
      <c r="F21" s="213"/>
      <c r="G21" s="212" t="str">
        <f>IF(Input!$D$24="Metric",
CONCATENATE(Input!$D$14," kg/m3"),
CONCATENATE(SUBSTITUTE(ROUNDUP(Input!$D$14*2.20462/35.3147,1),",",".",1)," lb/ft3"))</f>
        <v>2000 kg/m3</v>
      </c>
      <c r="H21" s="213"/>
      <c r="I21" s="212" t="str">
        <f>IF(Input!$D$24="Metric",
CONCATENATE(Input!$D$14," kg/m3"),
CONCATENATE(SUBSTITUTE(ROUNDUP(Input!$D$14*2.20462/35.3147,1),",",".",1)," lb/ft3"))</f>
        <v>2000 kg/m3</v>
      </c>
      <c r="J21" s="213"/>
      <c r="K21" s="212" t="str">
        <f>IF(Input!$D$24="Metric",
CONCATENATE(Input!$D$14," kg/m3"),
CONCATENATE(SUBSTITUTE(ROUNDUP(Input!$D$14*2.20462/35.3147,1),",",".",1)," lb/ft3"))</f>
        <v>2000 kg/m3</v>
      </c>
      <c r="L21" s="213"/>
    </row>
    <row r="22" spans="2:12" ht="16">
      <c r="B22" s="114" t="s">
        <v>3</v>
      </c>
      <c r="C22" s="212" t="str">
        <f>CONCATENATE(Input!$D$15," cP")</f>
        <v>10 cP</v>
      </c>
      <c r="D22" s="213"/>
      <c r="E22" s="221" t="str">
        <f>CONCATENATE(Input!$D$15," cP")</f>
        <v>10 cP</v>
      </c>
      <c r="F22" s="222"/>
      <c r="G22" s="221" t="str">
        <f>CONCATENATE(Input!$D$15," cP")</f>
        <v>10 cP</v>
      </c>
      <c r="H22" s="222"/>
      <c r="I22" s="221" t="str">
        <f>CONCATENATE(Input!$D$15," cP")</f>
        <v>10 cP</v>
      </c>
      <c r="J22" s="222"/>
      <c r="K22" s="221" t="str">
        <f>CONCATENATE(Input!$D$15," cP")</f>
        <v>10 cP</v>
      </c>
      <c r="L22" s="222"/>
    </row>
    <row r="23" spans="2:12" ht="16">
      <c r="B23" s="115" t="s">
        <v>184</v>
      </c>
      <c r="C23" s="221" t="str">
        <f>UPPER(IF(ZG!$B$45=0,
ZG!$B$44,
ZG!$B$45))</f>
        <v>ZG7</v>
      </c>
      <c r="D23" s="222"/>
      <c r="E23" s="221" t="str">
        <f>UPPER(IF(ZGP!$B$45=0,
ZGP!$B$44,
ZGP!$B$45))</f>
        <v>ZGP8</v>
      </c>
      <c r="F23" s="222"/>
      <c r="G23" s="221" t="str">
        <f>UPPER(IF(HP!$B$45=0,
HP!$B$44,
HP!$B$45))</f>
        <v>HP5</v>
      </c>
      <c r="H23" s="222"/>
      <c r="I23" s="221" t="str">
        <f>UPPER(IF(HS!$B$45=0,
HS!$B$44,
HS!$B$45))</f>
        <v>HS8</v>
      </c>
      <c r="J23" s="222"/>
      <c r="K23" s="221" t="str">
        <f>UPPER(IF(ZF!$B$45=0,
ZF!$B$44,
ZF!$B$45))</f>
        <v>ZF160</v>
      </c>
      <c r="L23" s="222"/>
    </row>
    <row r="24" spans="2:12" ht="32">
      <c r="B24" s="114" t="s">
        <v>183</v>
      </c>
      <c r="C24" s="106" t="str">
        <f>IF($C$29="N/A",
           "N/A",
             CONCATENATE(ZG!$X$49," rpm (max speed)"))</f>
        <v>344 rpm (max speed)</v>
      </c>
      <c r="D24" s="190" t="str">
        <f>IF($C$29="N/A",
           "N/A",
             CONCATENATE(ZG!$X$53," rpm (working speed)"))</f>
        <v>344 rpm (working speed)</v>
      </c>
      <c r="E24" s="106" t="str">
        <f>IF($E$29="N/A",
           "N/A",
            CONCATENATE(ZGP!$X$49," rpm (max speed)"))</f>
        <v>241 rpm (max speed)</v>
      </c>
      <c r="F24" s="190" t="str">
        <f>IF($E$29="N/A",
           "N/A",
            CONCATENATE(ROUNDDOWN(ZGP!$X$53,0)," (working speed)"))</f>
        <v>241 (working speed)</v>
      </c>
      <c r="G24" s="106" t="str">
        <f>IF($G$29="N/A",
           "N/A",
            CONCATENATE(HP!$X$49," (max speed)"))</f>
        <v>1195 (max speed)</v>
      </c>
      <c r="H24" s="190" t="str">
        <f>IF($G$29="N/A",
           "N/A",
            CONCATENATE(ROUNDDOWN(HP!$X$53,0)," (working speed)"))</f>
        <v>1195 (working speed)</v>
      </c>
      <c r="I24" s="106" t="str">
        <f>IF($I$29="N/A",
           "N/A",
             CONCATENATE(HS!$X$49," (max speed)"))</f>
        <v>2460 (max speed)</v>
      </c>
      <c r="J24" s="190" t="str">
        <f>IF($I$29="N/A",
           "N/A",
            CONCATENATE(ROUNDDOWN(HS!$X$53,0)," (working speed)"))</f>
        <v>2460 (working speed)</v>
      </c>
      <c r="K24" s="106" t="str">
        <f>IF($K$29="N/A",
           "N/A",
            CONCATENATE(ZF!$X$49," (max speed)"))</f>
        <v>246 (max speed)</v>
      </c>
      <c r="L24" s="190" t="str">
        <f>IF($K$29="N/A",
           "N/A",
             CONCATENATE(ROUNDDOWN(ZF!$X$53,0)," (working speed)"))</f>
        <v>246 (working speed)</v>
      </c>
    </row>
    <row r="25" spans="2:12" ht="16">
      <c r="B25" s="114" t="s">
        <v>182</v>
      </c>
      <c r="C25" s="106" t="str">
        <f>IF($C$29="N/A",
           "N/A",
             IF(Input!$D$24="Metric",
                       CONCATENATE(ROUND(ZG!$X$50,3)," W/L"),
                       CONCATENATE(SUBSTITUTE(ROUND(ZG!$Z$50,3),",",".",1)," W/gal")))</f>
        <v>0,486 W/L</v>
      </c>
      <c r="D25" s="190" t="str">
        <f>IF($C$29="N/A",
           "N/A",
            IF(Input!$D$24="Metric",
                    CONCATENATE(ROUND(ZG!$X$54,3)," W/L"),
                    CONCATENATE(SUBSTITUTE(ROUND(ZG!$Z$54,3),",",".",1)," W/gal")))</f>
        <v>0,486 W/L</v>
      </c>
      <c r="E25" s="106" t="str">
        <f>IF($E$29="N/A",
           "N/A",
            IF(Input!$D$24="Metric",
                     CONCATENATE(ROUND(ZGP!$X$50,3)," W/L"),
                     CONCATENATE(SUBSTITUTE(ROUND(ZGP!$Z$50,3),",",".",1)," W/gal")))</f>
        <v>0,705 W/L</v>
      </c>
      <c r="F25" s="190" t="str">
        <f>IF($E$29="N/A",
           "N/A",
            IF(Input!$D$24="Metric",
                     CONCATENATE(ROUND(ZGP!$X$54,3)," W/L"),
                     CONCATENATE(SUBSTITUTE(ROUND(ZGP!$Z$54,3),",",".",1)," W/gal")))</f>
        <v>0,705 W/L</v>
      </c>
      <c r="G25" s="106" t="str">
        <f>IF($G$29="N/A",
           "N/A",
            IF(Input!$D$24="Metric",
                     CONCATENATE(ROUND(HP!$X$50,3)," W/L"),
                     CONCATENATE(SUBSTITUTE(ROUND(HP!$Z$50,3),",",".",1)," W/gal")))</f>
        <v>0,672 W/L</v>
      </c>
      <c r="H25" s="190" t="str">
        <f>IF($G$29="N/A",
           "N/A",
             IF(Input!$D$24="Metric",
                      CONCATENATE(ROUND(HP!$X$54,3)," W/L"),
                      CONCATENATE(SUBSTITUTE(ROUND(HP!$Z$54,3),",",".",1)," W/gal")))</f>
        <v>0,672 W/L</v>
      </c>
      <c r="I25" s="106" t="str">
        <f>IF($I$29="N/A",
           "N/A",
            IF(Input!$D$24="Metric",
                     CONCATENATE(ROUND(HS!$X$50,3)," W/L"),
                     CONCATENATE(SUBSTITUTE(ROUND(HS!$Z$50,3),",",".",1)," W/gal")))</f>
        <v>5,563 W/L</v>
      </c>
      <c r="J25" s="190" t="str">
        <f>IF($I$29="N/A",
           "N/A",
            IF(Input!$D$24="Metric",
                     CONCATENATE(ROUND(HS!$X$54,3)," W/L"),
                     CONCATENATE(SUBSTITUTE(ROUND(HS!$Z$54,3),",",".",1)," W/gal")))</f>
        <v>5,563 W/L</v>
      </c>
      <c r="K25" s="106" t="str">
        <f>IF($K$29="N/A",
           "N/A",
            IF(Input!$D$24="Metric",
                     CONCATENATE(ROUND(ZF!$X$50,3)," W/L"),
                     CONCATENATE(SUBSTITUTE(ROUND(ZF!$Z$50,3),",",".",1)," W/gal")))</f>
        <v>0,174 W/L</v>
      </c>
      <c r="L25" s="190" t="str">
        <f>IF($K$29="N/A",
           "N/A",
            IF(Input!$D$24="Metric",
                     CONCATENATE(ROUND(ZF!$X$54,3)," W/L"),
                     CONCATENATE(SUBSTITUTE(ROUND(ZF!$Z$54,3),",",".",1)," W/gal")))</f>
        <v>0,174 W/L</v>
      </c>
    </row>
    <row r="26" spans="2:12" ht="16">
      <c r="B26" s="114" t="s">
        <v>10</v>
      </c>
      <c r="C26" s="106" t="str">
        <f>IF($C$29="N/A",
           "N/A",
            IF(Input!$D$24="metric",
                     CONCATENATE(ROUND(ZG!$X$51,3)," m/s"),
                     CONCATENATE(SUBSTITUTE(ROUND(ZG!$X$51*196.85039,0),",",".",1)," ft/min")))</f>
        <v>3,186 m/s</v>
      </c>
      <c r="D26" s="190" t="str">
        <f>IF($C$29="N/A",
           "N/A",
             IF(Input!$D$24="metric",
                        CONCATENATE(ROUND(ZG!$X$55,3)," m/s"),
                        CONCATENATE(SUBSTITUTE(ROUND(ZG!$X$55*196.85039,0),",",".",1)," ft/min")))</f>
        <v>3,186 m/s</v>
      </c>
      <c r="E26" s="106" t="str">
        <f>IF($E$29="N/A",
           "N/A",
             IF(Input!$D$24="metric",
                       CONCATENATE(ROUND(ZGP!$X$51,3)," m/s"),
                       CONCATENATE(SUBSTITUTE(ROUND(ZGP!$X$51*196.85039,0),",",".",1)," ft/min")))</f>
        <v>2,977 m/s</v>
      </c>
      <c r="F26" s="190" t="str">
        <f>IF($E$29="N/A",
           "N/A",
             IF(Input!$D$24="metric",
                       CONCATENATE(ROUND(ZGP!$X$55,3)," m/s"),
                       CONCATENATE(SUBSTITUTE(ROUND(ZGP!$X$55*196.85039,0),",",".",1)," ft/min")))</f>
        <v>2,977 m/s</v>
      </c>
      <c r="G26" s="106" t="str">
        <f>IF($G$29="N/A",
           "N/A",
            IF(Input!$D$24="metric",
                     CONCATENATE(ROUND(HP!$X$51,3)," m/s"),
                     CONCATENATE(SUBSTITUTE(ROUND(HP!$X$51*196.85039,0),",",".",1)," ft/min")))</f>
        <v>6,441 m/s</v>
      </c>
      <c r="H26" s="190" t="str">
        <f>IF($G$29="N/A",
           "N/A",
             IF(Input!$D$24="metric",
                       CONCATENATE(ROUND(HP!$X$55,3)," m/s"),
                       CONCATENATE(SUBSTITUTE(ROUND(HP!$X$55*196.85039,0),",",".",1)," ft/min")))</f>
        <v>6,441 m/s</v>
      </c>
      <c r="I26" s="106" t="str">
        <f>IF($I$29="N/A",
           "N/A",
             IF(Input!$D$24="metric",
                     CONCATENATE(ROUND(HS!$X$51,3)," m/s"),
                     CONCATENATE(SUBSTITUTE(ROUND(HS!$X$51*196.85039,0),",",".",1)," ft/min")))</f>
        <v>17,895 m/s</v>
      </c>
      <c r="J26" s="190" t="str">
        <f>IF($I$29="N/A",
           "N/A",
            IF(Input!$D$24="metric",
                     CONCATENATE(ROUND(HS!$X$55,3)," m/s"),
                     CONCATENATE(SUBSTITUTE(ROUND(HS!$X$55*196.85039,0),",",".",1)," ft/min")))</f>
        <v>17,895 m/s</v>
      </c>
      <c r="K26" s="106" t="str">
        <f>IF($K$29="N/A",
           "N/A",
            IF(Input!$D$24="metric",
                     CONCATENATE(ROUND(ZF!$X$51,3)," m/s"),
                     CONCATENATE(SUBSTITUTE(ROUND(ZF!$X$51*196.85039,0),",",".",1)," ft/min")))</f>
        <v>2,832 m/s</v>
      </c>
      <c r="L26" s="190" t="str">
        <f>IF($K$29="N/A",
           "N/A",
             IF(Input!$D$24="metric",
                     CONCATENATE(ROUND(ZF!$X$55,3)," m/s"),
                     CONCATENATE(SUBSTITUTE(ROUND(ZF!$X$55*196.85039,0),",",".",1)," ft/min")))</f>
        <v>2,832 m/s</v>
      </c>
    </row>
    <row r="27" spans="2:12" ht="16">
      <c r="B27" s="114" t="s">
        <v>294</v>
      </c>
      <c r="C27" s="106" t="str">
        <f>IF(OR($C$29="N/A",ZG!$X$52="N/A"),
           "N/A",
            CONCATENATE(IF(Input!$D$24="metric",
                                                       ZG!$X$52,
                                                       SUBSTITUTE(ZG!$X$52,",",".",1))," min"))</f>
        <v>2 min</v>
      </c>
      <c r="D27" s="191" t="str">
        <f>IF(OR($C$29="N/A",ZG!$X$56="N/A"),
           "N/A",
            CONCATENATE(IF(Input!$D$24="metric",
                                                       ZG!$X$56,
                                                       SUBSTITUTE(ZG!$X$56,",",".",1))," min"))</f>
        <v>2 min</v>
      </c>
      <c r="E27" s="106" t="str">
        <f>IF(OR($E$29="N/A",ZGP!$X$52="N/A"),
           "N/A",
            CONCATENATE(IF(Input!$D$24="metric",
                                                      ZGP!$X$52,
                                                      SUBSTITUTE(ZGP!$X$52,",",".",1))," min"))</f>
        <v>1 min</v>
      </c>
      <c r="F27" s="191" t="str">
        <f>IF(OR($E$29="N/A",ZGP!$X$56="N/A"),
           "N/A",
             CONCATENATE(IF(Input!$D$24="metric",
                                                        ZGP!$X$56,
                                                        SUBSTITUTE(ZGP!$X$56,",",".",1))," min"))</f>
        <v>1 min</v>
      </c>
      <c r="G27" s="106" t="str">
        <f>IF(OR($G$29="N/A",HP!$X$52="N/A"),
           "N/A",
             CONCATENATE(IF(Input!$D$24="metric",
                                                     HP!$X$52,
                                                     SUBSTITUTE(HP!$X$52,",",".",1))," min"))</f>
        <v>3,5 min</v>
      </c>
      <c r="H27" s="191" t="str">
        <f>IF(OR($G$29="N/A",HP!$X$56="N/A"),
           "N/A",
            CONCATENATE(IF(Input!$D$24="metric",
                                             HP!$X$56,
                                             SUBSTITUTE(HP!$X$56,",",".",1))," min"))</f>
        <v>3,5 min</v>
      </c>
      <c r="I27" s="106" t="str">
        <f>IF(OR($I$29="N/A",HS!$X$52="N/A"),
           "N/A",
            CONCATENATE(IF(Input!$D$24="metric",
                                                     HS!$X$52,
                                                     SUBSTITUTE(HS!$X$52,",",".",1))," min"))</f>
        <v>2 min</v>
      </c>
      <c r="J27" s="191" t="str">
        <f>IF(OR($I$29="N/A",HS!$X$56="N/A"),
           "N/A",
            CONCATENATE(IF(Input!$D$24="metric",
                                                    HS!$X$56,
                                                    SUBSTITUTE(HS!$X$56,",",".",1))," min"))</f>
        <v>2 min</v>
      </c>
      <c r="K27" s="106" t="str">
        <f>IF(OR($K$29="N/A",ZF!$X$52="N/A"),
           "N/A",
             CONCATENATE(IF(Input!$D$24="metric",
                                                      ZF!$X$52,
                                                      SUBSTITUTE(ZF!$X$52,",",".",1))," min"))</f>
        <v>2 min</v>
      </c>
      <c r="L27" s="191" t="str">
        <f>IF(OR($K$29="N/A",ZF!$X$56="N/A"),
           "N/A",
            CONCATENATE(IF(Input!$D$24="metric",
                                                       ZF!$X$56,
                                                       SUBSTITUTE(ZF!$X$56,",",".",1))," min"))</f>
        <v>2 min</v>
      </c>
    </row>
    <row r="28" spans="2:12">
      <c r="B28" s="216" t="s">
        <v>295</v>
      </c>
      <c r="C28" s="217"/>
      <c r="D28" s="217"/>
      <c r="E28" s="217"/>
      <c r="F28" s="217"/>
      <c r="G28" s="217"/>
      <c r="H28" s="217"/>
      <c r="I28" s="217"/>
      <c r="J28" s="217"/>
      <c r="K28" s="217"/>
      <c r="L28" s="218"/>
    </row>
    <row r="29" spans="2:12" ht="16">
      <c r="B29" s="114" t="s">
        <v>180</v>
      </c>
      <c r="C29" s="212" t="str">
        <f>IF(Input!$D$27=0,ZG!$B$44,Input!$D$27)</f>
        <v>ZG7</v>
      </c>
      <c r="D29" s="213"/>
      <c r="E29" s="212" t="str">
        <f>IF(Input!$D$28=0,ZGP!$B$44,Input!$D$28)</f>
        <v>ZGP8</v>
      </c>
      <c r="F29" s="213"/>
      <c r="G29" s="212" t="str">
        <f>IF(Input!$D$29=0,HP!$B$44,Input!$D$29)</f>
        <v>HP5</v>
      </c>
      <c r="H29" s="220"/>
      <c r="I29" s="212" t="str">
        <f>IF(Input!$D$30=0,HS!$B$44,Input!$D$30)</f>
        <v>HS8</v>
      </c>
      <c r="J29" s="213"/>
      <c r="K29" s="212" t="str">
        <f>IF(Input!$D$31=0,ZF!$B$44,Input!$D$31)</f>
        <v>ZF160</v>
      </c>
      <c r="L29" s="213"/>
    </row>
    <row r="30" spans="2:12" ht="16">
      <c r="B30" s="114" t="s">
        <v>179</v>
      </c>
      <c r="C30" s="212" t="str">
        <f>IF($C$29="N/A",
           "N/A",
           IF(Input!$D$24="Metric",
                   CONCATENATE(VLOOKUP(C$29,ZG!$B$48:$M$69,3,FALSE)," mm"),
                   CONCATENATE(SUBSTITUTE(ROUND(VLOOKUP(C$29,ZG!$B$48:$M$69,3,FALSE)/25.4,2),",",".",1)," in")))</f>
        <v>177 mm</v>
      </c>
      <c r="D30" s="213"/>
      <c r="E30" s="212" t="str">
        <f>IF($E$29="N/A",
           "N/A",
            IF(Input!$D$24="Metric",
                     CONCATENATE(VLOOKUP($E$29,ZGP!$B$48:$N$55,3,FALSE)," mm"),
                     CONCATENATE(SUBSTITUTE(ROUND(VLOOKUP($E$29,ZGP!$B$48:$N$55,3,FALSE)/25.4,2),",",".",1)," in")))</f>
        <v>236 mm</v>
      </c>
      <c r="F30" s="213"/>
      <c r="G30" s="212" t="str">
        <f>IF($G$29="N/A",
           "N/A",
            IF(Input!$D$24="Metric",
                    CONCATENATE(VLOOKUP($G$29,HP!$B$48:$N$53,3,FALSE)," mm"),
                    CONCATENATE(SUBSTITUTE(ROUND(VLOOKUP($G$29,HP!$B$48:$N$53,3,FALSE)/25.4,2),",",".",1)," in")))</f>
        <v>103 mm</v>
      </c>
      <c r="H30" s="220"/>
      <c r="I30" s="212" t="str">
        <f>IF(I$29="N/A",
           "N/A",
             IF(Input!$D$24="Metric",
                      CONCATENATE(VLOOKUP($I$29,HS!$B$48:$N$53,3,FALSE)," mm"),
                      CONCATENATE(SUBSTITUTE(ROUND(VLOOKUP($I$29,HS!$B$48:$N$53,3,FALSE)/25.4,2),",",".",1)," in")))</f>
        <v>139 mm</v>
      </c>
      <c r="J30" s="213"/>
      <c r="K30" s="212" t="str">
        <f>IF($K$29="N/A",
           "N/A",
             IF(Input!$D$24="Metric",
                     CONCATENATE(VLOOKUP($K$29,ZF!$B$48:$N$51,3,FALSE)," mm"),
                     CONCATENATE(SUBSTITUTE(ROUND(VLOOKUP($K$29,ZF!$B$48:$N$51,3,FALSE)/25.4,2),",",".",1)," in")))</f>
        <v>220 mm</v>
      </c>
      <c r="L30" s="213"/>
    </row>
    <row r="31" spans="2:12" ht="32">
      <c r="B31" s="114" t="s">
        <v>178</v>
      </c>
      <c r="C31" s="212" t="str">
        <f>IF($C$29="N/A",
           "N/A",
             CONCATENATE(VLOOKUP(C$29,ZG!$B$48:$M$69,2,FALSE)," rpm"))</f>
        <v>490 rpm</v>
      </c>
      <c r="D31" s="213"/>
      <c r="E31" s="212" t="str">
        <f>IF($E$29="N/A",
"N/A",
CONCATENATE(VLOOKUP(E$29,ZGP!$B$48:$N$55,2,FALSE)," rpm"))</f>
        <v>343 rpm</v>
      </c>
      <c r="F31" s="213"/>
      <c r="G31" s="212" t="str">
        <f>IF($G$29="N/A",
"N/A",
CONCATENATE(VLOOKUP($G$29,HP!$B$48:$N$53,2,FALSE)," rpm"))</f>
        <v>1700 rpm</v>
      </c>
      <c r="H31" s="220"/>
      <c r="I31" s="212" t="str">
        <f>IF($I$29="N/A",
           "N/A",
             CONCATENATE(VLOOKUP($I$29,HS!$B$48:$N$53,2,FALSE)," rpm"))</f>
        <v>3500 rpm</v>
      </c>
      <c r="J31" s="213"/>
      <c r="K31" s="212" t="str">
        <f>IF($K$29="N/A",
"N/A",
CONCATENATE(VLOOKUP($K$29,ZF!$B$48:$N$51,2,FALSE)," rpm"))</f>
        <v>350 rpm</v>
      </c>
      <c r="L31" s="213"/>
    </row>
    <row r="32" spans="2:12" ht="32">
      <c r="B32" s="114" t="s">
        <v>292</v>
      </c>
      <c r="C32" s="212" t="str">
        <f>IF($C$29="N/A",
"N/A",
CONCATENATE(ROUNDUP(VLOOKUP(C$29,ZG!$B$48:$M$69,2,FALSE)*0.1,0)," rpm"))</f>
        <v>49 rpm</v>
      </c>
      <c r="D32" s="213"/>
      <c r="E32" s="212" t="str">
        <f>IF($E$29="N/A",
           "N/A",
            CONCATENATE(ROUNDUP(VLOOKUP($E$29,ZGP!$B$48:$N$55,2,FALSE)*0.1,0)," rpm"))</f>
        <v>35 rpm</v>
      </c>
      <c r="F32" s="213"/>
      <c r="G32" s="212" t="str">
        <f>IF($G$29="N/A",
           "N/A",
             CONCATENATE(ROUNDUP(VLOOKUP($G$29,HP!$B$48:$N$53,2,FALSE)*0.1,0)," rpm"))</f>
        <v>170 rpm</v>
      </c>
      <c r="H32" s="220"/>
      <c r="I32" s="212" t="str">
        <f>IF($I$29="N/A",
           "N/A",
              CONCATENATE(ROUNDUP(VLOOKUP($I$29,HS!$B$48:$N$53,2,FALSE)*0.1,0)," rpm"))</f>
        <v>350 rpm</v>
      </c>
      <c r="J32" s="213"/>
      <c r="K32" s="212" t="str">
        <f>IF($K$29="N/A",
           "N/A",
             CONCATENATE(ROUNDUP(VLOOKUP($K$29,ZF!$B$48:$N$51,2,FALSE)*0.1,0)," rpm"))</f>
        <v>35 rpm</v>
      </c>
      <c r="L32" s="213"/>
    </row>
    <row r="33" spans="2:12" ht="16">
      <c r="B33" s="114" t="s">
        <v>171</v>
      </c>
      <c r="C33" s="212" t="str">
        <f>VLOOKUP(Input!$D$17,'SS Material List'!$A$2:$B$15,2,FALSE)</f>
        <v>Hastelloy C276</v>
      </c>
      <c r="D33" s="213"/>
      <c r="E33" s="212" t="str">
        <f>"Polypropylene (PP) - FDA USP Class VI"</f>
        <v>Polypropylene (PP) - FDA USP Class VI</v>
      </c>
      <c r="F33" s="213"/>
      <c r="G33" s="212" t="str">
        <f>VLOOKUP(Input!$D$17,'SS Material List'!$A$2:$B$15,2,FALSE)</f>
        <v>Hastelloy C276</v>
      </c>
      <c r="H33" s="220"/>
      <c r="I33" s="212" t="str">
        <f>VLOOKUP(Input!$D$17,'SS Material List'!$A$2:$B$15,2,FALSE)</f>
        <v>Hastelloy C276</v>
      </c>
      <c r="J33" s="213"/>
      <c r="K33" s="212" t="str">
        <f>VLOOKUP(Input!$D$17,'SS Material List'!$A$2:$B$15,2,FALSE)</f>
        <v>Hastelloy C276</v>
      </c>
      <c r="L33" s="213"/>
    </row>
    <row r="34" spans="2:12" ht="45" customHeight="1">
      <c r="B34" s="114" t="s">
        <v>177</v>
      </c>
      <c r="C34" s="212" t="str">
        <f>IF(Input!$D$24="Metric","Ra &lt;= 0,38μm, EP, on SS Components inside vessel","Ra &lt;= 15μin, EP, on SS Components inside vessel")</f>
        <v>Ra &lt;= 0,38μm, EP, on SS Components inside vessel</v>
      </c>
      <c r="D34" s="213"/>
      <c r="E34" s="212" t="s">
        <v>173</v>
      </c>
      <c r="F34" s="213"/>
      <c r="G34" s="212" t="str">
        <f>IF(Input!$D$24="Metric","Ra &lt;= 0,38μm, EP, on SS Components inside vessel","Ra &lt;= 15μin, EP, on SS Components inside vessel")</f>
        <v>Ra &lt;= 0,38μm, EP, on SS Components inside vessel</v>
      </c>
      <c r="H34" s="220"/>
      <c r="I34" s="212" t="str">
        <f>IF(Input!$D$24="Metric","Ra &lt;= 0,38μm, EP, on SS Components inside vessel","Ra &lt;= 15μin, EP, on SS Components inside vessel")</f>
        <v>Ra &lt;= 0,38μm, EP, on SS Components inside vessel</v>
      </c>
      <c r="J34" s="213"/>
      <c r="K34" s="212" t="str">
        <f>IF(Input!$D$24="Metric","Ra &lt;= 0,38μm, EP, on SS Components inside vessel","Ra &lt;= 15μin, EP, on SS Components inside vessel")</f>
        <v>Ra &lt;= 0,38μm, EP, on SS Components inside vessel</v>
      </c>
      <c r="L34" s="213"/>
    </row>
    <row r="35" spans="2:12" ht="32">
      <c r="B35" s="114" t="s">
        <v>176</v>
      </c>
      <c r="C35" s="212" t="str">
        <f>IF($C$29="N/A",
           "N/A",
             IF(Input!$D$24="Metric",
                       CONCATENATE(VLOOKUP(C$29,ZG!$B$48:$M$69,12,FALSE)," mm"),
                       CONCATENATE(SUBSTITUTE(ROUND(VLOOKUP(C$29,ZG!$B$48:$M$69,12,FALSE)/25.4,2),",",".",1)," in")))</f>
        <v>129,5 mm</v>
      </c>
      <c r="D35" s="213"/>
      <c r="E35" s="212" t="str">
        <f>IF($E$29="N/A",
           "N/A",
            IF(Input!$D$24="Metric",
                     CONCATENATE(VLOOKUP($E$29,ZGP!$B$48:$N$55,12,FALSE)," mm"),
                     CONCATENATE(SUBSTITUTE(ROUND(VLOOKUP($E$29,ZGP!$B$48:$N$55,12,FALSE)/25.4,2),",",".",1)," in")))</f>
        <v>159,5 mm</v>
      </c>
      <c r="F35" s="213"/>
      <c r="G35" s="212" t="str">
        <f>IF($G$29="N/A",
           "N/A",
             IF(Input!$D$24="Metric",
                     CONCATENATE(VLOOKUP($G$29,HP!$B$48:$N$53,12,FALSE)," mm"),
                     CONCATENATE(SUBSTITUTE(ROUND(VLOOKUP($G$29,HP!$B$48:$N$53,12,FALSE)/25.4,2),",",".",1)," in")))</f>
        <v>94 mm</v>
      </c>
      <c r="H35" s="220"/>
      <c r="I35" s="212" t="str">
        <f>IF($I$29="N/A",
           "N/A",
             IF(Input!$D$24="Metric",
                      CONCATENATE(VLOOKUP($I$29,HS!$B$48:$N$53,12,FALSE)," mm"),
                      CONCATENATE(SUBSTITUTE(ROUND(VLOOKUP($I$29,HS!$B$48:$N$53,12,FALSE)/25.4,2),",",".",1)," in")))</f>
        <v>160 mm</v>
      </c>
      <c r="J35" s="213"/>
      <c r="K35" s="212" t="str">
        <f>IF($K$29="N/A",
           "N/A",
             IF(Input!$D$24="Metric",
                      CONCATENATE(VLOOKUP($K$29,ZF!$B$48:$N$51,12,FALSE)," mm"),
                      CONCATENATE(SUBSTITUTE(ROUND(VLOOKUP($K$29,ZF!$B$48:$N$51,12,FALSE)/25.4,2),",",".",1)," in")))</f>
        <v>168 mm</v>
      </c>
      <c r="L35" s="213"/>
    </row>
    <row r="36" spans="2:12" ht="16">
      <c r="B36" s="114" t="s">
        <v>175</v>
      </c>
      <c r="C36" s="212" t="str">
        <f>IF(Input!$D$24="Metric",
"5°C - 150°C",
"41°F - 302°F")</f>
        <v>5°C - 150°C</v>
      </c>
      <c r="D36" s="213"/>
      <c r="E36" s="212" t="str">
        <f>IF(Input!$D$24="Metric",
"5°C - 60°C",
"41°F - 140°F")</f>
        <v>5°C - 60°C</v>
      </c>
      <c r="F36" s="213"/>
      <c r="G36" s="212" t="str">
        <f>IF(Input!$D$24="Metric",
"5°C - 150°C",
"41°F - 302°F")</f>
        <v>5°C - 150°C</v>
      </c>
      <c r="H36" s="220"/>
      <c r="I36" s="212" t="str">
        <f>IF(Input!$D$24="Metric",
"5°C - 150°C",
"41°F - 302°F")</f>
        <v>5°C - 150°C</v>
      </c>
      <c r="J36" s="213"/>
      <c r="K36" s="212" t="str">
        <f>IF(Input!$D$24="Metric",
"5°C - 135°C",
"41°F - 275°F")</f>
        <v>5°C - 135°C</v>
      </c>
      <c r="L36" s="213"/>
    </row>
    <row r="37" spans="2:12" ht="16">
      <c r="B37" s="114" t="s">
        <v>174</v>
      </c>
      <c r="C37" s="219" t="str">
        <f>IF(Input!$D$24="Metric",
"-1 – 7 barg",
"-14.5 – 101.5 psig")</f>
        <v>-1 – 7 barg</v>
      </c>
      <c r="D37" s="213"/>
      <c r="E37" s="212" t="s">
        <v>173</v>
      </c>
      <c r="F37" s="213"/>
      <c r="G37" s="219" t="str">
        <f>IF(Input!$D$24="Metric",
"-1 – 7 barg",
"-14.5 – 101.5 psig")</f>
        <v>-1 – 7 barg</v>
      </c>
      <c r="H37" s="220"/>
      <c r="I37" s="219" t="str">
        <f>IF(Input!$D$24="Metric",
"-1 – 7 barg",
"-14.5 – 101.5 psig")</f>
        <v>-1 – 7 barg</v>
      </c>
      <c r="J37" s="213"/>
      <c r="K37" s="219" t="str">
        <f>IF(Input!$D$24="Metric",
"-1 – 7 barg",
"-14.5 – 101.5 psig")</f>
        <v>-1 – 7 barg</v>
      </c>
      <c r="L37" s="213"/>
    </row>
    <row r="38" spans="2:12">
      <c r="B38" s="192" t="s">
        <v>172</v>
      </c>
      <c r="C38" s="193"/>
      <c r="D38" s="193"/>
      <c r="E38" s="193"/>
      <c r="F38" s="193"/>
      <c r="G38" s="193"/>
      <c r="H38" s="193"/>
      <c r="I38" s="193"/>
      <c r="J38" s="193"/>
      <c r="K38" s="193" t="s">
        <v>293</v>
      </c>
      <c r="L38" s="194"/>
    </row>
    <row r="39" spans="2:12" ht="30.75" customHeight="1">
      <c r="B39" s="113" t="s">
        <v>171</v>
      </c>
      <c r="C39" s="212" t="s">
        <v>170</v>
      </c>
      <c r="D39" s="213"/>
      <c r="E39" s="212" t="s">
        <v>170</v>
      </c>
      <c r="F39" s="213"/>
      <c r="G39" s="212" t="s">
        <v>170</v>
      </c>
      <c r="H39" s="220"/>
      <c r="I39" s="212" t="s">
        <v>170</v>
      </c>
      <c r="J39" s="213"/>
      <c r="K39" s="212" t="s">
        <v>293</v>
      </c>
      <c r="L39" s="213"/>
    </row>
    <row r="40" spans="2:12">
      <c r="B40" s="113" t="s">
        <v>142</v>
      </c>
      <c r="C40" s="212" t="str">
        <f>IF(Input!D19=0,"EPDM",Input!$D$19)</f>
        <v>EPDM</v>
      </c>
      <c r="D40" s="213"/>
      <c r="E40" s="212" t="str">
        <f>IF(Input!D19=0,"EPDM",Input!$D$19)</f>
        <v>EPDM</v>
      </c>
      <c r="F40" s="213"/>
      <c r="G40" s="212" t="str">
        <f>IF(Input!D19=0,"EPDM",Input!$D$19)</f>
        <v>EPDM</v>
      </c>
      <c r="H40" s="220"/>
      <c r="I40" s="212" t="str">
        <f>IF(Input!D19=0,"EPDM",Input!$D$19)</f>
        <v>EPDM</v>
      </c>
      <c r="J40" s="213"/>
      <c r="K40" s="212" t="s">
        <v>293</v>
      </c>
      <c r="L40" s="213"/>
    </row>
    <row r="41" spans="2:12">
      <c r="B41" s="216" t="s">
        <v>137</v>
      </c>
      <c r="C41" s="217"/>
      <c r="D41" s="217"/>
      <c r="E41" s="217"/>
      <c r="F41" s="217"/>
      <c r="G41" s="217"/>
      <c r="H41" s="217"/>
      <c r="I41" s="217"/>
      <c r="J41" s="217"/>
      <c r="K41" s="217"/>
      <c r="L41" s="218"/>
    </row>
    <row r="42" spans="2:12">
      <c r="B42" s="113" t="s">
        <v>169</v>
      </c>
      <c r="C42" s="212" t="str">
        <f>IF(Input!$D$20=0,"IP55",Input!$D$20)</f>
        <v>IP55</v>
      </c>
      <c r="D42" s="213"/>
      <c r="E42" s="221" t="str">
        <f>IF(Input!$D$20=0,"IP55",Input!$D$20)</f>
        <v>IP55</v>
      </c>
      <c r="F42" s="222"/>
      <c r="G42" s="212" t="str">
        <f>IF(Input!$D$20=0,"IP55",Input!$D$20)</f>
        <v>IP55</v>
      </c>
      <c r="H42" s="220"/>
      <c r="I42" s="212" t="str">
        <f>IF(Input!$D$20=0,"IP55",Input!$D$20)</f>
        <v>IP55</v>
      </c>
      <c r="J42" s="213"/>
      <c r="K42" s="212" t="s">
        <v>302</v>
      </c>
      <c r="L42" s="213"/>
    </row>
    <row r="43" spans="2:12">
      <c r="B43" s="139" t="s">
        <v>269</v>
      </c>
      <c r="C43" s="212" t="str">
        <f>IF(Input!$D$21=0,"NO",Input!$D$21)</f>
        <v>NO</v>
      </c>
      <c r="D43" s="213"/>
      <c r="E43" s="233" t="str">
        <f>IF(Input!$D$21=0,"NO",Input!$D$21)</f>
        <v>NO</v>
      </c>
      <c r="F43" s="234"/>
      <c r="G43" s="235" t="str">
        <f>IF(Input!$D$21=0,"NO",Input!$D$21)</f>
        <v>NO</v>
      </c>
      <c r="H43" s="236"/>
      <c r="I43" s="235" t="str">
        <f>IF(Input!$D$21=0,"NO",Input!$D$21)</f>
        <v>NO</v>
      </c>
      <c r="J43" s="234"/>
      <c r="K43" s="235" t="s">
        <v>293</v>
      </c>
      <c r="L43" s="234"/>
    </row>
    <row r="44" spans="2:12">
      <c r="B44" s="113" t="s">
        <v>168</v>
      </c>
      <c r="C44" s="212" t="str">
        <f>IF(Input!$D$22=0,"NO",Input!$D$22)</f>
        <v>YES</v>
      </c>
      <c r="D44" s="213"/>
      <c r="E44" s="214" t="str">
        <f>IF(Input!$D$22=0,"NO",Input!$D$22)</f>
        <v>YES</v>
      </c>
      <c r="F44" s="213"/>
      <c r="G44" s="212" t="str">
        <f>IF(Input!$D$22=0,"NO",Input!$D$22)</f>
        <v>YES</v>
      </c>
      <c r="H44" s="220"/>
      <c r="I44" s="212" t="str">
        <f>IF(Input!$D$22=0,"NO",Input!$D$22)</f>
        <v>YES</v>
      </c>
      <c r="J44" s="213"/>
      <c r="K44" s="214" t="s">
        <v>293</v>
      </c>
      <c r="L44" s="215"/>
    </row>
    <row r="45" spans="2:12" ht="16" thickBot="1">
      <c r="B45" s="140" t="s">
        <v>270</v>
      </c>
      <c r="C45" s="229" t="str">
        <f>IF(Input!$D$23=0,"NO",Input!$D$23)</f>
        <v>NO</v>
      </c>
      <c r="D45" s="230"/>
      <c r="E45" s="229" t="str">
        <f>IF(Input!$D$23=0,"NO",Input!$D$23)</f>
        <v>NO</v>
      </c>
      <c r="F45" s="230"/>
      <c r="G45" s="229" t="str">
        <f>IF(Input!$D$23=0,"NO",Input!$D$23)</f>
        <v>NO</v>
      </c>
      <c r="H45" s="231"/>
      <c r="I45" s="229" t="str">
        <f>IF(Input!$D$23=0,"NO",Input!$D$23)</f>
        <v>NO</v>
      </c>
      <c r="J45" s="230"/>
      <c r="K45" s="232" t="s">
        <v>293</v>
      </c>
      <c r="L45" s="230"/>
    </row>
    <row r="47" spans="2:12">
      <c r="C47" s="129"/>
    </row>
    <row r="48" spans="2:12">
      <c r="C48" s="129"/>
      <c r="D48"/>
    </row>
    <row r="49" spans="1:4">
      <c r="D49"/>
    </row>
    <row r="50" spans="1:4">
      <c r="D50"/>
    </row>
    <row r="51" spans="1:4">
      <c r="A51" s="118"/>
    </row>
    <row r="52" spans="1:4">
      <c r="A52" s="117"/>
      <c r="C52" s="129"/>
    </row>
    <row r="53" spans="1:4">
      <c r="A53" s="116"/>
    </row>
  </sheetData>
  <mergeCells count="202">
    <mergeCell ref="E17:F17"/>
    <mergeCell ref="G17:H17"/>
    <mergeCell ref="I17:J17"/>
    <mergeCell ref="K17:L17"/>
    <mergeCell ref="C43:D43"/>
    <mergeCell ref="E43:F43"/>
    <mergeCell ref="G43:H43"/>
    <mergeCell ref="I43:J43"/>
    <mergeCell ref="K43:L43"/>
    <mergeCell ref="G20:H20"/>
    <mergeCell ref="G21:H21"/>
    <mergeCell ref="G34:H34"/>
    <mergeCell ref="K30:L30"/>
    <mergeCell ref="C35:D35"/>
    <mergeCell ref="C40:D40"/>
    <mergeCell ref="C42:D42"/>
    <mergeCell ref="C29:D29"/>
    <mergeCell ref="C30:D30"/>
    <mergeCell ref="C31:D31"/>
    <mergeCell ref="C32:D32"/>
    <mergeCell ref="C33:D33"/>
    <mergeCell ref="C34:D34"/>
    <mergeCell ref="C23:D23"/>
    <mergeCell ref="C22:D22"/>
    <mergeCell ref="C45:D45"/>
    <mergeCell ref="E45:F45"/>
    <mergeCell ref="G45:H45"/>
    <mergeCell ref="I45:J45"/>
    <mergeCell ref="K45:L45"/>
    <mergeCell ref="C44:D44"/>
    <mergeCell ref="AF2:AG2"/>
    <mergeCell ref="AH2:AI2"/>
    <mergeCell ref="AJ2:AK2"/>
    <mergeCell ref="V3:W3"/>
    <mergeCell ref="T3:U3"/>
    <mergeCell ref="R3:S3"/>
    <mergeCell ref="P3:Q3"/>
    <mergeCell ref="AJ3:AK3"/>
    <mergeCell ref="AH3:AI3"/>
    <mergeCell ref="AF3:AG3"/>
    <mergeCell ref="AD3:AE3"/>
    <mergeCell ref="AB3:AC3"/>
    <mergeCell ref="Z3:AA3"/>
    <mergeCell ref="X3:Y3"/>
    <mergeCell ref="E39:F39"/>
    <mergeCell ref="G15:H15"/>
    <mergeCell ref="G16:H16"/>
    <mergeCell ref="G18:H18"/>
    <mergeCell ref="G12:H12"/>
    <mergeCell ref="G13:H13"/>
    <mergeCell ref="K10:L10"/>
    <mergeCell ref="K11:L11"/>
    <mergeCell ref="C14:D14"/>
    <mergeCell ref="C13:D13"/>
    <mergeCell ref="C12:D12"/>
    <mergeCell ref="C4:D4"/>
    <mergeCell ref="C8:D8"/>
    <mergeCell ref="C6:D6"/>
    <mergeCell ref="K14:L14"/>
    <mergeCell ref="AD2:AE2"/>
    <mergeCell ref="P2:Q2"/>
    <mergeCell ref="R2:S2"/>
    <mergeCell ref="T2:U2"/>
    <mergeCell ref="V2:W2"/>
    <mergeCell ref="X2:Y2"/>
    <mergeCell ref="Z2:AA2"/>
    <mergeCell ref="AB2:AC2"/>
    <mergeCell ref="C3:D3"/>
    <mergeCell ref="C36:D36"/>
    <mergeCell ref="C37:D37"/>
    <mergeCell ref="C39:D39"/>
    <mergeCell ref="C17:D17"/>
    <mergeCell ref="C1:D1"/>
    <mergeCell ref="E3:F3"/>
    <mergeCell ref="E4:F4"/>
    <mergeCell ref="E5:F5"/>
    <mergeCell ref="B2:L2"/>
    <mergeCell ref="E6:F6"/>
    <mergeCell ref="E8:F8"/>
    <mergeCell ref="E9:F9"/>
    <mergeCell ref="G1:H1"/>
    <mergeCell ref="G3:H3"/>
    <mergeCell ref="G4:H4"/>
    <mergeCell ref="G5:H5"/>
    <mergeCell ref="G6:H6"/>
    <mergeCell ref="C5:D5"/>
    <mergeCell ref="G8:H8"/>
    <mergeCell ref="G9:H9"/>
    <mergeCell ref="K9:L9"/>
    <mergeCell ref="C16:D16"/>
    <mergeCell ref="G10:H10"/>
    <mergeCell ref="G11:H11"/>
    <mergeCell ref="E40:F40"/>
    <mergeCell ref="E42:F42"/>
    <mergeCell ref="E44:F44"/>
    <mergeCell ref="E1:F1"/>
    <mergeCell ref="E21:F21"/>
    <mergeCell ref="E31:F31"/>
    <mergeCell ref="E13:F13"/>
    <mergeCell ref="E14:F14"/>
    <mergeCell ref="E15:F15"/>
    <mergeCell ref="E16:F16"/>
    <mergeCell ref="E18:F18"/>
    <mergeCell ref="E20:F20"/>
    <mergeCell ref="E32:F32"/>
    <mergeCell ref="E33:F33"/>
    <mergeCell ref="E10:F10"/>
    <mergeCell ref="E11:F11"/>
    <mergeCell ref="E12:F12"/>
    <mergeCell ref="B7:L7"/>
    <mergeCell ref="C11:D11"/>
    <mergeCell ref="C10:D10"/>
    <mergeCell ref="C9:D9"/>
    <mergeCell ref="C21:D21"/>
    <mergeCell ref="C20:D20"/>
    <mergeCell ref="C18:D18"/>
    <mergeCell ref="E29:F29"/>
    <mergeCell ref="E30:F30"/>
    <mergeCell ref="G14:H14"/>
    <mergeCell ref="E34:F34"/>
    <mergeCell ref="E35:F35"/>
    <mergeCell ref="I15:J15"/>
    <mergeCell ref="I33:J33"/>
    <mergeCell ref="I34:J34"/>
    <mergeCell ref="I16:J16"/>
    <mergeCell ref="I18:J18"/>
    <mergeCell ref="I20:J20"/>
    <mergeCell ref="I21:J21"/>
    <mergeCell ref="I22:J22"/>
    <mergeCell ref="I23:J23"/>
    <mergeCell ref="B19:L19"/>
    <mergeCell ref="G22:H22"/>
    <mergeCell ref="G23:H23"/>
    <mergeCell ref="G29:H29"/>
    <mergeCell ref="G30:H30"/>
    <mergeCell ref="G31:H31"/>
    <mergeCell ref="G33:H33"/>
    <mergeCell ref="B28:L28"/>
    <mergeCell ref="E22:F22"/>
    <mergeCell ref="E23:F23"/>
    <mergeCell ref="K31:L31"/>
    <mergeCell ref="K32:L32"/>
    <mergeCell ref="C15:D15"/>
    <mergeCell ref="K33:L33"/>
    <mergeCell ref="K34:L34"/>
    <mergeCell ref="G32:H32"/>
    <mergeCell ref="I5:J5"/>
    <mergeCell ref="I6:J6"/>
    <mergeCell ref="I8:J8"/>
    <mergeCell ref="I9:J9"/>
    <mergeCell ref="I10:J10"/>
    <mergeCell ref="I11:J11"/>
    <mergeCell ref="I12:J12"/>
    <mergeCell ref="I13:J13"/>
    <mergeCell ref="I14:J14"/>
    <mergeCell ref="I29:J29"/>
    <mergeCell ref="I30:J30"/>
    <mergeCell ref="I31:J31"/>
    <mergeCell ref="I32:J32"/>
    <mergeCell ref="K5:L5"/>
    <mergeCell ref="K6:L6"/>
    <mergeCell ref="K8:L8"/>
    <mergeCell ref="K12:L12"/>
    <mergeCell ref="K13:L13"/>
    <mergeCell ref="K16:L16"/>
    <mergeCell ref="K18:L18"/>
    <mergeCell ref="K20:L20"/>
    <mergeCell ref="K21:L21"/>
    <mergeCell ref="K22:L22"/>
    <mergeCell ref="K23:L23"/>
    <mergeCell ref="K29:L29"/>
    <mergeCell ref="I1:J1"/>
    <mergeCell ref="I3:J3"/>
    <mergeCell ref="I4:J4"/>
    <mergeCell ref="K1:L1"/>
    <mergeCell ref="K3:L3"/>
    <mergeCell ref="K4:L4"/>
    <mergeCell ref="K15:L15"/>
    <mergeCell ref="K42:L42"/>
    <mergeCell ref="K44:L44"/>
    <mergeCell ref="I44:J44"/>
    <mergeCell ref="I39:J39"/>
    <mergeCell ref="I40:J40"/>
    <mergeCell ref="I42:J42"/>
    <mergeCell ref="B41:L41"/>
    <mergeCell ref="I35:J35"/>
    <mergeCell ref="I36:J36"/>
    <mergeCell ref="I37:J37"/>
    <mergeCell ref="G42:H42"/>
    <mergeCell ref="G44:H44"/>
    <mergeCell ref="G36:H36"/>
    <mergeCell ref="G37:H37"/>
    <mergeCell ref="G39:H39"/>
    <mergeCell ref="G40:H40"/>
    <mergeCell ref="K35:L35"/>
    <mergeCell ref="K36:L36"/>
    <mergeCell ref="K37:L37"/>
    <mergeCell ref="K39:L39"/>
    <mergeCell ref="K40:L40"/>
    <mergeCell ref="E36:F36"/>
    <mergeCell ref="E37:F37"/>
    <mergeCell ref="G35:H35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8" id="{415738CE-F344-4623-8E68-77BC4C85AE36}">
            <xm:f>Input!$D$3="#05"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14" id="{8277EACC-DCC0-4114-891C-0C9FAC68C996}">
            <xm:f>Input!$D$3="#02"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3" id="{AAF354F0-0E69-46C6-ADD1-FF51675EFF7F}">
            <xm:f>Input!$D$3="#09"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4" id="{2B9E009E-D39D-4D47-985F-B18E4E4CFCC1}">
            <xm:f>Input!$D$3="#07"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5" id="{8113BF32-BC82-45D5-932B-678DDAA68A0D}">
            <xm:f>Input!$D$3="#08"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6" id="{963E1CE3-A4CC-4921-9E4F-214090CDA143}">
            <xm:f>Input!$D$3="#06"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7" id="{E078DF41-2F94-4F56-AE7D-38B4ED2E295F}">
            <xm:f>Input!$D$3="#04"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8" id="{01D725DA-3D83-4784-A806-B4DB28FAA675}">
            <xm:f>Input!$D$3="#03"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9" id="{82A922F0-A86E-4219-AA0C-66D1F71B61C0}">
            <xm:f>Input!$D$3="#01"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C3:D6 C8:D18 C20:D23 C24:C27 C29:D37 C39:D40 C42:D45</xm:sqref>
        </x14:conditionalFormatting>
        <x14:conditionalFormatting xmlns:xm="http://schemas.microsoft.com/office/excel/2006/main">
          <x14:cfRule type="expression" priority="25" id="{FBF2B4BC-48D5-4811-A90C-1F80A7708E67}">
            <xm:f>Input!$D$3="#12"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E3:F6 E8:F18 E20:F23 E24:E27 E29:F37 E39:F40 E42:F45</xm:sqref>
        </x14:conditionalFormatting>
        <x14:conditionalFormatting xmlns:xm="http://schemas.microsoft.com/office/excel/2006/main">
          <x14:cfRule type="expression" priority="11" id="{6A78F626-D3AA-486C-96EF-4CC72DF22DB0}">
            <xm:f>Input!$D$3="#03"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12" id="{CFD4A0FB-A327-4FF7-A4AA-4D7A764AA9B2}">
            <xm:f>Input!$D$3="#02"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10" id="{8DDC5E0C-E4A9-4B95-816F-8EBA8D3DD68D}">
            <xm:f>Input!$D$3="#04"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24" id="{AB6E60BE-F45E-46C0-9A3D-5C28BD9FA4BE}">
            <xm:f>Input!$D$3="#01"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21" id="{71C9020A-4635-44F9-8145-F092F9999B57}">
            <xm:f>Input!$D$3="#09"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G3:H6 G8:H18 G20:H23 G24:G27 G29:H37 G39:H40 G42:H45</xm:sqref>
        </x14:conditionalFormatting>
        <x14:conditionalFormatting xmlns:xm="http://schemas.microsoft.com/office/excel/2006/main">
          <x14:cfRule type="expression" priority="18" id="{C91C4D98-6B08-4353-96FA-CF0B43EFDE46}">
            <xm:f>Input!$D$3="#11"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2" id="{7FCC29DC-66B7-4D49-A7D7-D5A91CBE55C4}">
            <xm:f>Input!$D$3="#10"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I3:J6 I8:J18 I20:J23 I24:I27 I29:J37 I39:J40 I42:J45</xm:sqref>
        </x14:conditionalFormatting>
        <x14:conditionalFormatting xmlns:xm="http://schemas.microsoft.com/office/excel/2006/main">
          <x14:cfRule type="expression" priority="16" id="{049149A0-D322-4EEB-8DB3-0195AA849456}">
            <xm:f>Input!$D$3="#05"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1" id="{03901BC5-F347-4BA4-B20C-1D22AAA107FF}">
            <xm:f>Input!$D$3="#07"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K3:L6 K8:L18 K20:L23 K24:K27 K29:L37 K39:L40 K42:L45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6A14C-A1A5-4748-BD84-E85F0AA93FF1}">
  <sheetPr>
    <tabColor rgb="FF00B0F0"/>
  </sheetPr>
  <dimension ref="A1:AF98"/>
  <sheetViews>
    <sheetView topLeftCell="A43" zoomScaleNormal="100" workbookViewId="0">
      <selection activeCell="F64" sqref="F64"/>
    </sheetView>
  </sheetViews>
  <sheetFormatPr baseColWidth="10" defaultColWidth="8.83203125" defaultRowHeight="15"/>
  <cols>
    <col min="1" max="1" width="20.33203125" bestFit="1" customWidth="1"/>
    <col min="4" max="4" width="17.5" customWidth="1"/>
    <col min="13" max="13" width="12.33203125" customWidth="1"/>
    <col min="14" max="14" width="11.5" bestFit="1" customWidth="1"/>
    <col min="15" max="15" width="9.1640625" customWidth="1"/>
    <col min="17" max="19" width="9.1640625" customWidth="1"/>
    <col min="20" max="20" width="11.5" customWidth="1"/>
    <col min="21" max="21" width="9.1640625" customWidth="1"/>
    <col min="22" max="22" width="14.33203125" customWidth="1"/>
    <col min="23" max="23" width="21.5" customWidth="1"/>
    <col min="24" max="24" width="12" customWidth="1"/>
    <col min="26" max="26" width="11.5" bestFit="1" customWidth="1"/>
    <col min="29" max="29" width="20.33203125" bestFit="1" customWidth="1"/>
  </cols>
  <sheetData>
    <row r="1" spans="1:28" ht="20" thickBot="1">
      <c r="A1" s="241"/>
      <c r="B1" s="241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6" thickBot="1">
      <c r="A2" s="18" t="s">
        <v>280</v>
      </c>
      <c r="B2" s="239">
        <f>IF(Input!$D$13="Gentle",1.2,IF(Input!$D$13="Vigorous", 0.8,1))</f>
        <v>0.8</v>
      </c>
      <c r="C2" s="240"/>
      <c r="D2" s="239">
        <f>IF(Input!$D$13="Gentle",1.2,IF(Input!$D$13="Vigorous", 0.8,1))</f>
        <v>0.8</v>
      </c>
      <c r="E2" s="240"/>
      <c r="F2" s="239">
        <f>IF(Input!$D$13="Gentle",1.2,IF(Input!$D$13="Vigorous", 0.8,1))</f>
        <v>0.8</v>
      </c>
      <c r="G2" s="240"/>
      <c r="H2" s="239">
        <f>IF(Input!$D$13="Gentle",1.2,IF(Input!$D$13="Vigorous", 0.8,1))</f>
        <v>0.8</v>
      </c>
      <c r="I2" s="240"/>
      <c r="J2" s="239">
        <f>IF(Input!$D$13="Gentle",1.2,IF(Input!$D$13="Vigorous", 0.8,1))</f>
        <v>0.8</v>
      </c>
      <c r="K2" s="240"/>
      <c r="L2" s="239">
        <f>IF(Input!$D$13="Gentle",1.2,IF(Input!$D$13="Vigorous", 0.8,1))</f>
        <v>0.8</v>
      </c>
      <c r="M2" s="240"/>
      <c r="N2" s="239">
        <f>IF(Input!$D$13="Gentle",1.2,IF(Input!$D$13="Vigorous", 0.8,1))</f>
        <v>0.8</v>
      </c>
      <c r="O2" s="240"/>
      <c r="P2" s="239">
        <f>IF(Input!$D$13="Gentle",1.2,IF(Input!$D$13="Vigorous", 0.8,1))</f>
        <v>0.8</v>
      </c>
      <c r="Q2" s="240"/>
      <c r="R2" s="239">
        <f>IF(Input!$D$13="Gentle",1.2,IF(Input!$D$13="Vigorous", 0.8,1))</f>
        <v>0.8</v>
      </c>
      <c r="S2" s="240"/>
      <c r="T2" s="239">
        <f>IF(Input!$D$13="Gentle",1.2,IF(Input!$D$13="Vigorous", 0.8,1))</f>
        <v>0.8</v>
      </c>
      <c r="U2" s="240"/>
      <c r="V2" s="239">
        <f>IF(Input!$D$13="Gentle",1.2,IF(Input!$D$13="Vigorous", 0.8,1))</f>
        <v>0.8</v>
      </c>
      <c r="W2" s="240"/>
      <c r="X2" s="17"/>
      <c r="Y2" s="17"/>
      <c r="Z2" s="17"/>
      <c r="AA2" s="17"/>
      <c r="AB2" s="17"/>
    </row>
    <row r="3" spans="1:28" ht="16" thickBot="1">
      <c r="A3" s="18" t="s">
        <v>17</v>
      </c>
      <c r="B3" s="18">
        <v>10</v>
      </c>
      <c r="C3" s="19"/>
      <c r="D3" s="18">
        <v>50</v>
      </c>
      <c r="E3" s="19"/>
      <c r="F3" s="18">
        <v>250</v>
      </c>
      <c r="G3" s="19"/>
      <c r="H3" s="18">
        <v>850</v>
      </c>
      <c r="I3" s="19"/>
      <c r="J3" s="18">
        <v>1200</v>
      </c>
      <c r="K3" s="19"/>
      <c r="L3" s="18">
        <v>2000</v>
      </c>
      <c r="M3" s="19"/>
      <c r="N3" s="18">
        <v>5000</v>
      </c>
      <c r="O3" s="19"/>
      <c r="P3" s="18">
        <v>10000</v>
      </c>
      <c r="Q3" s="19"/>
      <c r="R3" s="18">
        <v>20000</v>
      </c>
      <c r="S3" s="19"/>
      <c r="T3" s="18">
        <v>20000</v>
      </c>
      <c r="U3" s="19"/>
      <c r="V3" s="18">
        <v>20000</v>
      </c>
      <c r="W3" s="19"/>
      <c r="X3" s="17"/>
      <c r="Y3" s="17"/>
      <c r="Z3" s="17"/>
      <c r="AA3" s="17"/>
      <c r="AB3" s="17"/>
    </row>
    <row r="4" spans="1:28" ht="16" thickBot="1">
      <c r="A4" s="17"/>
      <c r="B4" s="18" t="s">
        <v>13</v>
      </c>
      <c r="C4" s="19" t="s">
        <v>3</v>
      </c>
      <c r="D4" s="18" t="s">
        <v>13</v>
      </c>
      <c r="E4" s="19" t="s">
        <v>3</v>
      </c>
      <c r="F4" s="18" t="s">
        <v>13</v>
      </c>
      <c r="G4" s="19" t="s">
        <v>3</v>
      </c>
      <c r="H4" s="18" t="s">
        <v>13</v>
      </c>
      <c r="I4" s="19" t="s">
        <v>3</v>
      </c>
      <c r="J4" s="18" t="s">
        <v>13</v>
      </c>
      <c r="K4" s="19" t="s">
        <v>3</v>
      </c>
      <c r="L4" s="18" t="s">
        <v>13</v>
      </c>
      <c r="M4" s="19" t="s">
        <v>3</v>
      </c>
      <c r="N4" s="18" t="s">
        <v>13</v>
      </c>
      <c r="O4" s="19" t="s">
        <v>3</v>
      </c>
      <c r="P4" s="18" t="s">
        <v>13</v>
      </c>
      <c r="Q4" s="19" t="s">
        <v>3</v>
      </c>
      <c r="R4" s="18" t="s">
        <v>13</v>
      </c>
      <c r="S4" s="19" t="s">
        <v>3</v>
      </c>
      <c r="T4" s="18" t="s">
        <v>13</v>
      </c>
      <c r="U4" s="19" t="s">
        <v>3</v>
      </c>
      <c r="V4" s="18" t="s">
        <v>13</v>
      </c>
      <c r="W4" s="19" t="s">
        <v>3</v>
      </c>
      <c r="X4" s="17"/>
      <c r="Y4" s="17"/>
      <c r="Z4" s="17"/>
      <c r="AA4" s="17"/>
      <c r="AB4" s="17"/>
    </row>
    <row r="5" spans="1:28" ht="16" thickBot="1">
      <c r="A5" s="17"/>
      <c r="B5" s="18" t="s">
        <v>18</v>
      </c>
      <c r="C5" s="19" t="s">
        <v>18</v>
      </c>
      <c r="D5" s="18" t="s">
        <v>19</v>
      </c>
      <c r="E5" s="19" t="s">
        <v>19</v>
      </c>
      <c r="F5" s="18" t="s">
        <v>20</v>
      </c>
      <c r="G5" s="19" t="s">
        <v>20</v>
      </c>
      <c r="H5" s="18" t="s">
        <v>21</v>
      </c>
      <c r="I5" s="19" t="s">
        <v>21</v>
      </c>
      <c r="J5" s="18" t="s">
        <v>22</v>
      </c>
      <c r="K5" s="19" t="s">
        <v>22</v>
      </c>
      <c r="L5" s="18" t="s">
        <v>23</v>
      </c>
      <c r="M5" s="19" t="s">
        <v>23</v>
      </c>
      <c r="N5" s="18" t="s">
        <v>24</v>
      </c>
      <c r="O5" s="19" t="s">
        <v>24</v>
      </c>
      <c r="P5" s="18" t="s">
        <v>25</v>
      </c>
      <c r="Q5" s="19" t="s">
        <v>25</v>
      </c>
      <c r="R5" s="18" t="s">
        <v>26</v>
      </c>
      <c r="S5" s="19" t="s">
        <v>26</v>
      </c>
      <c r="T5" s="18" t="str">
        <f>IF($T$7=0,"","ZG11")</f>
        <v/>
      </c>
      <c r="U5" s="92" t="str">
        <f>IF($T$7=0,"","ZG11")</f>
        <v/>
      </c>
      <c r="V5" s="18" t="str">
        <f>IF($V$7=0,"","ZG12")</f>
        <v/>
      </c>
      <c r="W5" s="19" t="str">
        <f>IF($V$7=0,"","ZG12")</f>
        <v/>
      </c>
      <c r="X5" s="17"/>
      <c r="Y5" s="17"/>
      <c r="Z5" s="17"/>
      <c r="AA5" s="17"/>
      <c r="AB5" s="17"/>
    </row>
    <row r="6" spans="1:28">
      <c r="A6" s="17"/>
      <c r="B6" s="20">
        <f>($B$2)*10</f>
        <v>8</v>
      </c>
      <c r="C6" s="21">
        <v>1</v>
      </c>
      <c r="D6" s="20">
        <f>(D$2)*50</f>
        <v>40</v>
      </c>
      <c r="E6" s="21">
        <v>1</v>
      </c>
      <c r="F6" s="20">
        <f>(F$2)*250</f>
        <v>200</v>
      </c>
      <c r="G6" s="21">
        <v>1</v>
      </c>
      <c r="H6" s="20">
        <f>(H$2)*850</f>
        <v>680</v>
      </c>
      <c r="I6" s="21">
        <v>1</v>
      </c>
      <c r="J6" s="20">
        <f>(J$2)*1200</f>
        <v>960</v>
      </c>
      <c r="K6" s="21">
        <v>1</v>
      </c>
      <c r="L6" s="20">
        <f>(L$2)*2000</f>
        <v>1600</v>
      </c>
      <c r="M6" s="21">
        <v>1</v>
      </c>
      <c r="N6" s="20">
        <f>(N$2)*5000</f>
        <v>4000</v>
      </c>
      <c r="O6" s="21">
        <v>1</v>
      </c>
      <c r="P6" s="20">
        <f>(P$2)*10000</f>
        <v>8000</v>
      </c>
      <c r="Q6" s="21">
        <v>1</v>
      </c>
      <c r="R6" s="20">
        <f>(R$2)*20000</f>
        <v>16000</v>
      </c>
      <c r="S6" s="21">
        <v>1</v>
      </c>
      <c r="T6" s="48">
        <v>30000</v>
      </c>
      <c r="U6" s="49">
        <v>1</v>
      </c>
      <c r="V6" s="48">
        <v>50000</v>
      </c>
      <c r="W6" s="49">
        <v>1</v>
      </c>
      <c r="X6" s="17"/>
      <c r="Y6" s="17"/>
      <c r="Z6" s="17"/>
      <c r="AA6" s="17"/>
      <c r="AB6" s="17"/>
    </row>
    <row r="7" spans="1:28">
      <c r="A7" s="17"/>
      <c r="B7" s="22">
        <f>($B$2)*9.1</f>
        <v>7.28</v>
      </c>
      <c r="C7" s="23">
        <v>5</v>
      </c>
      <c r="D7" s="22">
        <f>(D$2)*45.5</f>
        <v>36.4</v>
      </c>
      <c r="E7" s="23">
        <v>5</v>
      </c>
      <c r="F7" s="22">
        <f>(F$2)*227.5</f>
        <v>182</v>
      </c>
      <c r="G7" s="23">
        <v>5</v>
      </c>
      <c r="H7" s="22">
        <f>(H$2)*773.5</f>
        <v>618.80000000000007</v>
      </c>
      <c r="I7" s="23">
        <v>5</v>
      </c>
      <c r="J7" s="22">
        <f>(J$2)*1092</f>
        <v>873.6</v>
      </c>
      <c r="K7" s="23">
        <v>5</v>
      </c>
      <c r="L7" s="22">
        <f>(L$2)*1820</f>
        <v>1456</v>
      </c>
      <c r="M7" s="23">
        <v>5</v>
      </c>
      <c r="N7" s="22">
        <f>(N$2)*4550</f>
        <v>3640</v>
      </c>
      <c r="O7" s="23">
        <v>5</v>
      </c>
      <c r="P7" s="22">
        <f>(P$2)*9100</f>
        <v>7280</v>
      </c>
      <c r="Q7" s="23">
        <v>5</v>
      </c>
      <c r="R7" s="22">
        <f>(R$2)*18200</f>
        <v>14560</v>
      </c>
      <c r="S7" s="23">
        <v>5</v>
      </c>
      <c r="T7" s="50"/>
      <c r="U7" s="85"/>
      <c r="V7" s="50"/>
      <c r="W7" s="85"/>
      <c r="X7" s="17"/>
      <c r="Y7" s="17"/>
      <c r="Z7" s="17"/>
      <c r="AA7" s="17"/>
      <c r="AB7" s="17"/>
    </row>
    <row r="8" spans="1:28">
      <c r="A8" s="17"/>
      <c r="B8" s="22">
        <f>($B$2)*8.3</f>
        <v>6.6400000000000006</v>
      </c>
      <c r="C8" s="23">
        <v>10</v>
      </c>
      <c r="D8" s="22">
        <f>(D$2)*41.5</f>
        <v>33.200000000000003</v>
      </c>
      <c r="E8" s="23">
        <v>10</v>
      </c>
      <c r="F8" s="22">
        <f>(F$2)*207.5</f>
        <v>166</v>
      </c>
      <c r="G8" s="23">
        <v>10</v>
      </c>
      <c r="H8" s="22">
        <f>(H$2)*705.5</f>
        <v>564.4</v>
      </c>
      <c r="I8" s="23">
        <v>10</v>
      </c>
      <c r="J8" s="22">
        <f>(J$2)*996</f>
        <v>796.80000000000007</v>
      </c>
      <c r="K8" s="23">
        <v>10</v>
      </c>
      <c r="L8" s="22">
        <f>(L$2)*1660</f>
        <v>1328</v>
      </c>
      <c r="M8" s="23">
        <v>10</v>
      </c>
      <c r="N8" s="22">
        <f>(N$2)*4150</f>
        <v>3320</v>
      </c>
      <c r="O8" s="23">
        <v>10</v>
      </c>
      <c r="P8" s="22">
        <f>(P$2)*8300</f>
        <v>6640</v>
      </c>
      <c r="Q8" s="23">
        <v>10</v>
      </c>
      <c r="R8" s="22">
        <f>(R$2)*16600</f>
        <v>13280</v>
      </c>
      <c r="S8" s="23">
        <v>10</v>
      </c>
      <c r="T8" s="50"/>
      <c r="U8" s="85"/>
      <c r="V8" s="50"/>
      <c r="W8" s="85"/>
      <c r="X8" s="17"/>
      <c r="Y8" s="17"/>
      <c r="Z8" s="17"/>
      <c r="AA8" s="17"/>
      <c r="AB8" s="17"/>
    </row>
    <row r="9" spans="1:28">
      <c r="A9" s="17"/>
      <c r="B9" s="22">
        <f>($B$2)*7.7</f>
        <v>6.16</v>
      </c>
      <c r="C9" s="23">
        <v>15</v>
      </c>
      <c r="D9" s="22">
        <f>(D$2)*38.5</f>
        <v>30.8</v>
      </c>
      <c r="E9" s="23">
        <v>15</v>
      </c>
      <c r="F9" s="22">
        <f>(F$2)*192.5</f>
        <v>154</v>
      </c>
      <c r="G9" s="23">
        <v>15</v>
      </c>
      <c r="H9" s="22">
        <f>(H$2)*654.5</f>
        <v>523.6</v>
      </c>
      <c r="I9" s="23">
        <v>15</v>
      </c>
      <c r="J9" s="22">
        <f>(J$2)*924</f>
        <v>739.2</v>
      </c>
      <c r="K9" s="23">
        <v>15</v>
      </c>
      <c r="L9" s="22">
        <f>(L$2)*1540</f>
        <v>1232</v>
      </c>
      <c r="M9" s="23">
        <v>15</v>
      </c>
      <c r="N9" s="22">
        <f>(N$2)*3850</f>
        <v>3080</v>
      </c>
      <c r="O9" s="23">
        <v>15</v>
      </c>
      <c r="P9" s="22">
        <f>(P$2)*7700</f>
        <v>6160</v>
      </c>
      <c r="Q9" s="23">
        <v>15</v>
      </c>
      <c r="R9" s="22">
        <f>(R$2)*15400</f>
        <v>12320</v>
      </c>
      <c r="S9" s="23">
        <v>15</v>
      </c>
      <c r="T9" s="50"/>
      <c r="U9" s="85"/>
      <c r="V9" s="50"/>
      <c r="W9" s="85"/>
      <c r="X9" s="17"/>
      <c r="Y9" s="17"/>
      <c r="Z9" s="17"/>
      <c r="AA9" s="17"/>
      <c r="AB9" s="17"/>
    </row>
    <row r="10" spans="1:28">
      <c r="A10" s="17"/>
      <c r="B10" s="22">
        <f>($B$2)*7.2</f>
        <v>5.7600000000000007</v>
      </c>
      <c r="C10" s="23">
        <v>20</v>
      </c>
      <c r="D10" s="22">
        <f>(D$2)*36</f>
        <v>28.8</v>
      </c>
      <c r="E10" s="23">
        <v>20</v>
      </c>
      <c r="F10" s="22">
        <f>(F$2)*180</f>
        <v>144</v>
      </c>
      <c r="G10" s="23">
        <v>20</v>
      </c>
      <c r="H10" s="22">
        <f>(H$2)*612</f>
        <v>489.6</v>
      </c>
      <c r="I10" s="23">
        <v>20</v>
      </c>
      <c r="J10" s="22">
        <f>(J$2)*864</f>
        <v>691.2</v>
      </c>
      <c r="K10" s="23">
        <v>20</v>
      </c>
      <c r="L10" s="22">
        <f>(L$2)*1440</f>
        <v>1152</v>
      </c>
      <c r="M10" s="23">
        <v>20</v>
      </c>
      <c r="N10" s="22">
        <f>(N$2)*3600</f>
        <v>2880</v>
      </c>
      <c r="O10" s="23">
        <v>20</v>
      </c>
      <c r="P10" s="22">
        <f>(P$2)*7200</f>
        <v>5760</v>
      </c>
      <c r="Q10" s="23">
        <v>20</v>
      </c>
      <c r="R10" s="22">
        <f>(R$2)*14400</f>
        <v>11520</v>
      </c>
      <c r="S10" s="23">
        <v>20</v>
      </c>
      <c r="T10" s="50"/>
      <c r="U10" s="85"/>
      <c r="V10" s="50"/>
      <c r="W10" s="85"/>
      <c r="X10" s="17"/>
      <c r="Y10" s="17"/>
      <c r="Z10" s="17"/>
      <c r="AA10" s="17"/>
      <c r="AB10" s="17"/>
    </row>
    <row r="11" spans="1:28">
      <c r="A11" s="17"/>
      <c r="B11" s="22">
        <f>($B$2)*6.8</f>
        <v>5.44</v>
      </c>
      <c r="C11" s="23">
        <v>25</v>
      </c>
      <c r="D11" s="22">
        <f>(D$2)*34</f>
        <v>27.200000000000003</v>
      </c>
      <c r="E11" s="23">
        <v>25</v>
      </c>
      <c r="F11" s="22">
        <f>(F$2)*170</f>
        <v>136</v>
      </c>
      <c r="G11" s="23">
        <v>25</v>
      </c>
      <c r="H11" s="22">
        <f>(H$2)*578</f>
        <v>462.40000000000003</v>
      </c>
      <c r="I11" s="23">
        <v>25</v>
      </c>
      <c r="J11" s="22">
        <f>(J$2)*816</f>
        <v>652.80000000000007</v>
      </c>
      <c r="K11" s="23">
        <v>25</v>
      </c>
      <c r="L11" s="22">
        <f>(L$2)*1360</f>
        <v>1088</v>
      </c>
      <c r="M11" s="23">
        <v>25</v>
      </c>
      <c r="N11" s="22">
        <f>(N$2)*3400</f>
        <v>2720</v>
      </c>
      <c r="O11" s="23">
        <v>25</v>
      </c>
      <c r="P11" s="22">
        <f>(P$2)*6800</f>
        <v>5440</v>
      </c>
      <c r="Q11" s="23">
        <v>25</v>
      </c>
      <c r="R11" s="22">
        <f>(R$2)*13600</f>
        <v>10880</v>
      </c>
      <c r="S11" s="23">
        <v>25</v>
      </c>
      <c r="T11" s="50"/>
      <c r="U11" s="85"/>
      <c r="V11" s="50"/>
      <c r="W11" s="85"/>
      <c r="X11" s="17"/>
      <c r="Y11" s="17"/>
      <c r="Z11" s="17"/>
      <c r="AA11" s="17"/>
      <c r="AB11" s="17"/>
    </row>
    <row r="12" spans="1:28">
      <c r="A12" s="17"/>
      <c r="B12" s="22">
        <f>($B$2)*6.55</f>
        <v>5.24</v>
      </c>
      <c r="C12" s="23">
        <v>30</v>
      </c>
      <c r="D12" s="22">
        <f>(D$2)*32.75</f>
        <v>26.200000000000003</v>
      </c>
      <c r="E12" s="23">
        <v>30</v>
      </c>
      <c r="F12" s="22">
        <f>(F$2)*163.75</f>
        <v>131</v>
      </c>
      <c r="G12" s="23">
        <v>30</v>
      </c>
      <c r="H12" s="22">
        <f>(H$2)*556.75</f>
        <v>445.40000000000003</v>
      </c>
      <c r="I12" s="23">
        <v>30</v>
      </c>
      <c r="J12" s="22">
        <f>(J$2)*786</f>
        <v>628.80000000000007</v>
      </c>
      <c r="K12" s="23">
        <v>30</v>
      </c>
      <c r="L12" s="22">
        <f>(L$2)*1310</f>
        <v>1048</v>
      </c>
      <c r="M12" s="23">
        <v>30</v>
      </c>
      <c r="N12" s="22">
        <f>(N$2)*3275</f>
        <v>2620</v>
      </c>
      <c r="O12" s="23">
        <v>30</v>
      </c>
      <c r="P12" s="22">
        <f>(P$2)*6550</f>
        <v>5240</v>
      </c>
      <c r="Q12" s="23">
        <v>30</v>
      </c>
      <c r="R12" s="22">
        <f>(R$2)*13100</f>
        <v>10480</v>
      </c>
      <c r="S12" s="23">
        <v>30</v>
      </c>
      <c r="T12" s="50"/>
      <c r="U12" s="85"/>
      <c r="V12" s="50"/>
      <c r="W12" s="85"/>
      <c r="X12" s="17"/>
      <c r="Y12" s="17"/>
      <c r="Z12" s="17"/>
      <c r="AA12" s="17"/>
      <c r="AB12" s="17"/>
    </row>
    <row r="13" spans="1:28">
      <c r="A13" s="17"/>
      <c r="B13" s="22">
        <f>($B$2)*6.3</f>
        <v>5.04</v>
      </c>
      <c r="C13" s="23">
        <v>35</v>
      </c>
      <c r="D13" s="22">
        <f>(D$2)*31.5</f>
        <v>25.200000000000003</v>
      </c>
      <c r="E13" s="23">
        <v>35</v>
      </c>
      <c r="F13" s="22">
        <f>(F$2)*157.5</f>
        <v>126</v>
      </c>
      <c r="G13" s="23">
        <v>35</v>
      </c>
      <c r="H13" s="22">
        <f>(H$2)*535.5</f>
        <v>428.40000000000003</v>
      </c>
      <c r="I13" s="23">
        <v>35</v>
      </c>
      <c r="J13" s="22">
        <f>(J$2)*756</f>
        <v>604.80000000000007</v>
      </c>
      <c r="K13" s="23">
        <v>35</v>
      </c>
      <c r="L13" s="22">
        <f>(L$2)*1260</f>
        <v>1008</v>
      </c>
      <c r="M13" s="23">
        <v>35</v>
      </c>
      <c r="N13" s="22">
        <f>(N$2)*3150</f>
        <v>2520</v>
      </c>
      <c r="O13" s="23">
        <v>35</v>
      </c>
      <c r="P13" s="22">
        <f>(P$2)*6300</f>
        <v>5040</v>
      </c>
      <c r="Q13" s="23">
        <v>35</v>
      </c>
      <c r="R13" s="22">
        <f>(R$2)*12600</f>
        <v>10080</v>
      </c>
      <c r="S13" s="23">
        <v>35</v>
      </c>
      <c r="T13" s="50"/>
      <c r="U13" s="85"/>
      <c r="V13" s="50"/>
      <c r="W13" s="85"/>
      <c r="X13" s="17"/>
      <c r="Y13" s="17"/>
      <c r="Z13" s="17"/>
      <c r="AA13" s="17"/>
      <c r="AB13" s="17"/>
    </row>
    <row r="14" spans="1:28">
      <c r="A14" s="17"/>
      <c r="B14" s="22">
        <f>($B$2)*6.15</f>
        <v>4.9200000000000008</v>
      </c>
      <c r="C14" s="23">
        <v>40</v>
      </c>
      <c r="D14" s="22">
        <f>(D$2)*30.75</f>
        <v>24.6</v>
      </c>
      <c r="E14" s="23">
        <v>40</v>
      </c>
      <c r="F14" s="22">
        <f>(F$2)*153.75</f>
        <v>123</v>
      </c>
      <c r="G14" s="23">
        <v>40</v>
      </c>
      <c r="H14" s="22">
        <f>(H$2)*522.75</f>
        <v>418.20000000000005</v>
      </c>
      <c r="I14" s="23">
        <v>40</v>
      </c>
      <c r="J14" s="22">
        <f>(J$2)*738</f>
        <v>590.4</v>
      </c>
      <c r="K14" s="23">
        <v>40</v>
      </c>
      <c r="L14" s="22">
        <f>(L$2)*1230</f>
        <v>984</v>
      </c>
      <c r="M14" s="23">
        <v>40</v>
      </c>
      <c r="N14" s="22">
        <f>(N$2)*3075</f>
        <v>2460</v>
      </c>
      <c r="O14" s="23">
        <v>40</v>
      </c>
      <c r="P14" s="22">
        <f>(P$2)*6150</f>
        <v>4920</v>
      </c>
      <c r="Q14" s="23">
        <v>40</v>
      </c>
      <c r="R14" s="22">
        <f>(R$2)*12300</f>
        <v>9840</v>
      </c>
      <c r="S14" s="23">
        <v>40</v>
      </c>
      <c r="T14" s="50"/>
      <c r="U14" s="85"/>
      <c r="V14" s="50"/>
      <c r="W14" s="85"/>
      <c r="X14" s="17"/>
      <c r="Y14" s="17"/>
      <c r="Z14" s="17"/>
      <c r="AA14" s="17"/>
      <c r="AB14" s="17"/>
    </row>
    <row r="15" spans="1:28">
      <c r="A15" s="17"/>
      <c r="B15" s="22">
        <f>($B$2)*6</f>
        <v>4.8000000000000007</v>
      </c>
      <c r="C15" s="23">
        <v>45</v>
      </c>
      <c r="D15" s="22">
        <f>(D$2)*30</f>
        <v>24</v>
      </c>
      <c r="E15" s="23">
        <v>45</v>
      </c>
      <c r="F15" s="22">
        <f>(F$2)*150</f>
        <v>120</v>
      </c>
      <c r="G15" s="23">
        <v>45</v>
      </c>
      <c r="H15" s="22">
        <f>(H$2)*510</f>
        <v>408</v>
      </c>
      <c r="I15" s="23">
        <v>45</v>
      </c>
      <c r="J15" s="22">
        <f>(J$2)*720</f>
        <v>576</v>
      </c>
      <c r="K15" s="23">
        <v>45</v>
      </c>
      <c r="L15" s="22">
        <f>(L$2)*1200</f>
        <v>960</v>
      </c>
      <c r="M15" s="23">
        <v>45</v>
      </c>
      <c r="N15" s="22">
        <f>(N$2)*3000</f>
        <v>2400</v>
      </c>
      <c r="O15" s="23">
        <v>45</v>
      </c>
      <c r="P15" s="22">
        <f>(P$2)*6000</f>
        <v>4800</v>
      </c>
      <c r="Q15" s="23">
        <v>45</v>
      </c>
      <c r="R15" s="22">
        <f>(R$2)*12000</f>
        <v>9600</v>
      </c>
      <c r="S15" s="23">
        <v>45</v>
      </c>
      <c r="T15" s="50"/>
      <c r="U15" s="85"/>
      <c r="V15" s="50"/>
      <c r="W15" s="85"/>
      <c r="X15" s="17"/>
      <c r="Y15" s="17"/>
      <c r="Z15" s="17"/>
      <c r="AA15" s="17"/>
      <c r="AB15" s="17"/>
    </row>
    <row r="16" spans="1:28">
      <c r="A16" s="17"/>
      <c r="B16" s="22">
        <f>($B$2)*5.86</f>
        <v>4.6880000000000006</v>
      </c>
      <c r="C16" s="23">
        <v>50</v>
      </c>
      <c r="D16" s="22">
        <f>(D$2)*29.3</f>
        <v>23.44</v>
      </c>
      <c r="E16" s="23">
        <v>50</v>
      </c>
      <c r="F16" s="22">
        <f>(F$2)*146.5</f>
        <v>117.2</v>
      </c>
      <c r="G16" s="23">
        <v>50</v>
      </c>
      <c r="H16" s="22">
        <f>(H$2)*498.1</f>
        <v>398.48</v>
      </c>
      <c r="I16" s="23">
        <v>50</v>
      </c>
      <c r="J16" s="22">
        <f>(J$2)*703.2</f>
        <v>562.56000000000006</v>
      </c>
      <c r="K16" s="23">
        <v>50</v>
      </c>
      <c r="L16" s="22">
        <f>(L$2)*1172</f>
        <v>937.6</v>
      </c>
      <c r="M16" s="23">
        <v>50</v>
      </c>
      <c r="N16" s="22">
        <f>(N$2)*2930</f>
        <v>2344</v>
      </c>
      <c r="O16" s="23">
        <v>50</v>
      </c>
      <c r="P16" s="22">
        <f>(P$2)*5860</f>
        <v>4688</v>
      </c>
      <c r="Q16" s="23">
        <v>50</v>
      </c>
      <c r="R16" s="22">
        <f>(R$2)*11720</f>
        <v>9376</v>
      </c>
      <c r="S16" s="23">
        <v>50</v>
      </c>
      <c r="T16" s="50"/>
      <c r="U16" s="85"/>
      <c r="V16" s="50"/>
      <c r="W16" s="85"/>
      <c r="X16" s="17"/>
      <c r="Y16" s="17"/>
      <c r="Z16" s="17"/>
      <c r="AA16" s="17"/>
      <c r="AB16" s="17"/>
    </row>
    <row r="17" spans="1:28">
      <c r="A17" s="17"/>
      <c r="B17" s="22">
        <f>($B$2)*5.7</f>
        <v>4.5600000000000005</v>
      </c>
      <c r="C17" s="23">
        <v>55</v>
      </c>
      <c r="D17" s="22">
        <f>(D$2)*28.5</f>
        <v>22.8</v>
      </c>
      <c r="E17" s="23">
        <v>55</v>
      </c>
      <c r="F17" s="22">
        <f>(F$2)*142.5</f>
        <v>114</v>
      </c>
      <c r="G17" s="23">
        <v>55</v>
      </c>
      <c r="H17" s="22">
        <f>(H$2)*484.5</f>
        <v>387.6</v>
      </c>
      <c r="I17" s="23">
        <v>55</v>
      </c>
      <c r="J17" s="22">
        <f>(J$2)*684</f>
        <v>547.20000000000005</v>
      </c>
      <c r="K17" s="23">
        <v>55</v>
      </c>
      <c r="L17" s="22">
        <f>(L$2)*1140</f>
        <v>912</v>
      </c>
      <c r="M17" s="23">
        <v>55</v>
      </c>
      <c r="N17" s="22">
        <f>(N$2)*2850</f>
        <v>2280</v>
      </c>
      <c r="O17" s="23">
        <v>55</v>
      </c>
      <c r="P17" s="22">
        <f>(P$2)*5700</f>
        <v>4560</v>
      </c>
      <c r="Q17" s="23">
        <v>55</v>
      </c>
      <c r="R17" s="22">
        <f>(R$2)*11400</f>
        <v>9120</v>
      </c>
      <c r="S17" s="23">
        <v>55</v>
      </c>
      <c r="T17" s="50"/>
      <c r="U17" s="85"/>
      <c r="V17" s="50"/>
      <c r="W17" s="85"/>
      <c r="X17" s="17"/>
      <c r="Y17" s="17"/>
      <c r="Z17" s="17"/>
      <c r="AA17" s="17"/>
      <c r="AB17" s="17"/>
    </row>
    <row r="18" spans="1:28">
      <c r="A18" s="17"/>
      <c r="B18" s="22">
        <f>($B$2)*5.6</f>
        <v>4.4799999999999995</v>
      </c>
      <c r="C18" s="23">
        <v>60</v>
      </c>
      <c r="D18" s="22">
        <f>(D$2)*28</f>
        <v>22.400000000000002</v>
      </c>
      <c r="E18" s="23">
        <v>60</v>
      </c>
      <c r="F18" s="22">
        <f>(F$2)*140</f>
        <v>112</v>
      </c>
      <c r="G18" s="23">
        <v>60</v>
      </c>
      <c r="H18" s="22">
        <f>(H$2)*476</f>
        <v>380.8</v>
      </c>
      <c r="I18" s="23">
        <v>60</v>
      </c>
      <c r="J18" s="22">
        <f>(J$2)*672</f>
        <v>537.6</v>
      </c>
      <c r="K18" s="23">
        <v>60</v>
      </c>
      <c r="L18" s="22">
        <f>(L$2)*1120</f>
        <v>896</v>
      </c>
      <c r="M18" s="23">
        <v>60</v>
      </c>
      <c r="N18" s="22">
        <f>(N$2)*2800</f>
        <v>2240</v>
      </c>
      <c r="O18" s="23">
        <v>60</v>
      </c>
      <c r="P18" s="22">
        <f>(P$2)*5600</f>
        <v>4480</v>
      </c>
      <c r="Q18" s="23">
        <v>60</v>
      </c>
      <c r="R18" s="22">
        <f>(R$2)*11200</f>
        <v>8960</v>
      </c>
      <c r="S18" s="23">
        <v>60</v>
      </c>
      <c r="T18" s="50"/>
      <c r="U18" s="85"/>
      <c r="V18" s="50"/>
      <c r="W18" s="85"/>
      <c r="X18" s="17"/>
      <c r="Y18" s="17"/>
      <c r="Z18" s="17"/>
      <c r="AA18" s="17"/>
      <c r="AB18" s="17"/>
    </row>
    <row r="19" spans="1:28">
      <c r="A19" s="17"/>
      <c r="B19" s="22">
        <f>($B$2)*5.5</f>
        <v>4.4000000000000004</v>
      </c>
      <c r="C19" s="23">
        <v>65</v>
      </c>
      <c r="D19" s="22">
        <f>(D$2)*27.5</f>
        <v>22</v>
      </c>
      <c r="E19" s="23">
        <v>65</v>
      </c>
      <c r="F19" s="22">
        <f>(F$2)*137.5</f>
        <v>110</v>
      </c>
      <c r="G19" s="23">
        <v>65</v>
      </c>
      <c r="H19" s="22">
        <f>(H$2)*467.5</f>
        <v>374</v>
      </c>
      <c r="I19" s="23">
        <v>65</v>
      </c>
      <c r="J19" s="22">
        <f>(J$2)*660</f>
        <v>528</v>
      </c>
      <c r="K19" s="23">
        <v>65</v>
      </c>
      <c r="L19" s="22">
        <f>(L$2)*1100</f>
        <v>880</v>
      </c>
      <c r="M19" s="23">
        <v>65</v>
      </c>
      <c r="N19" s="22">
        <f>(N$2)*2750</f>
        <v>2200</v>
      </c>
      <c r="O19" s="23">
        <v>65</v>
      </c>
      <c r="P19" s="22">
        <f>(P$2)*5500</f>
        <v>4400</v>
      </c>
      <c r="Q19" s="23">
        <v>65</v>
      </c>
      <c r="R19" s="22">
        <f>(R$2)*11000</f>
        <v>8800</v>
      </c>
      <c r="S19" s="23">
        <v>65</v>
      </c>
      <c r="T19" s="50"/>
      <c r="U19" s="85"/>
      <c r="V19" s="50"/>
      <c r="W19" s="85"/>
      <c r="X19" s="17"/>
      <c r="Y19" s="17"/>
      <c r="Z19" s="17"/>
      <c r="AA19" s="17"/>
      <c r="AB19" s="17"/>
    </row>
    <row r="20" spans="1:28">
      <c r="A20" s="17"/>
      <c r="B20" s="22">
        <f>($B$2)*5.4</f>
        <v>4.32</v>
      </c>
      <c r="C20" s="23">
        <v>70</v>
      </c>
      <c r="D20" s="22">
        <f>(D$2)*27</f>
        <v>21.6</v>
      </c>
      <c r="E20" s="23">
        <v>70</v>
      </c>
      <c r="F20" s="22">
        <f>(F$2)*135</f>
        <v>108</v>
      </c>
      <c r="G20" s="23">
        <v>70</v>
      </c>
      <c r="H20" s="22">
        <f>(H$2)*459</f>
        <v>367.20000000000005</v>
      </c>
      <c r="I20" s="23">
        <v>70</v>
      </c>
      <c r="J20" s="22">
        <f>(J$2)*648</f>
        <v>518.4</v>
      </c>
      <c r="K20" s="23">
        <v>70</v>
      </c>
      <c r="L20" s="22">
        <f>(L$2)*1080</f>
        <v>864</v>
      </c>
      <c r="M20" s="23">
        <v>70</v>
      </c>
      <c r="N20" s="22">
        <f>(N$2)*2700</f>
        <v>2160</v>
      </c>
      <c r="O20" s="23">
        <v>70</v>
      </c>
      <c r="P20" s="22">
        <f>(P$2)*5400</f>
        <v>4320</v>
      </c>
      <c r="Q20" s="23">
        <v>70</v>
      </c>
      <c r="R20" s="22">
        <f>(R$2)*10800</f>
        <v>8640</v>
      </c>
      <c r="S20" s="23">
        <v>70</v>
      </c>
      <c r="T20" s="50"/>
      <c r="U20" s="85"/>
      <c r="V20" s="50"/>
      <c r="W20" s="85"/>
      <c r="X20" s="17"/>
      <c r="Y20" s="17"/>
      <c r="Z20" s="17"/>
      <c r="AA20" s="17"/>
      <c r="AB20" s="17"/>
    </row>
    <row r="21" spans="1:28">
      <c r="A21" s="17"/>
      <c r="B21" s="22">
        <f>($B$2)*5.3</f>
        <v>4.24</v>
      </c>
      <c r="C21" s="23">
        <v>75</v>
      </c>
      <c r="D21" s="22">
        <f>(D$2)*26.5</f>
        <v>21.200000000000003</v>
      </c>
      <c r="E21" s="23">
        <v>75</v>
      </c>
      <c r="F21" s="22">
        <f>(F$2)*132.5</f>
        <v>106</v>
      </c>
      <c r="G21" s="23">
        <v>75</v>
      </c>
      <c r="H21" s="22">
        <f>(H$2)*450.5</f>
        <v>360.40000000000003</v>
      </c>
      <c r="I21" s="23">
        <v>75</v>
      </c>
      <c r="J21" s="22">
        <f>(J$2)*636</f>
        <v>508.8</v>
      </c>
      <c r="K21" s="23">
        <v>75</v>
      </c>
      <c r="L21" s="22">
        <f>(L$2)*1060</f>
        <v>848</v>
      </c>
      <c r="M21" s="23">
        <v>75</v>
      </c>
      <c r="N21" s="22">
        <f>(N$2)*2650</f>
        <v>2120</v>
      </c>
      <c r="O21" s="23">
        <v>75</v>
      </c>
      <c r="P21" s="22">
        <f>(P$2)*5300</f>
        <v>4240</v>
      </c>
      <c r="Q21" s="23">
        <v>75</v>
      </c>
      <c r="R21" s="22">
        <f>(R$2)*10600</f>
        <v>8480</v>
      </c>
      <c r="S21" s="23">
        <v>75</v>
      </c>
      <c r="T21" s="50"/>
      <c r="U21" s="85"/>
      <c r="V21" s="50"/>
      <c r="W21" s="85"/>
      <c r="X21" s="17"/>
      <c r="Y21" s="17"/>
      <c r="Z21" s="17"/>
      <c r="AA21" s="17"/>
      <c r="AB21" s="17"/>
    </row>
    <row r="22" spans="1:28">
      <c r="A22" s="17"/>
      <c r="B22" s="22">
        <f>($B$2)*5.2</f>
        <v>4.16</v>
      </c>
      <c r="C22" s="23">
        <v>80</v>
      </c>
      <c r="D22" s="22">
        <f>(D$2)*26</f>
        <v>20.8</v>
      </c>
      <c r="E22" s="23">
        <v>80</v>
      </c>
      <c r="F22" s="22">
        <f>(F$2)*130</f>
        <v>104</v>
      </c>
      <c r="G22" s="23">
        <v>80</v>
      </c>
      <c r="H22" s="22">
        <f>(H$2)*442</f>
        <v>353.6</v>
      </c>
      <c r="I22" s="23">
        <v>80</v>
      </c>
      <c r="J22" s="22">
        <f>(J$2)*624</f>
        <v>499.20000000000005</v>
      </c>
      <c r="K22" s="23">
        <v>80</v>
      </c>
      <c r="L22" s="22">
        <f>(L$2)*1040</f>
        <v>832</v>
      </c>
      <c r="M22" s="23">
        <v>80</v>
      </c>
      <c r="N22" s="22">
        <f>(N$2)*2600</f>
        <v>2080</v>
      </c>
      <c r="O22" s="23">
        <v>80</v>
      </c>
      <c r="P22" s="22">
        <f>(P$2)*5200</f>
        <v>4160</v>
      </c>
      <c r="Q22" s="23">
        <v>80</v>
      </c>
      <c r="R22" s="22">
        <f>(R$2)*10400</f>
        <v>8320</v>
      </c>
      <c r="S22" s="23">
        <v>80</v>
      </c>
      <c r="T22" s="50"/>
      <c r="U22" s="85"/>
      <c r="V22" s="50"/>
      <c r="W22" s="85"/>
      <c r="X22" s="17"/>
      <c r="Y22" s="17"/>
      <c r="Z22" s="17"/>
      <c r="AA22" s="17"/>
      <c r="AB22" s="17"/>
    </row>
    <row r="23" spans="1:28">
      <c r="A23" s="17"/>
      <c r="B23" s="22">
        <f>($B$2)*5.1</f>
        <v>4.08</v>
      </c>
      <c r="C23" s="23">
        <v>85</v>
      </c>
      <c r="D23" s="22">
        <f>(D$2)*25.5</f>
        <v>20.400000000000002</v>
      </c>
      <c r="E23" s="23">
        <v>85</v>
      </c>
      <c r="F23" s="22">
        <f>(F$2)*127.5</f>
        <v>102</v>
      </c>
      <c r="G23" s="23">
        <v>85</v>
      </c>
      <c r="H23" s="22">
        <f>(H$2)*433.5</f>
        <v>346.8</v>
      </c>
      <c r="I23" s="23">
        <v>85</v>
      </c>
      <c r="J23" s="22">
        <f>(J$2)*612</f>
        <v>489.6</v>
      </c>
      <c r="K23" s="23">
        <v>85</v>
      </c>
      <c r="L23" s="22">
        <f>(L$2)*1020</f>
        <v>816</v>
      </c>
      <c r="M23" s="23">
        <v>85</v>
      </c>
      <c r="N23" s="22">
        <f>(N$2)*2550</f>
        <v>2040</v>
      </c>
      <c r="O23" s="23">
        <v>85</v>
      </c>
      <c r="P23" s="22">
        <f>(P$2)*5100</f>
        <v>4080</v>
      </c>
      <c r="Q23" s="23">
        <v>85</v>
      </c>
      <c r="R23" s="22">
        <f>(R$2)*10200</f>
        <v>8160</v>
      </c>
      <c r="S23" s="23">
        <v>85</v>
      </c>
      <c r="T23" s="50"/>
      <c r="U23" s="85"/>
      <c r="V23" s="50"/>
      <c r="W23" s="85"/>
      <c r="X23" s="17"/>
      <c r="Y23" s="17"/>
      <c r="Z23" s="17"/>
      <c r="AA23" s="17"/>
      <c r="AB23" s="17"/>
    </row>
    <row r="24" spans="1:28">
      <c r="A24" s="17"/>
      <c r="B24" s="22">
        <f>($B$2)*5</f>
        <v>4</v>
      </c>
      <c r="C24" s="23">
        <v>90</v>
      </c>
      <c r="D24" s="22">
        <f>(D$2)*25</f>
        <v>20</v>
      </c>
      <c r="E24" s="23">
        <v>90</v>
      </c>
      <c r="F24" s="22">
        <f>(F$2)*125</f>
        <v>100</v>
      </c>
      <c r="G24" s="23">
        <v>90</v>
      </c>
      <c r="H24" s="22">
        <f>(H$2)*425</f>
        <v>340</v>
      </c>
      <c r="I24" s="23">
        <v>90</v>
      </c>
      <c r="J24" s="22">
        <f>(J$2)*600</f>
        <v>480</v>
      </c>
      <c r="K24" s="23">
        <v>90</v>
      </c>
      <c r="L24" s="22">
        <f>(L$2)*1000</f>
        <v>800</v>
      </c>
      <c r="M24" s="23">
        <v>90</v>
      </c>
      <c r="N24" s="22">
        <f>(N$2)*2500</f>
        <v>2000</v>
      </c>
      <c r="O24" s="23">
        <v>90</v>
      </c>
      <c r="P24" s="22">
        <f>(P$2)*5000</f>
        <v>4000</v>
      </c>
      <c r="Q24" s="23">
        <v>90</v>
      </c>
      <c r="R24" s="22">
        <f>(R$2)*10000</f>
        <v>8000</v>
      </c>
      <c r="S24" s="23">
        <v>90</v>
      </c>
      <c r="T24" s="50"/>
      <c r="U24" s="85"/>
      <c r="V24" s="50"/>
      <c r="W24" s="85"/>
      <c r="X24" s="17"/>
      <c r="Y24" s="17"/>
      <c r="Z24" s="17"/>
      <c r="AA24" s="17"/>
      <c r="AB24" s="17"/>
    </row>
    <row r="25" spans="1:28">
      <c r="A25" s="17"/>
      <c r="B25" s="22">
        <f>($B$2)*4.9</f>
        <v>3.9200000000000004</v>
      </c>
      <c r="C25" s="23">
        <v>95</v>
      </c>
      <c r="D25" s="22">
        <f>(D$2)*24.5</f>
        <v>19.600000000000001</v>
      </c>
      <c r="E25" s="23">
        <v>95</v>
      </c>
      <c r="F25" s="22">
        <f>(F$2)*122.5</f>
        <v>98</v>
      </c>
      <c r="G25" s="23">
        <v>95</v>
      </c>
      <c r="H25" s="22">
        <f>(H$2)*416.5</f>
        <v>333.20000000000005</v>
      </c>
      <c r="I25" s="23">
        <v>95</v>
      </c>
      <c r="J25" s="22">
        <f>(J$2)*588</f>
        <v>470.40000000000003</v>
      </c>
      <c r="K25" s="23">
        <v>95</v>
      </c>
      <c r="L25" s="22">
        <f>(L$2)*980</f>
        <v>784</v>
      </c>
      <c r="M25" s="23">
        <v>95</v>
      </c>
      <c r="N25" s="22">
        <f>(N$2)*2450</f>
        <v>1960</v>
      </c>
      <c r="O25" s="23">
        <v>95</v>
      </c>
      <c r="P25" s="22">
        <f>(P$2)*4900</f>
        <v>3920</v>
      </c>
      <c r="Q25" s="23">
        <v>95</v>
      </c>
      <c r="R25" s="22">
        <f>(R$2)*9800</f>
        <v>7840</v>
      </c>
      <c r="S25" s="23">
        <v>95</v>
      </c>
      <c r="T25" s="50"/>
      <c r="U25" s="85"/>
      <c r="V25" s="50"/>
      <c r="W25" s="85"/>
      <c r="X25" s="17"/>
      <c r="Y25" s="17"/>
      <c r="Z25" s="17"/>
      <c r="AA25" s="17"/>
      <c r="AB25" s="17"/>
    </row>
    <row r="26" spans="1:28">
      <c r="A26" s="17"/>
      <c r="B26" s="22">
        <f>($B$2)*4.85</f>
        <v>3.88</v>
      </c>
      <c r="C26" s="23">
        <v>100</v>
      </c>
      <c r="D26" s="22">
        <f>(D$2)*24.25</f>
        <v>19.400000000000002</v>
      </c>
      <c r="E26" s="23">
        <v>100</v>
      </c>
      <c r="F26" s="22">
        <f>(F$2)*121.25</f>
        <v>97</v>
      </c>
      <c r="G26" s="23">
        <v>100</v>
      </c>
      <c r="H26" s="22">
        <f>(H$2)*412.25</f>
        <v>329.8</v>
      </c>
      <c r="I26" s="23">
        <v>100</v>
      </c>
      <c r="J26" s="22">
        <f>(J$2)*582</f>
        <v>465.6</v>
      </c>
      <c r="K26" s="23">
        <v>100</v>
      </c>
      <c r="L26" s="22">
        <f>(L$2)*970</f>
        <v>776</v>
      </c>
      <c r="M26" s="23">
        <v>100</v>
      </c>
      <c r="N26" s="22">
        <f>(N$2)*2425</f>
        <v>1940</v>
      </c>
      <c r="O26" s="23">
        <v>100</v>
      </c>
      <c r="P26" s="22">
        <f>(P$2)*4850</f>
        <v>3880</v>
      </c>
      <c r="Q26" s="23">
        <v>100</v>
      </c>
      <c r="R26" s="22">
        <f>(R$2)*9700</f>
        <v>7760</v>
      </c>
      <c r="S26" s="23">
        <v>100</v>
      </c>
      <c r="T26" s="50"/>
      <c r="U26" s="85"/>
      <c r="V26" s="50"/>
      <c r="W26" s="85"/>
      <c r="X26" s="17"/>
      <c r="Y26" s="17"/>
      <c r="Z26" s="17"/>
      <c r="AA26" s="17"/>
      <c r="AB26" s="17"/>
    </row>
    <row r="27" spans="1:28">
      <c r="A27" s="17"/>
      <c r="B27" s="22">
        <f>($B$2)*4.3</f>
        <v>3.44</v>
      </c>
      <c r="C27" s="23">
        <v>150</v>
      </c>
      <c r="D27" s="22">
        <f>(D$2)*21.5</f>
        <v>17.2</v>
      </c>
      <c r="E27" s="23">
        <v>150</v>
      </c>
      <c r="F27" s="22">
        <f>(F$2)*107.5</f>
        <v>86</v>
      </c>
      <c r="G27" s="23">
        <v>150</v>
      </c>
      <c r="H27" s="22">
        <f>(H$2)*365.5</f>
        <v>292.40000000000003</v>
      </c>
      <c r="I27" s="23">
        <v>150</v>
      </c>
      <c r="J27" s="22">
        <f>(J$2)*516</f>
        <v>412.8</v>
      </c>
      <c r="K27" s="23">
        <v>150</v>
      </c>
      <c r="L27" s="22">
        <f>(L$2)*860</f>
        <v>688</v>
      </c>
      <c r="M27" s="23">
        <v>150</v>
      </c>
      <c r="N27" s="22">
        <f>(N$2)*2150</f>
        <v>1720</v>
      </c>
      <c r="O27" s="23">
        <v>150</v>
      </c>
      <c r="P27" s="22">
        <f>(P$2)*4300</f>
        <v>3440</v>
      </c>
      <c r="Q27" s="23">
        <v>150</v>
      </c>
      <c r="R27" s="22">
        <f>(R$2)*8600</f>
        <v>6880</v>
      </c>
      <c r="S27" s="23">
        <v>150</v>
      </c>
      <c r="T27" s="50"/>
      <c r="U27" s="85"/>
      <c r="V27" s="50"/>
      <c r="W27" s="85"/>
      <c r="X27" s="17"/>
      <c r="Y27" s="17"/>
      <c r="Z27" s="17"/>
      <c r="AA27" s="17"/>
      <c r="AB27" s="17"/>
    </row>
    <row r="28" spans="1:28">
      <c r="A28" s="17"/>
      <c r="B28" s="22">
        <f>($B$2)*3.9</f>
        <v>3.12</v>
      </c>
      <c r="C28" s="23">
        <v>200</v>
      </c>
      <c r="D28" s="22">
        <f>(D$2)*19.5</f>
        <v>15.600000000000001</v>
      </c>
      <c r="E28" s="23">
        <v>200</v>
      </c>
      <c r="F28" s="22">
        <f>(F$2)*97.5</f>
        <v>78</v>
      </c>
      <c r="G28" s="23">
        <v>200</v>
      </c>
      <c r="H28" s="22">
        <f>(H$2)*331.5</f>
        <v>265.2</v>
      </c>
      <c r="I28" s="23">
        <v>200</v>
      </c>
      <c r="J28" s="22">
        <f>(J$2)*468</f>
        <v>374.40000000000003</v>
      </c>
      <c r="K28" s="23">
        <v>200</v>
      </c>
      <c r="L28" s="22">
        <f>(L$2)*780</f>
        <v>624</v>
      </c>
      <c r="M28" s="23">
        <v>200</v>
      </c>
      <c r="N28" s="22">
        <f>(N$2)*1950</f>
        <v>1560</v>
      </c>
      <c r="O28" s="23">
        <v>200</v>
      </c>
      <c r="P28" s="22">
        <f>(P$2)*3900</f>
        <v>3120</v>
      </c>
      <c r="Q28" s="23">
        <v>200</v>
      </c>
      <c r="R28" s="22">
        <f>(R$2)*7800</f>
        <v>6240</v>
      </c>
      <c r="S28" s="23">
        <v>200</v>
      </c>
      <c r="T28" s="50"/>
      <c r="U28" s="85"/>
      <c r="V28" s="50"/>
      <c r="W28" s="85"/>
      <c r="X28" s="17"/>
      <c r="Y28" s="17"/>
      <c r="Z28" s="17"/>
      <c r="AA28" s="17"/>
      <c r="AB28" s="17"/>
    </row>
    <row r="29" spans="1:28">
      <c r="A29" s="17"/>
      <c r="B29" s="22">
        <f>($B$2)*3.55</f>
        <v>2.84</v>
      </c>
      <c r="C29" s="23">
        <v>250</v>
      </c>
      <c r="D29" s="22">
        <f>(D$2)*17.75</f>
        <v>14.200000000000001</v>
      </c>
      <c r="E29" s="23">
        <v>250</v>
      </c>
      <c r="F29" s="22">
        <f>(F$2)*88.75</f>
        <v>71</v>
      </c>
      <c r="G29" s="23">
        <v>250</v>
      </c>
      <c r="H29" s="22">
        <f>(H$2)*301.75</f>
        <v>241.4</v>
      </c>
      <c r="I29" s="23">
        <v>250</v>
      </c>
      <c r="J29" s="22">
        <f>(J$2)*426</f>
        <v>340.8</v>
      </c>
      <c r="K29" s="23">
        <v>250</v>
      </c>
      <c r="L29" s="22">
        <f>(L$2)*710</f>
        <v>568</v>
      </c>
      <c r="M29" s="23">
        <v>250</v>
      </c>
      <c r="N29" s="22">
        <f>(N$2)*1775</f>
        <v>1420</v>
      </c>
      <c r="O29" s="23">
        <v>250</v>
      </c>
      <c r="P29" s="22">
        <f>(P$2)*3550</f>
        <v>2840</v>
      </c>
      <c r="Q29" s="23">
        <v>250</v>
      </c>
      <c r="R29" s="22">
        <f>(R$2)*7100</f>
        <v>5680</v>
      </c>
      <c r="S29" s="23">
        <v>250</v>
      </c>
      <c r="T29" s="50"/>
      <c r="U29" s="85"/>
      <c r="V29" s="50"/>
      <c r="W29" s="85"/>
      <c r="X29" s="17"/>
      <c r="Y29" s="17"/>
      <c r="Z29" s="17"/>
      <c r="AA29" s="17"/>
      <c r="AB29" s="17"/>
    </row>
    <row r="30" spans="1:28">
      <c r="A30" s="17"/>
      <c r="B30" s="22">
        <f>($B$2)*3.2</f>
        <v>2.5600000000000005</v>
      </c>
      <c r="C30" s="23">
        <v>300</v>
      </c>
      <c r="D30" s="22">
        <f>(D$2)*16</f>
        <v>12.8</v>
      </c>
      <c r="E30" s="23">
        <v>300</v>
      </c>
      <c r="F30" s="22">
        <f>(F$2)*80</f>
        <v>64</v>
      </c>
      <c r="G30" s="23">
        <v>300</v>
      </c>
      <c r="H30" s="22">
        <f>(H$2)*272</f>
        <v>217.60000000000002</v>
      </c>
      <c r="I30" s="23">
        <v>300</v>
      </c>
      <c r="J30" s="22">
        <f>(J$2)*384</f>
        <v>307.20000000000005</v>
      </c>
      <c r="K30" s="23">
        <v>300</v>
      </c>
      <c r="L30" s="22">
        <f>(L$2)*640</f>
        <v>512</v>
      </c>
      <c r="M30" s="23">
        <v>300</v>
      </c>
      <c r="N30" s="22">
        <f>(N$2)*1600</f>
        <v>1280</v>
      </c>
      <c r="O30" s="23">
        <v>300</v>
      </c>
      <c r="P30" s="22">
        <f>(P$2)*3200</f>
        <v>2560</v>
      </c>
      <c r="Q30" s="23">
        <v>300</v>
      </c>
      <c r="R30" s="22">
        <f>(R$2)*6400</f>
        <v>5120</v>
      </c>
      <c r="S30" s="23">
        <v>300</v>
      </c>
      <c r="T30" s="50"/>
      <c r="U30" s="85"/>
      <c r="V30" s="50"/>
      <c r="W30" s="85"/>
      <c r="X30" s="17"/>
      <c r="Y30" s="17"/>
      <c r="Z30" s="17"/>
      <c r="AA30" s="17"/>
      <c r="AB30" s="17"/>
    </row>
    <row r="31" spans="1:28">
      <c r="A31" s="17"/>
      <c r="B31" s="22">
        <f>($B$2)*2.9</f>
        <v>2.3199999999999998</v>
      </c>
      <c r="C31" s="23">
        <v>350</v>
      </c>
      <c r="D31" s="22">
        <f>(D$2)*14.5</f>
        <v>11.600000000000001</v>
      </c>
      <c r="E31" s="23">
        <v>350</v>
      </c>
      <c r="F31" s="22">
        <f>(F$2)*72.5</f>
        <v>58</v>
      </c>
      <c r="G31" s="23">
        <v>350</v>
      </c>
      <c r="H31" s="22">
        <f>(H$2)*246.5</f>
        <v>197.20000000000002</v>
      </c>
      <c r="I31" s="23">
        <v>350</v>
      </c>
      <c r="J31" s="22">
        <f>(J$2)*348</f>
        <v>278.40000000000003</v>
      </c>
      <c r="K31" s="23">
        <v>350</v>
      </c>
      <c r="L31" s="22">
        <f>(L$2)*580</f>
        <v>464</v>
      </c>
      <c r="M31" s="23">
        <v>350</v>
      </c>
      <c r="N31" s="22">
        <f>(N$2)*1450</f>
        <v>1160</v>
      </c>
      <c r="O31" s="23">
        <v>350</v>
      </c>
      <c r="P31" s="22">
        <f>(P$2)*2900</f>
        <v>2320</v>
      </c>
      <c r="Q31" s="23">
        <v>350</v>
      </c>
      <c r="R31" s="22">
        <f>(R$2)*5800</f>
        <v>4640</v>
      </c>
      <c r="S31" s="23">
        <v>350</v>
      </c>
      <c r="T31" s="50"/>
      <c r="U31" s="85"/>
      <c r="V31" s="50"/>
      <c r="W31" s="85"/>
      <c r="X31" s="17"/>
      <c r="Y31" s="17"/>
      <c r="Z31" s="17"/>
      <c r="AA31" s="17"/>
      <c r="AB31" s="17"/>
    </row>
    <row r="32" spans="1:28">
      <c r="A32" s="17"/>
      <c r="B32" s="22">
        <f>($B$2)*2.6</f>
        <v>2.08</v>
      </c>
      <c r="C32" s="23">
        <v>400</v>
      </c>
      <c r="D32" s="22">
        <f>(D$2)*13</f>
        <v>10.4</v>
      </c>
      <c r="E32" s="23">
        <v>400</v>
      </c>
      <c r="F32" s="22">
        <f>(F$2)*65</f>
        <v>52</v>
      </c>
      <c r="G32" s="23">
        <v>400</v>
      </c>
      <c r="H32" s="22">
        <f>(H$2)*221</f>
        <v>176.8</v>
      </c>
      <c r="I32" s="23">
        <v>400</v>
      </c>
      <c r="J32" s="22">
        <f>(J$2)*312</f>
        <v>249.60000000000002</v>
      </c>
      <c r="K32" s="23">
        <v>400</v>
      </c>
      <c r="L32" s="22">
        <f>(L$2)*520</f>
        <v>416</v>
      </c>
      <c r="M32" s="23">
        <v>400</v>
      </c>
      <c r="N32" s="22">
        <f>(N$2)*1300</f>
        <v>1040</v>
      </c>
      <c r="O32" s="23">
        <v>400</v>
      </c>
      <c r="P32" s="22">
        <f>(P$2)*2600</f>
        <v>2080</v>
      </c>
      <c r="Q32" s="23">
        <v>400</v>
      </c>
      <c r="R32" s="22">
        <f>(R$2)*5200</f>
        <v>4160</v>
      </c>
      <c r="S32" s="23">
        <v>400</v>
      </c>
      <c r="T32" s="50"/>
      <c r="U32" s="85"/>
      <c r="V32" s="50"/>
      <c r="W32" s="85"/>
      <c r="X32" s="17"/>
      <c r="Y32" s="17"/>
      <c r="Z32" s="17"/>
      <c r="AA32" s="17"/>
      <c r="AB32" s="17"/>
    </row>
    <row r="33" spans="1:31">
      <c r="A33" s="17"/>
      <c r="B33" s="22">
        <f>($B$2)*2.35</f>
        <v>1.8800000000000001</v>
      </c>
      <c r="C33" s="23">
        <v>450</v>
      </c>
      <c r="D33" s="22">
        <f>(D$2)*11.75</f>
        <v>9.4</v>
      </c>
      <c r="E33" s="23">
        <v>450</v>
      </c>
      <c r="F33" s="22">
        <f>(F$2)*58.75</f>
        <v>47</v>
      </c>
      <c r="G33" s="23">
        <v>450</v>
      </c>
      <c r="H33" s="22">
        <f>(H$2)*199.75</f>
        <v>159.80000000000001</v>
      </c>
      <c r="I33" s="23">
        <v>450</v>
      </c>
      <c r="J33" s="22">
        <f>(J$2)*282</f>
        <v>225.60000000000002</v>
      </c>
      <c r="K33" s="23">
        <v>450</v>
      </c>
      <c r="L33" s="22">
        <f>(L$2)*470</f>
        <v>376</v>
      </c>
      <c r="M33" s="23">
        <v>450</v>
      </c>
      <c r="N33" s="22">
        <f>(N$2)*1175</f>
        <v>940</v>
      </c>
      <c r="O33" s="23">
        <v>450</v>
      </c>
      <c r="P33" s="22">
        <f>(P$2)*2350</f>
        <v>1880</v>
      </c>
      <c r="Q33" s="23">
        <v>450</v>
      </c>
      <c r="R33" s="22">
        <f>(R$2)*4700</f>
        <v>3760</v>
      </c>
      <c r="S33" s="23">
        <v>450</v>
      </c>
      <c r="T33" s="50"/>
      <c r="U33" s="85"/>
      <c r="V33" s="50"/>
      <c r="W33" s="85"/>
      <c r="X33" s="17"/>
      <c r="Y33" s="17"/>
      <c r="Z33" s="17"/>
      <c r="AA33" s="17"/>
      <c r="AB33" s="17"/>
    </row>
    <row r="34" spans="1:31">
      <c r="A34" s="17"/>
      <c r="B34" s="22">
        <f>($B$2)*2.1</f>
        <v>1.6800000000000002</v>
      </c>
      <c r="C34" s="23">
        <v>500</v>
      </c>
      <c r="D34" s="22">
        <f>(D$2)*10.5</f>
        <v>8.4</v>
      </c>
      <c r="E34" s="23">
        <v>500</v>
      </c>
      <c r="F34" s="22">
        <f>(F$2)*52.5</f>
        <v>42</v>
      </c>
      <c r="G34" s="23">
        <v>500</v>
      </c>
      <c r="H34" s="22">
        <f>(H$2)*178.5</f>
        <v>142.80000000000001</v>
      </c>
      <c r="I34" s="23">
        <v>500</v>
      </c>
      <c r="J34" s="22">
        <f>(J$2)*252</f>
        <v>201.60000000000002</v>
      </c>
      <c r="K34" s="23">
        <v>500</v>
      </c>
      <c r="L34" s="22">
        <f>(L$2)*420</f>
        <v>336</v>
      </c>
      <c r="M34" s="23">
        <v>500</v>
      </c>
      <c r="N34" s="22">
        <f>(N$2)*1050</f>
        <v>840</v>
      </c>
      <c r="O34" s="23">
        <v>500</v>
      </c>
      <c r="P34" s="22">
        <f>(P$2)*2100</f>
        <v>1680</v>
      </c>
      <c r="Q34" s="23">
        <v>500</v>
      </c>
      <c r="R34" s="22">
        <f>(R$2)*4200</f>
        <v>3360</v>
      </c>
      <c r="S34" s="23">
        <v>500</v>
      </c>
      <c r="T34" s="50"/>
      <c r="U34" s="85"/>
      <c r="V34" s="50"/>
      <c r="W34" s="85"/>
      <c r="X34" s="17"/>
      <c r="Y34" s="17"/>
      <c r="Z34" s="17"/>
      <c r="AA34" s="17"/>
      <c r="AB34" s="17"/>
    </row>
    <row r="35" spans="1:31">
      <c r="A35" s="17"/>
      <c r="B35" s="22">
        <f>($B$2)*1.9</f>
        <v>1.52</v>
      </c>
      <c r="C35" s="23">
        <v>550</v>
      </c>
      <c r="D35" s="22">
        <f>(D$2)*9.5</f>
        <v>7.6000000000000005</v>
      </c>
      <c r="E35" s="23">
        <v>550</v>
      </c>
      <c r="F35" s="22">
        <f>(F$2)*47.5</f>
        <v>38</v>
      </c>
      <c r="G35" s="23">
        <v>550</v>
      </c>
      <c r="H35" s="22">
        <f>(H$2)*161.5</f>
        <v>129.20000000000002</v>
      </c>
      <c r="I35" s="23">
        <v>550</v>
      </c>
      <c r="J35" s="22">
        <f>(J$2)*228</f>
        <v>182.4</v>
      </c>
      <c r="K35" s="23">
        <v>550</v>
      </c>
      <c r="L35" s="22">
        <f>(L$2)*380</f>
        <v>304</v>
      </c>
      <c r="M35" s="23">
        <v>550</v>
      </c>
      <c r="N35" s="22">
        <f>(N$2)*950</f>
        <v>760</v>
      </c>
      <c r="O35" s="23">
        <v>550</v>
      </c>
      <c r="P35" s="22">
        <f>(P$2)*1900</f>
        <v>1520</v>
      </c>
      <c r="Q35" s="23">
        <v>550</v>
      </c>
      <c r="R35" s="22">
        <f>(R$2)*3800</f>
        <v>3040</v>
      </c>
      <c r="S35" s="23">
        <v>550</v>
      </c>
      <c r="T35" s="50"/>
      <c r="U35" s="85"/>
      <c r="V35" s="50"/>
      <c r="W35" s="85"/>
      <c r="X35" s="17"/>
      <c r="Y35" s="17"/>
      <c r="Z35" s="17"/>
      <c r="AA35" s="17"/>
      <c r="AB35" s="17"/>
    </row>
    <row r="36" spans="1:31">
      <c r="A36" s="17"/>
      <c r="B36" s="22">
        <f>($B$2)*1.7</f>
        <v>1.36</v>
      </c>
      <c r="C36" s="23">
        <v>600</v>
      </c>
      <c r="D36" s="22">
        <f>(D$2)*8.5</f>
        <v>6.8000000000000007</v>
      </c>
      <c r="E36" s="23">
        <v>600</v>
      </c>
      <c r="F36" s="22">
        <f>(F$2)*42.5</f>
        <v>34</v>
      </c>
      <c r="G36" s="23">
        <v>600</v>
      </c>
      <c r="H36" s="22">
        <f>(H$2)*144.5</f>
        <v>115.60000000000001</v>
      </c>
      <c r="I36" s="23">
        <v>600</v>
      </c>
      <c r="J36" s="22">
        <f>(J$2)*204</f>
        <v>163.20000000000002</v>
      </c>
      <c r="K36" s="23">
        <v>600</v>
      </c>
      <c r="L36" s="22">
        <f>(L$2)*340</f>
        <v>272</v>
      </c>
      <c r="M36" s="23">
        <v>600</v>
      </c>
      <c r="N36" s="22">
        <f>(N$2)*850</f>
        <v>680</v>
      </c>
      <c r="O36" s="23">
        <v>600</v>
      </c>
      <c r="P36" s="22">
        <f>(P$2)*1700</f>
        <v>1360</v>
      </c>
      <c r="Q36" s="23">
        <v>600</v>
      </c>
      <c r="R36" s="22">
        <f>(R$2)*3400</f>
        <v>2720</v>
      </c>
      <c r="S36" s="23">
        <v>600</v>
      </c>
      <c r="T36" s="50"/>
      <c r="U36" s="85"/>
      <c r="V36" s="50"/>
      <c r="W36" s="85"/>
      <c r="X36" s="17"/>
      <c r="Y36" s="17"/>
      <c r="Z36" s="17"/>
      <c r="AA36" s="17"/>
      <c r="AB36" s="17"/>
    </row>
    <row r="37" spans="1:31">
      <c r="A37" s="17"/>
      <c r="B37" s="22">
        <f>($B$2)*1.5</f>
        <v>1.2000000000000002</v>
      </c>
      <c r="C37" s="23">
        <v>650</v>
      </c>
      <c r="D37" s="22">
        <f>(D$2)*7.5</f>
        <v>6</v>
      </c>
      <c r="E37" s="23">
        <v>650</v>
      </c>
      <c r="F37" s="22">
        <f>(F$2)*37.5</f>
        <v>30</v>
      </c>
      <c r="G37" s="23">
        <v>650</v>
      </c>
      <c r="H37" s="22">
        <f>(H$2)*127.5</f>
        <v>102</v>
      </c>
      <c r="I37" s="23">
        <v>650</v>
      </c>
      <c r="J37" s="22">
        <f>(J$2)*180</f>
        <v>144</v>
      </c>
      <c r="K37" s="23">
        <v>650</v>
      </c>
      <c r="L37" s="22">
        <f>(L$2)*300</f>
        <v>240</v>
      </c>
      <c r="M37" s="23">
        <v>650</v>
      </c>
      <c r="N37" s="22">
        <f>(N$2)*750</f>
        <v>600</v>
      </c>
      <c r="O37" s="23">
        <v>650</v>
      </c>
      <c r="P37" s="22">
        <f>(P$2)*1500</f>
        <v>1200</v>
      </c>
      <c r="Q37" s="23">
        <v>650</v>
      </c>
      <c r="R37" s="22">
        <f>(R$2)*3000</f>
        <v>2400</v>
      </c>
      <c r="S37" s="23">
        <v>650</v>
      </c>
      <c r="T37" s="50"/>
      <c r="U37" s="85"/>
      <c r="V37" s="50"/>
      <c r="W37" s="85"/>
      <c r="X37" s="17"/>
      <c r="Y37" s="17"/>
      <c r="Z37" s="17"/>
      <c r="AA37" s="17"/>
      <c r="AB37" s="17"/>
    </row>
    <row r="38" spans="1:31">
      <c r="A38" s="17"/>
      <c r="B38" s="22">
        <f>($B$2)*1.32</f>
        <v>1.056</v>
      </c>
      <c r="C38" s="23">
        <v>700</v>
      </c>
      <c r="D38" s="22">
        <f>(D$2)*6.6</f>
        <v>5.28</v>
      </c>
      <c r="E38" s="23">
        <v>700</v>
      </c>
      <c r="F38" s="22">
        <f>(F$2)*33</f>
        <v>26.400000000000002</v>
      </c>
      <c r="G38" s="23">
        <v>700</v>
      </c>
      <c r="H38" s="22">
        <f>(H$2)*112.2</f>
        <v>89.76</v>
      </c>
      <c r="I38" s="23">
        <v>700</v>
      </c>
      <c r="J38" s="22">
        <f>(J$2)*158.4</f>
        <v>126.72000000000001</v>
      </c>
      <c r="K38" s="23">
        <v>700</v>
      </c>
      <c r="L38" s="22">
        <f>(L$2)*264</f>
        <v>211.20000000000002</v>
      </c>
      <c r="M38" s="23">
        <v>700</v>
      </c>
      <c r="N38" s="22">
        <f>(N$2)*660</f>
        <v>528</v>
      </c>
      <c r="O38" s="23">
        <v>700</v>
      </c>
      <c r="P38" s="22">
        <f>(P$2)*1320</f>
        <v>1056</v>
      </c>
      <c r="Q38" s="23">
        <v>700</v>
      </c>
      <c r="R38" s="22">
        <f>(R$2)*2640</f>
        <v>2112</v>
      </c>
      <c r="S38" s="23">
        <v>700</v>
      </c>
      <c r="T38" s="50"/>
      <c r="U38" s="85"/>
      <c r="V38" s="50"/>
      <c r="W38" s="85"/>
      <c r="X38" s="17"/>
      <c r="Y38" s="17"/>
      <c r="Z38" s="17"/>
      <c r="AA38" s="17"/>
      <c r="AB38" s="17"/>
    </row>
    <row r="39" spans="1:31">
      <c r="A39" s="17"/>
      <c r="B39" s="22">
        <f>($B$2)*1.15</f>
        <v>0.91999999999999993</v>
      </c>
      <c r="C39" s="23">
        <v>750</v>
      </c>
      <c r="D39" s="22">
        <f>(D$2)*5.75</f>
        <v>4.6000000000000005</v>
      </c>
      <c r="E39" s="23">
        <v>750</v>
      </c>
      <c r="F39" s="22">
        <f>(F$2)*28.75</f>
        <v>23</v>
      </c>
      <c r="G39" s="23">
        <v>750</v>
      </c>
      <c r="H39" s="22">
        <f>(H$2)*97.75</f>
        <v>78.2</v>
      </c>
      <c r="I39" s="23">
        <v>750</v>
      </c>
      <c r="J39" s="22">
        <f>(J$2)*138</f>
        <v>110.4</v>
      </c>
      <c r="K39" s="23">
        <v>750</v>
      </c>
      <c r="L39" s="22">
        <f>(L$2)*230</f>
        <v>184</v>
      </c>
      <c r="M39" s="23">
        <v>750</v>
      </c>
      <c r="N39" s="22">
        <f>(N$2)*575</f>
        <v>460</v>
      </c>
      <c r="O39" s="23">
        <v>750</v>
      </c>
      <c r="P39" s="22">
        <f>(P$2)*1150</f>
        <v>920</v>
      </c>
      <c r="Q39" s="23">
        <v>750</v>
      </c>
      <c r="R39" s="22">
        <f>(R$2)*2300</f>
        <v>1840</v>
      </c>
      <c r="S39" s="23">
        <v>750</v>
      </c>
      <c r="T39" s="50"/>
      <c r="U39" s="85"/>
      <c r="V39" s="50"/>
      <c r="W39" s="85"/>
      <c r="X39" s="17"/>
      <c r="Y39" s="17"/>
      <c r="Z39" s="17"/>
      <c r="AA39" s="17"/>
      <c r="AB39" s="17"/>
    </row>
    <row r="40" spans="1:31" ht="16" thickBot="1">
      <c r="A40" s="17"/>
      <c r="B40" s="24">
        <f>($B$2)*1</f>
        <v>0.8</v>
      </c>
      <c r="C40" s="25">
        <v>800</v>
      </c>
      <c r="D40" s="24">
        <f>(D$2)*5</f>
        <v>4</v>
      </c>
      <c r="E40" s="25">
        <v>800</v>
      </c>
      <c r="F40" s="24">
        <f>(F$2)*25</f>
        <v>20</v>
      </c>
      <c r="G40" s="25">
        <v>800</v>
      </c>
      <c r="H40" s="24">
        <f>(H$2)*85</f>
        <v>68</v>
      </c>
      <c r="I40" s="25">
        <v>800</v>
      </c>
      <c r="J40" s="24">
        <f>(J$2)*120</f>
        <v>96</v>
      </c>
      <c r="K40" s="25">
        <v>800</v>
      </c>
      <c r="L40" s="24">
        <f>(L$2)*200</f>
        <v>160</v>
      </c>
      <c r="M40" s="25">
        <v>800</v>
      </c>
      <c r="N40" s="24">
        <f>(N$2)*500</f>
        <v>400</v>
      </c>
      <c r="O40" s="25">
        <v>800</v>
      </c>
      <c r="P40" s="24">
        <f>(P$2)*1000</f>
        <v>800</v>
      </c>
      <c r="Q40" s="25">
        <v>800</v>
      </c>
      <c r="R40" s="24">
        <f>(R$2)*2000</f>
        <v>1600</v>
      </c>
      <c r="S40" s="25">
        <v>800</v>
      </c>
      <c r="T40" s="51"/>
      <c r="U40" s="94"/>
      <c r="V40" s="51"/>
      <c r="W40" s="94"/>
      <c r="X40" s="17"/>
      <c r="Y40" s="17"/>
      <c r="Z40" s="17"/>
      <c r="AA40" s="17"/>
      <c r="AB40" s="17"/>
    </row>
    <row r="41" spans="1:31">
      <c r="A41" s="17" t="s">
        <v>282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6.6400000000000006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33.200000000000003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166</v>
      </c>
      <c r="G41" s="46"/>
      <c r="H41" s="45" cm="1">
        <f t="array" ref="H41">IF(VLOOKUP(Input!$D$15,I$6:I$40,1,TRUE)=Input!$D$15,INDEX(H$6:H$40,MATCH(VLOOKUP(Input!$D$15,I$6:I$40,1,TRUE),I$6:I$40)),INDEX(H$6:H$40,MATCH(VLOOKUP(Input!$D$15,I$6:I$40,1,TRUE),I$6:I$40)+1))</f>
        <v>564.4</v>
      </c>
      <c r="I41" s="46"/>
      <c r="J41" s="45" cm="1">
        <f t="array" ref="J41">IF(VLOOKUP(Input!$D$15,K$6:K$40,1,TRUE)=Input!$D$15,INDEX(J$6:J$40,MATCH(VLOOKUP(Input!$D$15,K$6:K$40,1,TRUE),K$6:K$40)),INDEX(J$6:J$40,MATCH(VLOOKUP(Input!$D$15,K$6:K$40,1,TRUE),K$6:K$40)+1))</f>
        <v>796.80000000000007</v>
      </c>
      <c r="K41" s="46"/>
      <c r="L41" s="45" cm="1">
        <f t="array" ref="L41">IF(VLOOKUP(Input!$D$15,M$6:M$40,1,TRUE)=Input!$D$15,INDEX(L$6:L$40,MATCH(VLOOKUP(Input!$D$15,M$6:M$40,1,TRUE),M$6:M$40)),INDEX(L$6:L$40,MATCH(VLOOKUP(Input!$D$15,M$6:M$40,1,TRUE),M$6:M$40)+1))</f>
        <v>1328</v>
      </c>
      <c r="M41" s="46"/>
      <c r="N41" s="45" cm="1">
        <f t="array" ref="N41">IF(VLOOKUP(Input!$D$15,O$6:O$40,1,TRUE)=Input!$D$15,INDEX(N$6:N$40,MATCH(VLOOKUP(Input!$D$15,O$6:O$40,1,TRUE),O$6:O$40)),INDEX(N$6:N$40,MATCH(VLOOKUP(Input!$D$15,O$6:O$40,1,TRUE),O$6:O$40)+1))</f>
        <v>3320</v>
      </c>
      <c r="O41" s="46"/>
      <c r="P41" s="45" cm="1">
        <f t="array" ref="P41">IF(VLOOKUP(Input!$D$15,Q$6:Q$40,1,TRUE)=Input!$D$15,INDEX(P$6:P$40,MATCH(VLOOKUP(Input!$D$15,Q$6:Q$40,1,TRUE),Q$6:Q$40)),INDEX(P$6:P$40,MATCH(VLOOKUP(Input!$D$15,Q$6:Q$40,1,TRUE),Q$6:Q$40)+1))</f>
        <v>6640</v>
      </c>
      <c r="Q41" s="46"/>
      <c r="R41" s="45" cm="1">
        <f t="array" ref="R41">IF(VLOOKUP(Input!$D$15,S$6:S$40,1,TRUE)=Input!$D$15,INDEX(R$6:R$40,MATCH(VLOOKUP(Input!$D$15,S$6:S$40,1,TRUE),S$6:S$40)),INDEX(R$6:R$40,MATCH(VLOOKUP(Input!$D$15,S$6:S$40,1,TRUE),S$6:S$40)+1))</f>
        <v>13280</v>
      </c>
      <c r="S41" s="17"/>
      <c r="T41" s="45" cm="1">
        <f t="array" ref="T41">IF(VLOOKUP(Input!$D$15,U$6:U$40,1,TRUE)=Input!$D$15,INDEX(T$6:T$40,MATCH(VLOOKUP(Input!$D$15,U$6:U$40,1,TRUE),U$6:U$40)),INDEX(T$6:T$40,MATCH(VLOOKUP(Input!$D$15,U$6:U$40,1,TRUE),U$6:U$40)+1))</f>
        <v>0</v>
      </c>
      <c r="U41" s="17"/>
      <c r="V41" s="45" cm="1">
        <f t="array" ref="V41">IF(VLOOKUP(Input!$D$15,W$6:W$40,1,TRUE)=Input!$D$15,INDEX(V$6:V$40,MATCH(VLOOKUP(Input!$D$15,W$6:W$40,1,TRUE),W$6:W$40)),INDEX(V$6:V$40,MATCH(VLOOKUP(Input!$D$15,W$6:W$40,1,TRUE),W$6:W$40)+1))</f>
        <v>0</v>
      </c>
      <c r="W41" s="17"/>
      <c r="X41" s="17"/>
      <c r="Y41" s="17"/>
      <c r="Z41" s="17"/>
      <c r="AA41" s="17"/>
      <c r="AB41" s="17"/>
    </row>
    <row r="42" spans="1:31">
      <c r="A42" s="17"/>
      <c r="B42" s="45"/>
      <c r="C42" s="46"/>
      <c r="D42" s="45"/>
      <c r="E42" s="46"/>
      <c r="F42" s="45"/>
      <c r="G42" s="46"/>
      <c r="H42" s="45"/>
      <c r="I42" s="46"/>
      <c r="J42" s="45"/>
      <c r="K42" s="46"/>
      <c r="L42" s="45"/>
      <c r="M42" s="46"/>
      <c r="N42" s="45"/>
      <c r="O42" s="46"/>
      <c r="P42" s="45"/>
      <c r="Q42" s="46"/>
      <c r="R42" s="45"/>
      <c r="S42" s="17"/>
      <c r="T42" s="45"/>
      <c r="U42" s="17"/>
      <c r="V42" s="45"/>
      <c r="W42" s="17"/>
      <c r="X42" s="17"/>
      <c r="Y42" s="17"/>
      <c r="Z42" s="17"/>
      <c r="AA42" s="17"/>
      <c r="AB42" s="17"/>
    </row>
    <row r="43" spans="1:31" ht="16" thickBo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31" ht="16" thickBot="1">
      <c r="A44" s="18" t="s">
        <v>35</v>
      </c>
      <c r="B44" s="19" t="str">
        <f>IF($R$41&lt;Input!D12,"N/A",IF(Input!D12&lt;=ZG!$B$41,ZG!$B$5,IF(Input!D12&lt;=ZG!$D$41,ZG!$D$5,IF(Input!D12&lt;=ZG!$F$41,ZG!$F$5,IF(Input!D12&lt;=ZG!$H$41,ZG!$H$5,IF(Input!D12&lt;=ZG!$J$41,ZG!$J$5,IF(Input!D12&lt;=ZG!$L$41,ZG!$L$5,IF(Input!D12&lt;=ZG!$N$41,$N$5,IF(Input!D12&lt;=ZG!$P$41,ZG!$P$5,IF(Input!D12&lt;=ZG!$R$41,ZG!$R$5,))))))))))</f>
        <v>ZG7</v>
      </c>
      <c r="C44" s="17"/>
      <c r="D44" t="s">
        <v>146</v>
      </c>
      <c r="E44" s="17" t="str">
        <f>IF($V$41&lt;Input!D12,"N/A",IF(Input!D12&lt;=ZG!$B$41,ZG!$B$5,IF(Input!D12&lt;=ZG!$D$41,ZG!$D$5,IF(Input!D12&lt;=ZG!$F$41,ZG!$F$5,IF(Input!D12&lt;=ZG!$H$41,ZG!$H$5,IF(Input!D12&lt;=ZG!$J$41,ZG!$J$5,IF(Input!D12&lt;=ZG!$L$41,ZG!$L$5,IF(Input!D12&lt;=ZG!$N$41,$N$5,IF(Input!D12&lt;=ZG!$P$41,ZG!$P$5,IF(Input!D12&lt;=ZG!$R$41,$R$5,IF(Input!D12&lt;=$T$41,$T$5,IF(Input!D12&lt;=$V$41,$V$5,))))))))))))</f>
        <v>N/A</v>
      </c>
      <c r="F44" s="47" t="str">
        <f>IF(Input!D12&lt;=ZG!$B$41,ZG!$B$5,IF(Input!D12&lt;=ZG!$D$41,ZG!$D$5,IF(Input!D12&lt;=ZG!$F$41,ZG!$F$5,IF(Input!D12&lt;=ZG!$H$41,ZG!$H$5,IF(Input!D12&lt;=ZG!$J$41,ZG!$J$5,IF(Input!D12&lt;=ZG!$L$41,ZG!$L$5,IF(Input!D12&lt;=ZG!$N$41,$N$5,IF(Input!D12&lt;=ZG!$P$41,ZG!$P$5,IF(Input!D12&lt;=ZG!$R$41,ZG!$R$5,)))))))))</f>
        <v>ZG7</v>
      </c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31">
      <c r="A45" s="17" t="s">
        <v>132</v>
      </c>
      <c r="B45" s="17">
        <f>Input!$D$27</f>
        <v>0</v>
      </c>
      <c r="C45" s="17"/>
      <c r="D45" s="17"/>
      <c r="E45" s="17"/>
      <c r="F45" s="4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3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31" ht="33" thickBot="1"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101" t="s">
        <v>145</v>
      </c>
      <c r="N47" s="124" t="s">
        <v>250</v>
      </c>
      <c r="O47" s="17" t="s">
        <v>323</v>
      </c>
      <c r="P47" s="17"/>
      <c r="Q47" s="17"/>
      <c r="R47" s="17"/>
      <c r="S47" s="17"/>
      <c r="T47" s="17"/>
      <c r="U47" s="17"/>
      <c r="V47" s="52"/>
      <c r="W47" s="17"/>
      <c r="X47" s="17"/>
      <c r="Y47" s="135"/>
      <c r="Z47" s="135"/>
      <c r="AA47" s="135"/>
      <c r="AB47" s="17"/>
    </row>
    <row r="48" spans="1:31" ht="15.75" customHeight="1" thickBot="1">
      <c r="B48" s="3" t="s">
        <v>18</v>
      </c>
      <c r="C48" s="35">
        <v>490</v>
      </c>
      <c r="D48" s="36">
        <v>70</v>
      </c>
      <c r="E48" s="3">
        <v>6.6849999999999996</v>
      </c>
      <c r="F48" s="3">
        <f>IF(ZG!$B$44=$B48,Input!$D$14,IF($B$45=$B48,Input!$D$14,1000))</f>
        <v>1000</v>
      </c>
      <c r="G48" s="3">
        <f>IF($B$44=$B48,Input!$D$12,IF($B$45=B48,Input!$D$12,10))</f>
        <v>10</v>
      </c>
      <c r="H48" s="37">
        <f>$E48*$F48*($C48/60)^3*($D48/1000)^5</f>
        <v>6.1196431837754623</v>
      </c>
      <c r="I48" s="41">
        <v>1</v>
      </c>
      <c r="J48" s="39">
        <f t="shared" ref="J48:J64" si="0">9549*H48/C48/1000</f>
        <v>0.11925810767728957</v>
      </c>
      <c r="K48" s="104">
        <f t="shared" ref="K48:K64" si="1">H48/G48</f>
        <v>0.61196431837754628</v>
      </c>
      <c r="L48" s="104">
        <f>3.14*$D48/1000*$C$48/60</f>
        <v>1.7950333333333335</v>
      </c>
      <c r="M48" s="123">
        <v>55</v>
      </c>
      <c r="N48" s="35">
        <v>1.1599999999999999</v>
      </c>
      <c r="O48" s="17">
        <v>18</v>
      </c>
      <c r="P48" s="17"/>
      <c r="Q48" s="17"/>
      <c r="R48" s="17"/>
      <c r="S48" s="17"/>
      <c r="T48" s="17"/>
      <c r="U48" s="17"/>
      <c r="V48" s="237" t="s">
        <v>283</v>
      </c>
      <c r="W48" s="134"/>
      <c r="X48" s="130" t="s">
        <v>268</v>
      </c>
      <c r="Y48" s="138" t="s">
        <v>277</v>
      </c>
      <c r="Z48" s="130" t="s">
        <v>273</v>
      </c>
      <c r="AA48" s="138" t="s">
        <v>277</v>
      </c>
      <c r="AB48" s="17"/>
      <c r="AC48" s="17"/>
      <c r="AD48" s="17"/>
      <c r="AE48" s="17"/>
    </row>
    <row r="49" spans="1:30" ht="25" customHeight="1">
      <c r="A49" s="141" t="s">
        <v>46</v>
      </c>
      <c r="B49" s="142" t="s">
        <v>18</v>
      </c>
      <c r="C49" s="142">
        <v>490</v>
      </c>
      <c r="D49" s="143">
        <v>70</v>
      </c>
      <c r="E49" s="142">
        <v>6.6849999999999996</v>
      </c>
      <c r="F49" s="142">
        <v>1000</v>
      </c>
      <c r="G49" s="142">
        <f>IF($B$44=$B49,Input!$D$12,IF($B$45=B49,Input!$D$12,10))</f>
        <v>10</v>
      </c>
      <c r="H49" s="144">
        <f t="shared" ref="H49:H64" si="2">$E49*$F49*($C49/60)^3*($D49/1000)^5</f>
        <v>6.1196431837754623</v>
      </c>
      <c r="I49" s="145">
        <v>1</v>
      </c>
      <c r="J49" s="146">
        <f t="shared" si="0"/>
        <v>0.11925810767728957</v>
      </c>
      <c r="K49" s="146">
        <f t="shared" si="1"/>
        <v>0.61196431837754628</v>
      </c>
      <c r="L49" s="146">
        <f t="shared" ref="L49:L65" si="3">3.14*$D49/1000*C49/60</f>
        <v>1.7950333333333335</v>
      </c>
      <c r="M49" s="147">
        <v>55</v>
      </c>
      <c r="N49" s="142">
        <v>1.1599999999999999</v>
      </c>
      <c r="O49" s="17">
        <v>18</v>
      </c>
      <c r="P49" s="17"/>
      <c r="Q49" s="17"/>
      <c r="R49" s="17"/>
      <c r="S49" s="17"/>
      <c r="T49" s="17"/>
      <c r="U49" s="17"/>
      <c r="V49" s="237"/>
      <c r="W49" s="131" t="s">
        <v>47</v>
      </c>
      <c r="X49" s="150" cm="1">
        <f t="array" ref="X49">IF($B$45=0,
IF($B$44="N/A","N/A",IF(Input!D14&lt;=1000,VLOOKUP($B$44,ZG!$B$48:$N$69,2,FALSE),ROUNDDOWN((SQRT((213500000000000000*(INDEX($B$48:$N$69,(MATCH($B$44,$B$48:$B$69,0)+1),9)))/(9.549*(INDEX($B$48:$N$69,(MATCH($B$44,$B$48:$B$69,0)),4))*((INDEX($B$48:$N$69,(MATCH($B$44,$B$48:$B$69,0)),5))/1000)*((INDEX($B$48:$N$69,(MATCH($B$44,$B$48:$B$69,0)),3))^5)))),0))),
IF(Input!D14&lt;=1000,VLOOKUP($B$45,ZG!$B$48:$N$69,2,FALSE),ROUNDDOWN((SQRT((213500000000000000*(INDEX($B$48:$N$69,(MATCH($B$45,$B$48:$B$69,0)+1),9)))/(9.549*(INDEX($B$48:$N$69,(MATCH($B$45,$B$48:$B$69,0)),4))*((INDEX($B$48:$N$69,(MATCH($B$45,$B$48:$B$69,0)),5))/1000)*((INDEX($B$48:$N$69,(MATCH($B$45,$B$48:$B$69,0)),3))^5)))),0)))</f>
        <v>344</v>
      </c>
      <c r="Y49" s="49" t="s">
        <v>274</v>
      </c>
      <c r="Z49" s="150">
        <f>$X$49</f>
        <v>344</v>
      </c>
      <c r="AA49" s="153" t="s">
        <v>274</v>
      </c>
      <c r="AB49" s="17"/>
      <c r="AC49" s="17"/>
      <c r="AD49" s="83"/>
    </row>
    <row r="50" spans="1:30" ht="25" customHeight="1">
      <c r="B50" s="3" t="s">
        <v>19</v>
      </c>
      <c r="C50" s="35">
        <v>490</v>
      </c>
      <c r="D50" s="36">
        <v>96</v>
      </c>
      <c r="E50" s="3">
        <v>6.6849999999999996</v>
      </c>
      <c r="F50" s="3">
        <f>IF(ZG!$B$44=$B50,Input!$D$14,IF($B$45=$B50,Input!$D$14,1000))</f>
        <v>1000</v>
      </c>
      <c r="G50" s="3">
        <f>IF($B$44=$B50,Input!$D$12,IF($B$45=B50,Input!$D$12,50))</f>
        <v>50</v>
      </c>
      <c r="H50" s="37">
        <f t="shared" si="2"/>
        <v>29.688760463523831</v>
      </c>
      <c r="I50" s="41">
        <v>1</v>
      </c>
      <c r="J50" s="39">
        <f t="shared" si="0"/>
        <v>0.57856729319630429</v>
      </c>
      <c r="K50" s="102">
        <f t="shared" si="1"/>
        <v>0.59377520927047667</v>
      </c>
      <c r="L50" s="104">
        <f t="shared" si="3"/>
        <v>2.4617599999999999</v>
      </c>
      <c r="M50" s="123">
        <v>55</v>
      </c>
      <c r="N50" s="35">
        <v>1.1599999999999999</v>
      </c>
      <c r="O50" s="17">
        <v>18</v>
      </c>
      <c r="P50" s="17"/>
      <c r="Q50" s="17"/>
      <c r="R50" s="17"/>
      <c r="S50" s="17"/>
      <c r="T50" s="17"/>
      <c r="U50" s="17"/>
      <c r="V50" s="237"/>
      <c r="W50" s="132" t="s">
        <v>8</v>
      </c>
      <c r="X50" s="164">
        <f>IF($B$45=0,
IF($X$49=$B$44,"N/A",(VLOOKUP($B$44,ZG!$B$48:$N$69,4,FALSE)*Input!$D$14*($X$49/60)^3*((VLOOKUP($B$44,ZG!$B$48:$N$69,3,FALSE))/1000)^5)/Input!$D$12),
(VLOOKUP($B$45,ZG!$B$48:$N$69,4,FALSE)*Input!$D$14*($X$49/60)^3*((VLOOKUP($B$45,ZG!$B$48:$N$69,3,FALSE))/1000)^5)/Input!$D$12)</f>
        <v>0.48638122946350604</v>
      </c>
      <c r="Y50" s="85" t="s">
        <v>9</v>
      </c>
      <c r="Z50" s="151">
        <f>IF($X$50="N/A",
           "N/A",
             $X$50/0.264172)</f>
        <v>1.8411536024389641</v>
      </c>
      <c r="AA50" s="136" t="s">
        <v>275</v>
      </c>
      <c r="AB50" s="17"/>
      <c r="AD50" s="83" t="s">
        <v>303</v>
      </c>
    </row>
    <row r="51" spans="1:30" ht="25" customHeight="1">
      <c r="A51" s="141" t="s">
        <v>46</v>
      </c>
      <c r="B51" s="142" t="s">
        <v>19</v>
      </c>
      <c r="C51" s="142">
        <v>490</v>
      </c>
      <c r="D51" s="143">
        <v>96</v>
      </c>
      <c r="E51" s="142">
        <v>6.6849999999999996</v>
      </c>
      <c r="F51" s="142">
        <v>1000</v>
      </c>
      <c r="G51" s="142">
        <f>IF($B$44=$B51,Input!$D$12,IF($B$45=B51,Input!$D$12,50))</f>
        <v>50</v>
      </c>
      <c r="H51" s="144">
        <f t="shared" si="2"/>
        <v>29.688760463523831</v>
      </c>
      <c r="I51" s="145">
        <v>1</v>
      </c>
      <c r="J51" s="146">
        <f t="shared" si="0"/>
        <v>0.57856729319630429</v>
      </c>
      <c r="K51" s="144">
        <f t="shared" si="1"/>
        <v>0.59377520927047667</v>
      </c>
      <c r="L51" s="146">
        <f t="shared" si="3"/>
        <v>2.4617599999999999</v>
      </c>
      <c r="M51" s="147">
        <v>55</v>
      </c>
      <c r="N51" s="142">
        <v>1.1599999999999999</v>
      </c>
      <c r="O51" s="17">
        <v>18</v>
      </c>
      <c r="P51" s="17"/>
      <c r="Q51" s="17"/>
      <c r="R51" s="17"/>
      <c r="S51" s="17"/>
      <c r="T51" s="17"/>
      <c r="U51" s="17"/>
      <c r="V51" s="237"/>
      <c r="W51" s="132" t="s">
        <v>10</v>
      </c>
      <c r="X51" s="155">
        <f>IF($B$45=0,
IF($X$49=$B$44,"N/A",3.14*VLOOKUP($B$44,$B$48:$N$69,3,FALSE)/1000*$X$49/60),
3.14*VLOOKUP($B$45,$B$48:$N$69,3,FALSE)/1000*$X$49/60)</f>
        <v>3.1864719999999997</v>
      </c>
      <c r="Y51" s="136" t="s">
        <v>11</v>
      </c>
      <c r="Z51" s="152">
        <f>IF($X$51="N/A",
           "N/A",
            $X$51*196.85)</f>
        <v>627.25701319999996</v>
      </c>
      <c r="AA51" s="136" t="s">
        <v>276</v>
      </c>
      <c r="AB51" s="17"/>
      <c r="AD51" s="83"/>
    </row>
    <row r="52" spans="1:30" ht="33" thickBot="1">
      <c r="B52" s="3" t="s">
        <v>20</v>
      </c>
      <c r="C52" s="35">
        <v>490</v>
      </c>
      <c r="D52" s="36">
        <v>117</v>
      </c>
      <c r="E52" s="3">
        <v>6.6849999999999996</v>
      </c>
      <c r="F52" s="3">
        <f>IF(ZG!$B$44=$B52,Input!$D$14,IF($B$45=$B52,Input!$D$14,1000))</f>
        <v>1000</v>
      </c>
      <c r="G52" s="3">
        <f>IF($B$44=$B52,Input!$D$12,IF($B$45=B52,Input!$D$12,250))</f>
        <v>250</v>
      </c>
      <c r="H52" s="37">
        <f t="shared" si="2"/>
        <v>79.829830888638114</v>
      </c>
      <c r="I52" s="41">
        <v>2</v>
      </c>
      <c r="J52" s="39">
        <f t="shared" si="0"/>
        <v>1.5557041941951129</v>
      </c>
      <c r="K52" s="102">
        <f t="shared" si="1"/>
        <v>0.31931932355455245</v>
      </c>
      <c r="L52" s="104">
        <f t="shared" si="3"/>
        <v>3.00027</v>
      </c>
      <c r="M52" s="123">
        <v>94</v>
      </c>
      <c r="N52" s="35">
        <v>1.1499999999999999</v>
      </c>
      <c r="O52" s="17">
        <v>32</v>
      </c>
      <c r="P52" s="17"/>
      <c r="Q52" s="17"/>
      <c r="R52" s="17"/>
      <c r="S52" s="17"/>
      <c r="T52" s="17"/>
      <c r="U52" s="17"/>
      <c r="V52" s="237"/>
      <c r="W52" s="154" t="s">
        <v>289</v>
      </c>
      <c r="X52" s="158">
        <f>IF(OR($X$58=0,$X$58="N/A"),
         "N/A",
          IF(Input!$D$12/$X$58*4&lt;0.25,
                   0.5,
                   MROUND(Input!$D$12/$X$58*4,0.5)))</f>
        <v>2</v>
      </c>
      <c r="Y52" s="29" t="s">
        <v>301</v>
      </c>
      <c r="Z52" s="157">
        <f>$X$52</f>
        <v>2</v>
      </c>
      <c r="AA52" s="29" t="s">
        <v>301</v>
      </c>
      <c r="AB52" s="17"/>
      <c r="AD52" s="83"/>
    </row>
    <row r="53" spans="1:30" ht="25" customHeight="1">
      <c r="A53" s="141" t="s">
        <v>46</v>
      </c>
      <c r="B53" s="142" t="s">
        <v>20</v>
      </c>
      <c r="C53" s="142">
        <v>490</v>
      </c>
      <c r="D53" s="143">
        <v>117</v>
      </c>
      <c r="E53" s="142">
        <v>6.6849999999999996</v>
      </c>
      <c r="F53" s="142">
        <v>1000</v>
      </c>
      <c r="G53" s="142">
        <f>IF($B$44=$B53,Input!$D$12,IF($B$45=B53,Input!$D$12,250))</f>
        <v>250</v>
      </c>
      <c r="H53" s="144">
        <f t="shared" si="2"/>
        <v>79.829830888638114</v>
      </c>
      <c r="I53" s="145">
        <v>2</v>
      </c>
      <c r="J53" s="146">
        <f t="shared" si="0"/>
        <v>1.5557041941951129</v>
      </c>
      <c r="K53" s="144">
        <f t="shared" si="1"/>
        <v>0.31931932355455245</v>
      </c>
      <c r="L53" s="146">
        <f t="shared" si="3"/>
        <v>3.00027</v>
      </c>
      <c r="M53" s="147">
        <v>94</v>
      </c>
      <c r="N53" s="142">
        <v>1.1499999999999999</v>
      </c>
      <c r="O53" s="17">
        <v>32</v>
      </c>
      <c r="P53" s="17"/>
      <c r="Q53" s="17"/>
      <c r="R53" s="52"/>
      <c r="S53" s="17"/>
      <c r="T53" s="17"/>
      <c r="U53" s="17"/>
      <c r="V53" s="237" t="s">
        <v>281</v>
      </c>
      <c r="W53" s="131" t="s">
        <v>284</v>
      </c>
      <c r="X53" s="187">
        <f>IF(Input!$E$27=0,$X$49,Input!$E$27)</f>
        <v>344</v>
      </c>
      <c r="Y53" s="85" t="s">
        <v>274</v>
      </c>
      <c r="Z53" s="188">
        <f>$X$53</f>
        <v>344</v>
      </c>
      <c r="AA53" s="136" t="s">
        <v>274</v>
      </c>
      <c r="AB53" s="17"/>
      <c r="AD53" s="83"/>
    </row>
    <row r="54" spans="1:30" ht="25" customHeight="1">
      <c r="B54" s="3" t="s">
        <v>21</v>
      </c>
      <c r="C54" s="35">
        <v>490</v>
      </c>
      <c r="D54" s="36">
        <v>148</v>
      </c>
      <c r="E54" s="3">
        <v>6.6849999999999996</v>
      </c>
      <c r="F54" s="3">
        <f>IF(ZG!$B$44=$B54,Input!$D$14,IF($B$45=$B54,Input!$D$14,1000))</f>
        <v>1000</v>
      </c>
      <c r="G54" s="3">
        <f>IF($B$44=$B54,Input!$D$12,IF($B$45=B54,Input!$D$12,850))</f>
        <v>850</v>
      </c>
      <c r="H54" s="37">
        <f t="shared" si="2"/>
        <v>258.5499615410568</v>
      </c>
      <c r="I54" s="41">
        <v>6</v>
      </c>
      <c r="J54" s="42">
        <f t="shared" si="0"/>
        <v>5.038558332154186</v>
      </c>
      <c r="K54" s="102">
        <f t="shared" si="1"/>
        <v>0.30417642534241979</v>
      </c>
      <c r="L54" s="104">
        <f t="shared" si="3"/>
        <v>3.7952133333333338</v>
      </c>
      <c r="M54" s="123">
        <v>94</v>
      </c>
      <c r="N54" s="35">
        <v>1.1000000000000001</v>
      </c>
      <c r="O54" s="17">
        <v>32</v>
      </c>
      <c r="P54" s="17"/>
      <c r="Q54" s="17"/>
      <c r="R54" s="17"/>
      <c r="S54" s="17"/>
      <c r="T54" s="17"/>
      <c r="U54" s="17"/>
      <c r="V54" s="237"/>
      <c r="W54" s="132" t="s">
        <v>8</v>
      </c>
      <c r="X54" s="181">
        <f>IF($B$45=0,
IF($B$44=$X$49,"N/A",(VLOOKUP($B$44,ZG!$B$48:$N$69,4,FALSE)*Input!$D$14*($X$53/60)^3*(((VLOOKUP($B$44,ZG!$B$48:$N$69,3,FALSE))/1000)^5)/Input!$D$12)),
(VLOOKUP($B$45,ZG!$B$48:$N$69,4,FALSE)*Input!$D$14*($X$53/60)^3*(((VLOOKUP($B$45,ZG!$B$48:$N$69,3,FALSE))/1000)^5)/Input!$D$12))</f>
        <v>0.48638122946350604</v>
      </c>
      <c r="Y54" s="85" t="s">
        <v>9</v>
      </c>
      <c r="Z54" s="184">
        <f>IF($X$54="N/A",
           "N/A",
            $X$54/0.264172)</f>
        <v>1.8411536024389641</v>
      </c>
      <c r="AA54" s="136" t="s">
        <v>275</v>
      </c>
      <c r="AB54" s="17"/>
      <c r="AD54" s="83"/>
    </row>
    <row r="55" spans="1:30">
      <c r="A55" s="141" t="s">
        <v>46</v>
      </c>
      <c r="B55" s="142" t="s">
        <v>21</v>
      </c>
      <c r="C55" s="142">
        <v>490</v>
      </c>
      <c r="D55" s="143">
        <v>148</v>
      </c>
      <c r="E55" s="142">
        <v>6.6849999999999996</v>
      </c>
      <c r="F55" s="142">
        <v>1000</v>
      </c>
      <c r="G55" s="142">
        <f>IF($B$44=$B55,Input!$D$12,IF($B$45=B55,Input!$D$12,850))</f>
        <v>850</v>
      </c>
      <c r="H55" s="144">
        <f t="shared" si="2"/>
        <v>258.5499615410568</v>
      </c>
      <c r="I55" s="145">
        <v>6</v>
      </c>
      <c r="J55" s="148">
        <f t="shared" si="0"/>
        <v>5.038558332154186</v>
      </c>
      <c r="K55" s="144">
        <f t="shared" si="1"/>
        <v>0.30417642534241979</v>
      </c>
      <c r="L55" s="146">
        <f t="shared" si="3"/>
        <v>3.7952133333333338</v>
      </c>
      <c r="M55" s="147">
        <v>94</v>
      </c>
      <c r="N55" s="142">
        <v>1.1000000000000001</v>
      </c>
      <c r="O55" s="17">
        <v>32</v>
      </c>
      <c r="P55" s="17"/>
      <c r="Q55" s="17"/>
      <c r="R55" s="17"/>
      <c r="S55" s="17"/>
      <c r="T55" s="17"/>
      <c r="U55" s="17"/>
      <c r="V55" s="237"/>
      <c r="W55" s="132" t="s">
        <v>285</v>
      </c>
      <c r="X55" s="182">
        <f>IF($B$45=0,
IF($X$49=$B$44,"N/A",3.14*VLOOKUP($B$44,$B$48:$N$69,3,FALSE)/1000*$X$53/60),
3.14*VLOOKUP($B$45,$B$48:$N$69,3,FALSE)/1000*$X$53/60)</f>
        <v>3.1864719999999997</v>
      </c>
      <c r="Y55" s="136" t="s">
        <v>11</v>
      </c>
      <c r="Z55" s="185">
        <f>IF($X$55="N/A",
           "N/A",
            $X$55*196.85)</f>
        <v>627.25701319999996</v>
      </c>
      <c r="AA55" s="136" t="s">
        <v>276</v>
      </c>
      <c r="AB55" s="17"/>
      <c r="AD55" s="83"/>
    </row>
    <row r="56" spans="1:30" ht="33" thickBot="1">
      <c r="B56" s="3" t="s">
        <v>22</v>
      </c>
      <c r="C56" s="35">
        <v>490</v>
      </c>
      <c r="D56" s="36">
        <v>160</v>
      </c>
      <c r="E56" s="3">
        <v>6.6849999999999996</v>
      </c>
      <c r="F56" s="3">
        <f>IF(ZG!$B$44=$B56,Input!$D$14,IF($B$45=$B56,Input!$D$14,1000))</f>
        <v>1000</v>
      </c>
      <c r="G56" s="3">
        <f>IF($B$44=$B56,Input!$D$12,IF($B$45=B56,Input!$D$12,1000))</f>
        <v>1000</v>
      </c>
      <c r="H56" s="37">
        <f t="shared" si="2"/>
        <v>381.79990308029613</v>
      </c>
      <c r="I56" s="41">
        <v>8</v>
      </c>
      <c r="J56" s="103">
        <f t="shared" si="0"/>
        <v>7.4404230092117292</v>
      </c>
      <c r="K56" s="102">
        <f t="shared" si="1"/>
        <v>0.38179990308029615</v>
      </c>
      <c r="L56" s="104">
        <f t="shared" si="3"/>
        <v>4.1029333333333344</v>
      </c>
      <c r="M56" s="123">
        <v>104</v>
      </c>
      <c r="N56" s="35">
        <v>1</v>
      </c>
      <c r="O56" s="17">
        <v>32</v>
      </c>
      <c r="P56" s="17"/>
      <c r="Q56" s="17"/>
      <c r="R56" s="17"/>
      <c r="S56" s="17"/>
      <c r="T56" s="17"/>
      <c r="U56" s="17"/>
      <c r="V56" s="237"/>
      <c r="W56" s="154" t="s">
        <v>290</v>
      </c>
      <c r="X56" s="183">
        <f>IF(OR($X$58=0,$X$58="N/A"),
         "N/A",
           IF(Input!$D$12/$X$59*4&lt;0.25,
                    0.5,
                    MROUND(Input!$D$12/$X$59*4,0.5)))</f>
        <v>2</v>
      </c>
      <c r="Y56" s="137" t="s">
        <v>301</v>
      </c>
      <c r="Z56" s="186">
        <f>$X$56</f>
        <v>2</v>
      </c>
      <c r="AA56" s="94" t="s">
        <v>301</v>
      </c>
      <c r="AB56" s="17"/>
      <c r="AD56" s="83"/>
    </row>
    <row r="57" spans="1:30">
      <c r="A57" s="141" t="s">
        <v>46</v>
      </c>
      <c r="B57" s="142" t="s">
        <v>22</v>
      </c>
      <c r="C57" s="142">
        <v>490</v>
      </c>
      <c r="D57" s="143">
        <v>160</v>
      </c>
      <c r="E57" s="142">
        <v>6.6849999999999996</v>
      </c>
      <c r="F57" s="142">
        <v>1000</v>
      </c>
      <c r="G57" s="142">
        <f>IF($B$44=$B57,Input!$D$12,IF($B$45=B57,Input!$D$12,1000))</f>
        <v>1000</v>
      </c>
      <c r="H57" s="144">
        <f t="shared" si="2"/>
        <v>381.79990308029613</v>
      </c>
      <c r="I57" s="145">
        <v>8</v>
      </c>
      <c r="J57" s="148">
        <f t="shared" si="0"/>
        <v>7.4404230092117292</v>
      </c>
      <c r="K57" s="144">
        <f t="shared" si="1"/>
        <v>0.38179990308029615</v>
      </c>
      <c r="L57" s="146">
        <f t="shared" si="3"/>
        <v>4.1029333333333344</v>
      </c>
      <c r="M57" s="147">
        <v>104</v>
      </c>
      <c r="N57" s="142">
        <v>1</v>
      </c>
      <c r="O57" s="17">
        <v>32</v>
      </c>
      <c r="P57" s="17"/>
      <c r="Q57" s="17"/>
      <c r="R57" s="17"/>
      <c r="S57" s="17"/>
      <c r="T57" s="17"/>
      <c r="U57" s="17"/>
      <c r="V57" s="17"/>
      <c r="W57" s="159" t="s">
        <v>249</v>
      </c>
      <c r="X57" s="159">
        <v>0.5</v>
      </c>
      <c r="Y57" s="159"/>
      <c r="Z57" s="159"/>
      <c r="AA57" s="159"/>
      <c r="AB57" s="17"/>
      <c r="AD57" s="83"/>
    </row>
    <row r="58" spans="1:30">
      <c r="B58" s="3" t="s">
        <v>23</v>
      </c>
      <c r="C58" s="35">
        <v>490</v>
      </c>
      <c r="D58" s="36">
        <v>177</v>
      </c>
      <c r="E58" s="3">
        <v>6.6849999999999996</v>
      </c>
      <c r="F58" s="3">
        <f>IF(ZG!$B$44=$B58,Input!$D$14,IF($B$45=$B58,Input!$D$14,1000))</f>
        <v>2000</v>
      </c>
      <c r="G58" s="3">
        <f>IF($B$44=$B58,Input!$D$12,IF($B$45=B58,Input!$D$12,2000))</f>
        <v>900</v>
      </c>
      <c r="H58" s="37">
        <f t="shared" si="2"/>
        <v>1265.1214756109525</v>
      </c>
      <c r="I58" s="41">
        <v>13</v>
      </c>
      <c r="J58" s="42">
        <f t="shared" si="0"/>
        <v>24.654377491038744</v>
      </c>
      <c r="K58" s="102">
        <f t="shared" si="1"/>
        <v>1.4056905284566139</v>
      </c>
      <c r="L58" s="104">
        <f t="shared" si="3"/>
        <v>4.5388699999999993</v>
      </c>
      <c r="M58" s="123">
        <v>129.5</v>
      </c>
      <c r="N58" s="35">
        <v>1</v>
      </c>
      <c r="O58" s="17">
        <v>32</v>
      </c>
      <c r="P58" s="17"/>
      <c r="Q58" s="17"/>
      <c r="R58" s="17"/>
      <c r="S58" s="17"/>
      <c r="T58" s="17"/>
      <c r="U58" s="17"/>
      <c r="V58" s="17"/>
      <c r="W58" s="159" t="s">
        <v>287</v>
      </c>
      <c r="X58" s="159">
        <f>IF(AND($B$45=0,$B$44="N/A"),
          "N/A",
             IF($B$45=0,
IF($X$57*(10.74*(VLOOKUP($B$44,$B$48:$M$69,3,FALSE)/25.4)^2*$X$49*(Input!$D$14/1000)/Input!$D$15)&gt;=20000,1,IF($X$57*(10.74*(VLOOKUP($B$44,$B$48:$M$69,3,FALSE)/25.4)^2*$X$49*(Input!$D$14/1000)/Input!$D$15)&gt;=300,EXP(-5.328+1.683*LN($X$57*(10.74*(VLOOKUP($B$44,$B$48:$M$69,3,FALSE)/25.4)^2*$X$49*(Input!$D$14/1000)/Input!$D$15))-0.179*LN($X$57*(10.74*(VLOOKUP($B$44,$B$48:$M$69,3,FALSE)/25.4)^2*$X$49*(Input!$D$14/1000)/Input!$D$15))^2+0.0064*LN($X$57*(10.74*(VLOOKUP($B$44,$B$48:$M$69,3,FALSE)/25.4)^2*$X$49*(Input!$D$14/1000)/Input!$D$15))^3),IF($X$57*(10.74*(VLOOKUP($B$44,$B$48:$M$69,3,FALSE)/25.4)^2*$X$49*(Input!$D$14/1000)/Input!$D$15)&gt;25,EXP(-0.563-0.231*LN($X$57*(10.74*(VLOOKUP($B$44,$B$48:$M$69,3,FALSE)/25.4)^2*$X$49*(Input!$D$14/1000)/Input!$D$15))+0.0466*LN($X$57*(10.74*(VLOOKUP($B$44,$B$48:$M$69,3,FALSE)/25.4)^2*$X$49*(Input!$D$14/1000)/Input!$D$15))^2),0.439)))*VLOOKUP($B$44,$B$48:$N$69,13,FALSE)*$X$49*(VLOOKUP($B$44,$B$48:$M$69,3,FALSE)^3/1000000),
IF($X$57*(10.74*(VLOOKUP($B$45,$B$48:$M$69,3,FALSE)/25.4)^2*$X$49*(Input!$D$14/1000)/Input!$D$15)&gt;=20000,1,IF($X$57*(10.74*(VLOOKUP($B$45,$B$48:$M$69,3,FALSE)/25.4)^2*$X$49*(Input!$D$14/1000)/Input!$D$15)&gt;=300,EXP(-5.328+1.683*LN($X$57*(10.74*(VLOOKUP($B$45,$B$48:$M$69,3,FALSE)/25.4)^2*$X$49*(Input!$D$14/1000)/Input!$D$15))-0.179*LN($X$57*(10.74*(VLOOKUP($B$45,$B$48:$M$69,3,FALSE)/25.4)^2*$X$49*(Input!$D$14/1000)/Input!$D$15))^2+0.0064*LN($X$57*(10.74*(VLOOKUP($B$45,$B$48:$M$69,3,FALSE)/25.4)^2*$X$49*(Input!$D$14/1000)/Input!$D$15))^3),IF($X$57*(10.74*(VLOOKUP($B$45,$B$48:$M$69,3,FALSE)/25.4)^2*$X$49*(Input!$D$14/1000)/Input!$D$15)&gt;25,EXP(-0.563-0.231*LN($X$57*(10.74*(VLOOKUP($B$45,$B$48:$M$69,3,FALSE)/25.4)^2*$X$49*(Input!$D$14/1000)/Input!$D$15))+0.0466*LN($X$57*(10.74*(VLOOKUP($B$45,$B$48:$M$69,3,FALSE)/25.4)^2*$X$49*(Input!$D$14/1000)/Input!$D$15))^2),0.439)))*VLOOKUP($B$45,$B$48:$N$69,13,FALSE)*$X$49*(VLOOKUP($B$45,$B$48:$M$69,3,FALSE)^3/1000000)))</f>
        <v>1903.3169299516499</v>
      </c>
      <c r="Y58" s="159"/>
      <c r="Z58" s="159"/>
      <c r="AA58" s="159"/>
      <c r="AB58" s="17"/>
      <c r="AD58" s="83"/>
    </row>
    <row r="59" spans="1:30">
      <c r="A59" s="141" t="s">
        <v>46</v>
      </c>
      <c r="B59" s="142" t="s">
        <v>23</v>
      </c>
      <c r="C59" s="142">
        <v>490</v>
      </c>
      <c r="D59" s="143">
        <v>177</v>
      </c>
      <c r="E59" s="142">
        <v>6.6849999999999996</v>
      </c>
      <c r="F59" s="142">
        <v>1000</v>
      </c>
      <c r="G59" s="142">
        <f>IF($B$44=$B59,Input!$D$12,IF($B$45=B59,Input!$D$12,2000))</f>
        <v>900</v>
      </c>
      <c r="H59" s="144">
        <f t="shared" si="2"/>
        <v>632.56073780547626</v>
      </c>
      <c r="I59" s="145">
        <v>13</v>
      </c>
      <c r="J59" s="148">
        <f t="shared" si="0"/>
        <v>12.327188745519372</v>
      </c>
      <c r="K59" s="144">
        <f t="shared" si="1"/>
        <v>0.70284526422830695</v>
      </c>
      <c r="L59" s="146">
        <f t="shared" si="3"/>
        <v>4.5388699999999993</v>
      </c>
      <c r="M59" s="147">
        <v>129.5</v>
      </c>
      <c r="N59" s="142">
        <v>1</v>
      </c>
      <c r="O59" s="17">
        <v>32</v>
      </c>
      <c r="P59" s="17"/>
      <c r="Q59" s="17"/>
      <c r="R59" s="17"/>
      <c r="S59" s="17"/>
      <c r="T59" s="17"/>
      <c r="U59" s="17"/>
      <c r="V59" s="17"/>
      <c r="W59" s="159" t="s">
        <v>288</v>
      </c>
      <c r="X59" s="159">
        <f>IF(AND($B$45=0,$B$44="N/A"),
          "N/A",
             IF($B$45=0,
IF($X$57*(10.74*(VLOOKUP($B$44,$B$48:$M$69,3,FALSE)/25.4)^2*$X$53*(Input!$D$14/1000)/Input!$D$15)&gt;=20000,1,IF($X$57*(10.74*(VLOOKUP($B$44,$B$48:$M$69,3,FALSE)/25.4)^2*$X$53*(Input!$D$14/1000)/Input!$D$15)&gt;=300,EXP(-5.328+1.683*LN($X$57*(10.74*(VLOOKUP($B$44,$B$48:$M$69,3,FALSE)/25.4)^2*$X$53*(Input!$D$14/1000)/Input!$D$15))-0.179*LN($X$57*(10.74*(VLOOKUP($B$44,$B$48:$M$69,3,FALSE)/25.4)^2*$X$53*(Input!$D$14/1000)/Input!$D$15))^2+0.0064*LN($X$57*(10.74*(VLOOKUP($B$44,$B$48:$M$69,3,FALSE)/25.4)^2*$X$53*(Input!$D$14/1000)/Input!$D$15))^3),IF($X$57*(10.74*(VLOOKUP($B$44,$B$48:$M$69,3,FALSE)/25.4)^2*$X$53*(Input!$D$14/1000)/Input!$D$15)&gt;25,EXP(-0.563-0.231*LN($X$57*(10.74*(VLOOKUP($B$44,$B$48:$M$69,3,FALSE)/25.4)^2*$X$53*(Input!$D$14/1000)/Input!$D$15))+0.0466*LN($X$57*(10.74*(VLOOKUP($B$44,$B$48:$M$69,3,FALSE)/25.4)^2*$X$53*(Input!$D$14/1000)/Input!$D$15))^2),0.439)))*VLOOKUP($B$44,$B$48:$N$69,13,FALSE)*$X$53*(VLOOKUP($B$44,$B$48:$M$69,3,FALSE)^3/1000000),
IF($X$57*(10.74*(VLOOKUP($B$45,$B$48:$M$69,3,FALSE)/25.4)^2*$X$53*(Input!$D$14/1000)/Input!$D$15)&gt;=20000,1,IF($X$57*(10.74*(VLOOKUP($B$45,$B$48:$M$69,3,FALSE)/25.4)^2*$X$53*(Input!$D$14/1000)/Input!$D$15)&gt;=300,EXP(-5.328+1.683*LN($X$57*(10.74*(VLOOKUP($B$45,$B$48:$M$69,3,FALSE)/25.4)^2*$X$53*(Input!$D$14/1000)/Input!$D$15))-0.179*LN($X$57*(10.74*(VLOOKUP($B$45,$B$48:$M$69,3,FALSE)/25.4)^2*$X$53*(Input!$D$14/1000)/Input!$D$15))^2+0.0064*LN($X$57*(10.74*(VLOOKUP($B$45,$B$48:$M$69,3,FALSE)/25.4)^2*$X$53*(Input!$D$14/1000)/Input!$D$15))^3),IF($X$57*(10.74*(VLOOKUP($B$45,$B$48:$M$69,3,FALSE)/25.4)^2*$X$53*(Input!$D$14/1000)/Input!$D$15)&gt;25,EXP(-0.563-0.231*LN($X$57*(10.74*(VLOOKUP($B$45,$B$48:$M$69,3,FALSE)/25.4)^2*$X$53*(Input!$D$14/1000)/Input!$D$15))+0.0466*LN($X$57*(10.74*(VLOOKUP($B$45,$B$48:$M$69,3,FALSE)/25.4)^2*$X$53*(Input!$D$14/1000)/Input!$D$15))^2),0.439)))*VLOOKUP($B$45,$B$48:$N$69,13,FALSE)*$X$53*(VLOOKUP($B$45,$B$48:$M$69,3,FALSE)^3/1000000)))</f>
        <v>1903.3169299516499</v>
      </c>
      <c r="Y59" s="159"/>
      <c r="Z59" s="159"/>
      <c r="AA59" s="159"/>
      <c r="AB59" s="17"/>
      <c r="AD59" s="83"/>
    </row>
    <row r="60" spans="1:30">
      <c r="B60" s="3" t="s">
        <v>24</v>
      </c>
      <c r="C60" s="3">
        <v>343</v>
      </c>
      <c r="D60" s="36">
        <v>236</v>
      </c>
      <c r="E60" s="3">
        <v>6.6849999999999996</v>
      </c>
      <c r="F60" s="3">
        <f>IF(ZG!$B$44=$B60,Input!$D$14,IF($B$45=$B60,Input!$D$14,1000))</f>
        <v>1000</v>
      </c>
      <c r="G60" s="3">
        <f>IF($B$44=$B60,Input!$D$12,IF($B$45=B60,Input!$D$12,5000))</f>
        <v>5000</v>
      </c>
      <c r="H60" s="37">
        <f t="shared" si="2"/>
        <v>914.30276979791427</v>
      </c>
      <c r="I60" s="41">
        <v>26</v>
      </c>
      <c r="J60" s="43">
        <f t="shared" si="0"/>
        <v>25.453869238484792</v>
      </c>
      <c r="K60" s="102">
        <f>H60/G60</f>
        <v>0.18286055395958287</v>
      </c>
      <c r="L60" s="104">
        <f t="shared" si="3"/>
        <v>4.2362786666666672</v>
      </c>
      <c r="M60" s="123">
        <v>159.5</v>
      </c>
      <c r="N60" s="35">
        <v>1</v>
      </c>
      <c r="O60" s="17">
        <v>40</v>
      </c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D60" s="83"/>
    </row>
    <row r="61" spans="1:30">
      <c r="A61" s="141" t="s">
        <v>46</v>
      </c>
      <c r="B61" s="142" t="s">
        <v>24</v>
      </c>
      <c r="C61" s="142">
        <v>343</v>
      </c>
      <c r="D61" s="143">
        <v>236</v>
      </c>
      <c r="E61" s="142">
        <v>6.6849999999999996</v>
      </c>
      <c r="F61" s="142">
        <v>1000</v>
      </c>
      <c r="G61" s="142">
        <f>IF($B$44=$B61,Input!$D$12,IF($B$45=B61,Input!$D$12,5000))</f>
        <v>5000</v>
      </c>
      <c r="H61" s="144">
        <f t="shared" si="2"/>
        <v>914.30276979791427</v>
      </c>
      <c r="I61" s="145">
        <v>26</v>
      </c>
      <c r="J61" s="149">
        <v>25.5</v>
      </c>
      <c r="K61" s="144">
        <f t="shared" si="1"/>
        <v>0.18286055395958287</v>
      </c>
      <c r="L61" s="146">
        <f t="shared" si="3"/>
        <v>4.2362786666666672</v>
      </c>
      <c r="M61" s="147">
        <v>159.5</v>
      </c>
      <c r="N61" s="142">
        <v>1</v>
      </c>
      <c r="O61" s="17">
        <v>40</v>
      </c>
      <c r="P61" s="17"/>
      <c r="Q61" s="17"/>
      <c r="R61" s="17"/>
      <c r="S61" s="17"/>
      <c r="T61" s="17"/>
      <c r="U61" s="17"/>
      <c r="V61" s="17"/>
      <c r="W61" s="85"/>
      <c r="X61" s="238" t="s">
        <v>279</v>
      </c>
      <c r="Y61" s="238"/>
      <c r="Z61" s="17"/>
      <c r="AA61" s="17"/>
      <c r="AB61" s="17"/>
      <c r="AD61" s="83"/>
    </row>
    <row r="62" spans="1:30" ht="17" thickBot="1">
      <c r="B62" s="3" t="s">
        <v>25</v>
      </c>
      <c r="C62" s="3">
        <v>245</v>
      </c>
      <c r="D62" s="36">
        <v>300</v>
      </c>
      <c r="E62" s="3">
        <v>6.6849999999999996</v>
      </c>
      <c r="F62" s="3">
        <f>IF(ZG!$B$44=$B62,Input!$D$14,IF($B$45=$B62,Input!$D$14,1000))</f>
        <v>1000</v>
      </c>
      <c r="G62" s="3">
        <f>IF($B$44=$B62,Input!$D$12,IF($B$45=B62,Input!$D$12,10000))</f>
        <v>10000</v>
      </c>
      <c r="H62" s="37">
        <f t="shared" si="2"/>
        <v>1105.9925132812496</v>
      </c>
      <c r="I62" s="41">
        <v>50</v>
      </c>
      <c r="J62" s="42">
        <f t="shared" si="0"/>
        <v>43.106622487031238</v>
      </c>
      <c r="K62" s="102">
        <f t="shared" si="1"/>
        <v>0.11059925132812495</v>
      </c>
      <c r="L62" s="104">
        <f t="shared" si="3"/>
        <v>3.8464999999999998</v>
      </c>
      <c r="M62" s="123">
        <v>199.5</v>
      </c>
      <c r="N62" s="35">
        <v>1.1499999999999999</v>
      </c>
      <c r="O62" s="17">
        <v>40</v>
      </c>
      <c r="P62" s="17"/>
      <c r="Q62" s="17"/>
      <c r="R62" s="17"/>
      <c r="S62" s="17"/>
      <c r="T62" s="17"/>
      <c r="U62" s="17"/>
      <c r="V62" s="17"/>
      <c r="W62" s="160" t="str">
        <f>CONCATENATE("Tank Turnovers at ",Input!D15,"cP")</f>
        <v>Tank Turnovers at 10cP</v>
      </c>
      <c r="X62" s="133" t="s">
        <v>286</v>
      </c>
      <c r="Y62" s="135" t="s">
        <v>281</v>
      </c>
      <c r="Z62" s="135"/>
      <c r="AA62" s="17"/>
      <c r="AB62" s="17"/>
    </row>
    <row r="63" spans="1:30">
      <c r="A63" s="141" t="s">
        <v>46</v>
      </c>
      <c r="B63" s="142" t="s">
        <v>25</v>
      </c>
      <c r="C63" s="142">
        <v>245</v>
      </c>
      <c r="D63" s="143">
        <v>300</v>
      </c>
      <c r="E63" s="142">
        <v>6.6849999999999996</v>
      </c>
      <c r="F63" s="142">
        <v>1000</v>
      </c>
      <c r="G63" s="142">
        <f>IF($B$44=$B63,Input!$D$12,IF($B$45=B63,Input!$D$12,10000))</f>
        <v>10000</v>
      </c>
      <c r="H63" s="144">
        <f t="shared" si="2"/>
        <v>1105.9925132812496</v>
      </c>
      <c r="I63" s="145">
        <v>50</v>
      </c>
      <c r="J63" s="148">
        <f t="shared" si="0"/>
        <v>43.106622487031238</v>
      </c>
      <c r="K63" s="144">
        <f t="shared" si="1"/>
        <v>0.11059925132812495</v>
      </c>
      <c r="L63" s="146">
        <f t="shared" si="3"/>
        <v>3.8464999999999998</v>
      </c>
      <c r="M63" s="147">
        <v>199.5</v>
      </c>
      <c r="N63" s="142">
        <v>1.1499999999999999</v>
      </c>
      <c r="O63" s="17">
        <v>40</v>
      </c>
      <c r="P63" s="17"/>
      <c r="Q63" s="17"/>
      <c r="R63" s="17"/>
      <c r="S63" s="17"/>
      <c r="T63" s="17"/>
      <c r="U63" s="17"/>
      <c r="V63" s="17"/>
      <c r="W63" s="161">
        <v>0</v>
      </c>
      <c r="X63" s="162">
        <f>IF(OR($X$58=0,$X$58="N/A"),
           "N/A",
              Input!$D$12/$X$58*$W63)</f>
        <v>0</v>
      </c>
      <c r="Y63" s="180">
        <f>IF(OR($X$59=0,$X$59="N/A"),
         "N/A",
           Input!$D$12/$X$59*$W63)</f>
        <v>0</v>
      </c>
      <c r="Z63" s="88"/>
      <c r="AA63" s="17"/>
      <c r="AB63" s="17"/>
    </row>
    <row r="64" spans="1:30">
      <c r="B64" s="3" t="s">
        <v>26</v>
      </c>
      <c r="C64" s="3">
        <v>245</v>
      </c>
      <c r="D64" s="36">
        <v>350</v>
      </c>
      <c r="E64" s="3">
        <v>6.6849999999999996</v>
      </c>
      <c r="F64" s="3">
        <f>IF(ZG!$B$44=$B64,Input!$D$14,IF($B$45=$B64,Input!$D$14,1000))</f>
        <v>1000</v>
      </c>
      <c r="G64" s="3">
        <f>IF($B$44=$B64,Input!$D$12,IF($B$45=B64,Input!$D$12,20000))</f>
        <v>20000</v>
      </c>
      <c r="H64" s="37">
        <f t="shared" si="2"/>
        <v>2390.4856186622883</v>
      </c>
      <c r="I64" s="41">
        <v>100</v>
      </c>
      <c r="J64" s="42">
        <f t="shared" si="0"/>
        <v>93.170396622882407</v>
      </c>
      <c r="K64" s="102">
        <f t="shared" si="1"/>
        <v>0.11952428093311442</v>
      </c>
      <c r="L64" s="104">
        <f t="shared" si="3"/>
        <v>4.4875833333333333</v>
      </c>
      <c r="M64" s="123">
        <v>229.5</v>
      </c>
      <c r="N64" s="35">
        <v>1.1499999999999999</v>
      </c>
      <c r="O64" s="17">
        <v>40</v>
      </c>
      <c r="P64" s="17"/>
      <c r="Q64" s="17"/>
      <c r="R64" s="17"/>
      <c r="S64" s="17"/>
      <c r="T64" s="17"/>
      <c r="U64" s="17"/>
      <c r="V64" s="17"/>
      <c r="W64" s="161">
        <v>1</v>
      </c>
      <c r="X64" s="162">
        <f>IF(OR($X$58=0,$X$58="N/A"),
           "N/A",
              Input!$D$12/$X$58*$W64)</f>
        <v>0.47285871619019476</v>
      </c>
      <c r="Y64" s="180">
        <f>IF(OR($X$59=0,$X$59="N/A"),
         "N/A",
           Input!$D$12/$X$59*$W64)</f>
        <v>0.47285871619019476</v>
      </c>
      <c r="Z64" s="46"/>
      <c r="AA64" s="17"/>
      <c r="AB64" s="17"/>
    </row>
    <row r="65" spans="1:28">
      <c r="A65" s="141" t="s">
        <v>46</v>
      </c>
      <c r="B65" s="142" t="s">
        <v>26</v>
      </c>
      <c r="C65" s="142">
        <v>245</v>
      </c>
      <c r="D65" s="143">
        <v>350</v>
      </c>
      <c r="E65" s="142">
        <v>6.6849999999999996</v>
      </c>
      <c r="F65" s="142">
        <v>1000</v>
      </c>
      <c r="G65" s="142">
        <f>IF($B$44=$B65,Input!$D$12,IF($B$45=B65,Input!$D$12,20000))</f>
        <v>20000</v>
      </c>
      <c r="H65" s="144">
        <f>$E65*$F65*($C65/60)^3*($D65/1000)^5</f>
        <v>2390.4856186622883</v>
      </c>
      <c r="I65" s="145">
        <v>100</v>
      </c>
      <c r="J65" s="148">
        <f>9549*H65/C65/1000</f>
        <v>93.170396622882407</v>
      </c>
      <c r="K65" s="144">
        <f>H65/G65</f>
        <v>0.11952428093311442</v>
      </c>
      <c r="L65" s="146">
        <f t="shared" si="3"/>
        <v>4.4875833333333333</v>
      </c>
      <c r="M65" s="147">
        <v>229.5</v>
      </c>
      <c r="N65" s="142">
        <v>1.1499999999999999</v>
      </c>
      <c r="O65" s="17">
        <v>40</v>
      </c>
      <c r="P65" s="17"/>
      <c r="Q65" s="17"/>
      <c r="R65" s="17"/>
      <c r="S65" s="17"/>
      <c r="T65" s="17"/>
      <c r="U65" s="17"/>
      <c r="V65" s="17"/>
      <c r="W65" s="161">
        <v>2</v>
      </c>
      <c r="X65" s="162">
        <f>IF(OR($X$58=0,$X$58="N/A"),
           "N/A",
              Input!$D$12/$X$58*$W65)</f>
        <v>0.94571743238038952</v>
      </c>
      <c r="Y65" s="180">
        <f>IF(OR($X$59=0,$X$59="N/A"),
         "N/A",
           Input!$D$12/$X$59*$W65)</f>
        <v>0.94571743238038952</v>
      </c>
      <c r="Z65" s="17"/>
      <c r="AA65" s="17"/>
      <c r="AB65" s="17"/>
    </row>
    <row r="66" spans="1:28">
      <c r="A66" s="17"/>
      <c r="B66" s="35" t="s">
        <v>134</v>
      </c>
      <c r="C66" s="35">
        <v>245</v>
      </c>
      <c r="D66" s="36">
        <v>400</v>
      </c>
      <c r="E66" s="3">
        <v>6.6849999999999996</v>
      </c>
      <c r="F66" s="3">
        <f>IF(ZG!$B$44=$B66,Input!$D$14,IF($B$45=$B66,Input!$D$14,1000))</f>
        <v>1000</v>
      </c>
      <c r="G66" s="3">
        <f>IF($B$44=$B66,Input!$D$12,IF($B$45=B66,Input!$D$12,35000))</f>
        <v>35000</v>
      </c>
      <c r="H66" s="102">
        <f t="shared" ref="H66:H69" si="4">$E66*$F66*($C66/60)^3*($D66/1000)^5</f>
        <v>4660.643348148149</v>
      </c>
      <c r="I66" s="105"/>
      <c r="J66" s="103">
        <f t="shared" ref="J66:J69" si="5">9549*H66/C66/1000</f>
        <v>181.65095237333335</v>
      </c>
      <c r="K66" s="102">
        <f t="shared" ref="K66:K69" si="6">H66/G66</f>
        <v>0.13316123851851855</v>
      </c>
      <c r="L66" s="104">
        <f t="shared" ref="L66:L69" si="7">3.14*$D66/1000*C66/60</f>
        <v>5.1286666666666667</v>
      </c>
      <c r="M66" s="123">
        <v>249.5</v>
      </c>
      <c r="N66" s="35"/>
      <c r="O66" s="17"/>
      <c r="P66" s="17"/>
      <c r="Q66" s="17"/>
      <c r="R66" s="17"/>
      <c r="S66" s="17"/>
      <c r="T66" s="17"/>
      <c r="U66" s="17"/>
      <c r="V66" s="17"/>
      <c r="W66" s="161">
        <v>3</v>
      </c>
      <c r="X66" s="162">
        <f>IF(OR($X$58=0,$X$58="N/A"),
           "N/A",
              Input!$D$12/$X$58*$W66)</f>
        <v>1.4185761485705843</v>
      </c>
      <c r="Y66" s="180">
        <f>IF(OR($X$59=0,$X$59="N/A"),
         "N/A",
           Input!$D$12/$X$59*$W66)</f>
        <v>1.4185761485705843</v>
      </c>
      <c r="Z66" s="88"/>
      <c r="AA66" s="17"/>
      <c r="AB66" s="17"/>
    </row>
    <row r="67" spans="1:28">
      <c r="A67" s="141" t="s">
        <v>46</v>
      </c>
      <c r="B67" s="142" t="s">
        <v>134</v>
      </c>
      <c r="C67" s="142">
        <v>245</v>
      </c>
      <c r="D67" s="143">
        <v>400</v>
      </c>
      <c r="E67" s="142">
        <v>6.6849999999999996</v>
      </c>
      <c r="F67" s="142">
        <v>1000</v>
      </c>
      <c r="G67" s="142">
        <f>IF($B$44=$B67,Input!$D$12,IF($B$45=B67,Input!$D$12,35000))</f>
        <v>35000</v>
      </c>
      <c r="H67" s="144">
        <f t="shared" si="4"/>
        <v>4660.643348148149</v>
      </c>
      <c r="I67" s="145"/>
      <c r="J67" s="148">
        <f t="shared" si="5"/>
        <v>181.65095237333335</v>
      </c>
      <c r="K67" s="144">
        <f t="shared" si="6"/>
        <v>0.13316123851851855</v>
      </c>
      <c r="L67" s="146">
        <f t="shared" si="7"/>
        <v>5.1286666666666667</v>
      </c>
      <c r="M67" s="147">
        <v>249.5</v>
      </c>
      <c r="N67" s="142"/>
      <c r="O67" s="17"/>
      <c r="P67" s="17"/>
      <c r="Q67" s="17"/>
      <c r="R67" s="17"/>
      <c r="S67" s="17"/>
      <c r="T67" s="17"/>
      <c r="U67" s="17"/>
      <c r="V67" s="17"/>
      <c r="W67" s="161">
        <v>4</v>
      </c>
      <c r="X67" s="162">
        <f>IF(OR($X$58=0,$X$58="N/A"),
           "N/A",
              Input!$D$12/$X$58*$W67)</f>
        <v>1.891434864760779</v>
      </c>
      <c r="Y67" s="180">
        <f>IF(OR($X$59=0,$X$59="N/A"),
         "N/A",
           Input!$D$12/$X$59*$W67)</f>
        <v>1.891434864760779</v>
      </c>
      <c r="Z67" s="46"/>
      <c r="AA67" s="17"/>
      <c r="AB67" s="17"/>
    </row>
    <row r="68" spans="1:28">
      <c r="A68" s="17"/>
      <c r="B68" s="35" t="s">
        <v>135</v>
      </c>
      <c r="C68" s="35">
        <v>245</v>
      </c>
      <c r="D68" s="36">
        <v>450</v>
      </c>
      <c r="E68" s="3">
        <v>6.6849999999999996</v>
      </c>
      <c r="F68" s="3">
        <f>IF(ZG!$B$44=$B68,Input!$D$14,IF($B$45=$B68,Input!$D$14,1000))</f>
        <v>1000</v>
      </c>
      <c r="G68" s="3">
        <f>IF($B$44=$B68,Input!$D$12,IF($B$45=B68,Input!$D$12,60000))</f>
        <v>60000</v>
      </c>
      <c r="H68" s="102">
        <f t="shared" si="4"/>
        <v>8398.6306477294911</v>
      </c>
      <c r="I68" s="105"/>
      <c r="J68" s="103">
        <f t="shared" si="5"/>
        <v>327.34091451089353</v>
      </c>
      <c r="K68" s="102">
        <f t="shared" si="6"/>
        <v>0.13997717746215818</v>
      </c>
      <c r="L68" s="104">
        <f t="shared" si="7"/>
        <v>5.7697500000000002</v>
      </c>
      <c r="M68" s="123">
        <v>249.5</v>
      </c>
      <c r="N68" s="35"/>
      <c r="O68" s="17"/>
      <c r="P68" s="17"/>
      <c r="Q68" s="17"/>
      <c r="R68" s="17"/>
      <c r="S68" s="17"/>
      <c r="T68" s="17"/>
      <c r="U68" s="17"/>
      <c r="V68" s="17"/>
      <c r="W68" s="161">
        <v>5</v>
      </c>
      <c r="X68" s="162">
        <f>IF(OR($X$58=0,$X$58="N/A"),
           "N/A",
              Input!$D$12/$X$58*$W68)</f>
        <v>2.364293580950974</v>
      </c>
      <c r="Y68" s="180">
        <f>IF(OR($X$59=0,$X$59="N/A"),
         "N/A",
           Input!$D$12/$X$59*$W68)</f>
        <v>2.364293580950974</v>
      </c>
      <c r="Z68" s="17"/>
      <c r="AA68" s="17"/>
      <c r="AB68" s="17"/>
    </row>
    <row r="69" spans="1:28">
      <c r="A69" s="141" t="s">
        <v>46</v>
      </c>
      <c r="B69" s="142" t="s">
        <v>135</v>
      </c>
      <c r="C69" s="142">
        <v>245</v>
      </c>
      <c r="D69" s="143">
        <v>450</v>
      </c>
      <c r="E69" s="142">
        <v>6.6849999999999996</v>
      </c>
      <c r="F69" s="142">
        <v>1000</v>
      </c>
      <c r="G69" s="142">
        <f>IF($B$44=$B69,Input!$D$12,IF($B$45=B69,Input!$D$12,60000))</f>
        <v>60000</v>
      </c>
      <c r="H69" s="144">
        <f t="shared" si="4"/>
        <v>8398.6306477294911</v>
      </c>
      <c r="I69" s="145"/>
      <c r="J69" s="148">
        <f t="shared" si="5"/>
        <v>327.34091451089353</v>
      </c>
      <c r="K69" s="144">
        <f t="shared" si="6"/>
        <v>0.13997717746215818</v>
      </c>
      <c r="L69" s="146">
        <f t="shared" si="7"/>
        <v>5.7697500000000002</v>
      </c>
      <c r="M69" s="147">
        <v>249.5</v>
      </c>
      <c r="N69" s="142"/>
      <c r="O69" s="17"/>
      <c r="P69" s="17"/>
      <c r="Q69" s="17"/>
      <c r="R69" s="17"/>
      <c r="S69" s="17"/>
      <c r="T69" s="17"/>
      <c r="U69" s="17"/>
      <c r="V69" s="17"/>
      <c r="W69" s="161">
        <v>6</v>
      </c>
      <c r="X69" s="162">
        <f>IF(OR($X$58=0,$X$58="N/A"),
           "N/A",
              Input!$D$12/$X$58*$W69)</f>
        <v>2.8371522971411687</v>
      </c>
      <c r="Y69" s="180">
        <f>IF(OR($X$59=0,$X$59="N/A"),
         "N/A",
           Input!$D$12/$X$59*$W69)</f>
        <v>2.8371522971411687</v>
      </c>
      <c r="Z69" s="17"/>
      <c r="AA69" s="17"/>
      <c r="AB69" s="17"/>
    </row>
    <row r="70" spans="1:28">
      <c r="A70" s="17"/>
      <c r="B70" s="17"/>
      <c r="C70" s="17"/>
      <c r="D70" s="46"/>
      <c r="E70" s="17"/>
      <c r="F70" s="17"/>
      <c r="G70" s="17"/>
      <c r="H70" s="88"/>
      <c r="I70" s="90"/>
      <c r="J70" s="89"/>
      <c r="K70" s="88"/>
      <c r="L70" s="86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61">
        <v>7</v>
      </c>
      <c r="X70" s="162">
        <f>IF(OR($X$58=0,$X$58="N/A"),
           "N/A",
              Input!$D$12/$X$58*$W70)</f>
        <v>3.3100110133313634</v>
      </c>
      <c r="Y70" s="180">
        <f>IF(OR($X$59=0,$X$59="N/A"),
         "N/A",
           Input!$D$12/$X$59*$W70)</f>
        <v>3.3100110133313634</v>
      </c>
      <c r="Z70" s="17"/>
      <c r="AA70" s="17"/>
      <c r="AB70" s="17"/>
    </row>
    <row r="71" spans="1:28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61">
        <v>8</v>
      </c>
      <c r="X71" s="162">
        <f>IF(OR($X$58=0,$X$58="N/A"),
           "N/A",
              Input!$D$12/$X$58*$W71)</f>
        <v>3.7828697295215581</v>
      </c>
      <c r="Y71" s="180">
        <f>IF(OR($X$59=0,$X$59="N/A"),
         "N/A",
           Input!$D$12/$X$59*$W71)</f>
        <v>3.7828697295215581</v>
      </c>
      <c r="Z71" s="17"/>
      <c r="AA71" s="17"/>
      <c r="AB71" s="17"/>
    </row>
    <row r="72" spans="1:28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61">
        <v>9</v>
      </c>
      <c r="X72" s="162">
        <f>IF(OR($X$58=0,$X$58="N/A"),
           "N/A",
              Input!$D$12/$X$58*$W72)</f>
        <v>4.2557284457117532</v>
      </c>
      <c r="Y72" s="180">
        <f>IF(OR($X$59=0,$X$59="N/A"),
         "N/A",
           Input!$D$12/$X$59*$W72)</f>
        <v>4.2557284457117532</v>
      </c>
      <c r="Z72" s="17"/>
      <c r="AA72" s="17"/>
      <c r="AB72" s="17"/>
    </row>
    <row r="73" spans="1:28">
      <c r="A73" s="17"/>
      <c r="B73" s="17"/>
      <c r="C73" s="17"/>
      <c r="D73" s="86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61">
        <v>10</v>
      </c>
      <c r="X73" s="162">
        <f>IF(OR($X$58=0,$X$58="N/A"),
           "N/A",
              Input!$D$12/$X$58*$W73)</f>
        <v>4.7285871619019479</v>
      </c>
      <c r="Y73" s="180">
        <f>IF(OR($X$59=0,$X$59="N/A"),
         "N/A",
           Input!$D$12/$X$59*$W73)</f>
        <v>4.7285871619019479</v>
      </c>
      <c r="Z73" s="17"/>
      <c r="AA73" s="17"/>
      <c r="AB73" s="17"/>
    </row>
    <row r="74" spans="1:28">
      <c r="A74" s="17"/>
      <c r="B74" s="17"/>
      <c r="D74" s="17"/>
      <c r="E74" s="163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spans="1:28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</row>
    <row r="76" spans="1:28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</row>
    <row r="77" spans="1:28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86"/>
      <c r="Y77" s="17"/>
      <c r="Z77" s="17"/>
      <c r="AA77" s="17"/>
      <c r="AB77" s="17"/>
    </row>
    <row r="78" spans="1:28">
      <c r="A78" s="17"/>
      <c r="B78" s="17"/>
      <c r="C78" s="17"/>
    </row>
    <row r="80" spans="1:28">
      <c r="X80" s="44"/>
      <c r="Z80" s="82"/>
    </row>
    <row r="81" spans="4:32">
      <c r="X81" s="79"/>
      <c r="Z81" s="83"/>
    </row>
    <row r="82" spans="4:32">
      <c r="AD82" t="s">
        <v>251</v>
      </c>
      <c r="AE82">
        <f>$X$57</f>
        <v>0.5</v>
      </c>
      <c r="AF82" t="s">
        <v>260</v>
      </c>
    </row>
    <row r="83" spans="4:32">
      <c r="G83" s="83"/>
      <c r="H83" s="44"/>
      <c r="X83" s="83"/>
      <c r="Z83" s="83"/>
      <c r="AD83" t="s">
        <v>252</v>
      </c>
      <c r="AE83">
        <f>VLOOKUP($B$44,$B$48:$M$69,3,FALSE)</f>
        <v>177</v>
      </c>
      <c r="AF83" t="s">
        <v>259</v>
      </c>
    </row>
    <row r="84" spans="4:32">
      <c r="AD84" t="s">
        <v>253</v>
      </c>
      <c r="AE84">
        <f>$X$49</f>
        <v>344</v>
      </c>
      <c r="AF84" t="s">
        <v>258</v>
      </c>
    </row>
    <row r="85" spans="4:32">
      <c r="AD85" t="s">
        <v>254</v>
      </c>
      <c r="AE85">
        <f>VLOOKUP($B$44,$B$48:$M$69,5,FALSE)</f>
        <v>2000</v>
      </c>
      <c r="AF85" t="s">
        <v>4</v>
      </c>
    </row>
    <row r="86" spans="4:32">
      <c r="X86" s="44"/>
      <c r="Z86" s="82"/>
      <c r="AD86" t="s">
        <v>255</v>
      </c>
      <c r="AE86">
        <f>Input!$D$15</f>
        <v>10</v>
      </c>
      <c r="AF86" t="s">
        <v>3</v>
      </c>
    </row>
    <row r="87" spans="4:32">
      <c r="V87" s="53"/>
      <c r="X87" s="79"/>
      <c r="Z87" s="83"/>
      <c r="AD87" t="s">
        <v>256</v>
      </c>
      <c r="AE87">
        <f>VLOOKUP($B$44,$B$48:$N$69,13,FALSE)</f>
        <v>1</v>
      </c>
      <c r="AF87" t="s">
        <v>257</v>
      </c>
    </row>
    <row r="88" spans="4:32">
      <c r="E88" s="44"/>
    </row>
    <row r="89" spans="4:32">
      <c r="D89" s="44"/>
      <c r="X89" s="83"/>
      <c r="Z89" s="83"/>
    </row>
    <row r="92" spans="4:32">
      <c r="E92" s="44"/>
    </row>
    <row r="97" spans="3:13">
      <c r="D97" s="122"/>
      <c r="E97" s="122"/>
      <c r="F97" s="122"/>
      <c r="G97" s="122"/>
      <c r="H97" s="122"/>
      <c r="I97" s="122"/>
      <c r="J97" s="122"/>
      <c r="K97" s="122"/>
      <c r="L97" s="122"/>
      <c r="M97" s="122"/>
    </row>
    <row r="98" spans="3:13"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</row>
  </sheetData>
  <mergeCells count="15">
    <mergeCell ref="V53:V56"/>
    <mergeCell ref="X61:Y61"/>
    <mergeCell ref="J2:K2"/>
    <mergeCell ref="A1:B1"/>
    <mergeCell ref="B2:C2"/>
    <mergeCell ref="D2:E2"/>
    <mergeCell ref="F2:G2"/>
    <mergeCell ref="H2:I2"/>
    <mergeCell ref="T2:U2"/>
    <mergeCell ref="V2:W2"/>
    <mergeCell ref="L2:M2"/>
    <mergeCell ref="N2:O2"/>
    <mergeCell ref="P2:Q2"/>
    <mergeCell ref="R2:S2"/>
    <mergeCell ref="V48:V52"/>
  </mergeCells>
  <dataValidations disablePrompts="1" count="1">
    <dataValidation type="list" allowBlank="1" showInputMessage="1" showErrorMessage="1" sqref="B2:W2" xr:uid="{A7B59D77-5AB7-4D52-94DA-A6C3634B3126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75F1-59A6-41DB-B192-322094184060}">
  <sheetPr>
    <tabColor rgb="FF00B0F0"/>
  </sheetPr>
  <dimension ref="A1:AB85"/>
  <sheetViews>
    <sheetView topLeftCell="A35" workbookViewId="0">
      <selection activeCell="X50" sqref="X50"/>
    </sheetView>
  </sheetViews>
  <sheetFormatPr baseColWidth="10" defaultColWidth="8.83203125" defaultRowHeight="15"/>
  <cols>
    <col min="1" max="1" width="20.33203125" bestFit="1" customWidth="1"/>
    <col min="2" max="2" width="12.6640625" bestFit="1" customWidth="1"/>
    <col min="4" max="4" width="9.83203125" bestFit="1" customWidth="1"/>
    <col min="11" max="11" width="15" bestFit="1" customWidth="1"/>
    <col min="18" max="19" width="0" hidden="1" customWidth="1"/>
    <col min="20" max="20" width="18.83203125" hidden="1" customWidth="1"/>
    <col min="21" max="21" width="0" hidden="1" customWidth="1"/>
    <col min="23" max="23" width="21.6640625" customWidth="1"/>
    <col min="24" max="26" width="12.6640625" bestFit="1" customWidth="1"/>
  </cols>
  <sheetData>
    <row r="1" spans="1:28" ht="16" thickBot="1">
      <c r="A1" s="18"/>
      <c r="B1" s="239"/>
      <c r="C1" s="240"/>
      <c r="D1" s="239"/>
      <c r="E1" s="240"/>
      <c r="F1" s="239"/>
      <c r="G1" s="240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6" thickBot="1">
      <c r="A2" s="18" t="s">
        <v>5</v>
      </c>
      <c r="B2" s="239">
        <f>IF(Input!$D$13="Gentle",1.2,IF(Input!$D$13="Vigorous", 0.8,1))</f>
        <v>0.8</v>
      </c>
      <c r="C2" s="240"/>
      <c r="D2" s="239">
        <f>IF(Input!$D$13="Gentle",1.2,IF(Input!$D$13="Vigorous", 0.8,1))</f>
        <v>0.8</v>
      </c>
      <c r="E2" s="240"/>
      <c r="F2" s="239">
        <f>IF(Input!$D$13="Gentle",1.2,IF(Input!$D$13="Vigorous", 0.8,1))</f>
        <v>0.8</v>
      </c>
      <c r="G2" s="240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6" thickBot="1">
      <c r="A3" s="18" t="s">
        <v>17</v>
      </c>
      <c r="B3" s="18">
        <v>50</v>
      </c>
      <c r="C3" s="19"/>
      <c r="D3" s="18">
        <v>850</v>
      </c>
      <c r="E3" s="19"/>
      <c r="F3" s="18">
        <v>5000</v>
      </c>
      <c r="G3" s="19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>
      <c r="A4" s="17"/>
      <c r="B4" s="50" t="s">
        <v>13</v>
      </c>
      <c r="C4" s="85" t="s">
        <v>3</v>
      </c>
      <c r="D4" s="50" t="s">
        <v>13</v>
      </c>
      <c r="E4" s="85" t="s">
        <v>3</v>
      </c>
      <c r="F4" s="50" t="s">
        <v>13</v>
      </c>
      <c r="G4" s="85" t="s">
        <v>3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6" thickBot="1">
      <c r="A5" s="17"/>
      <c r="B5" s="50" t="s">
        <v>79</v>
      </c>
      <c r="C5" s="85" t="s">
        <v>79</v>
      </c>
      <c r="D5" s="50" t="s">
        <v>80</v>
      </c>
      <c r="E5" s="85" t="s">
        <v>80</v>
      </c>
      <c r="F5" s="50" t="s">
        <v>81</v>
      </c>
      <c r="G5" s="85" t="s">
        <v>81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>
      <c r="A6" s="17"/>
      <c r="B6" s="20">
        <f>($B$2)*50</f>
        <v>40</v>
      </c>
      <c r="C6" s="21">
        <v>1</v>
      </c>
      <c r="D6" s="20">
        <f>($D$2)*850</f>
        <v>680</v>
      </c>
      <c r="E6" s="21">
        <v>1</v>
      </c>
      <c r="F6" s="20">
        <v>5000</v>
      </c>
      <c r="G6" s="21">
        <v>1</v>
      </c>
      <c r="H6" s="17"/>
      <c r="I6" s="17"/>
      <c r="J6" s="17"/>
      <c r="K6" s="4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>
      <c r="A7" s="17"/>
      <c r="B7" s="22">
        <f>($B$2)*45.5</f>
        <v>36.4</v>
      </c>
      <c r="C7" s="23">
        <v>5</v>
      </c>
      <c r="D7" s="22">
        <f>($D$2)*773.5</f>
        <v>618.80000000000007</v>
      </c>
      <c r="E7" s="23">
        <v>5</v>
      </c>
      <c r="F7" s="22">
        <v>4550</v>
      </c>
      <c r="G7" s="23">
        <v>5</v>
      </c>
      <c r="H7" s="17"/>
      <c r="I7" s="17"/>
      <c r="J7" s="17"/>
      <c r="K7" s="4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>
      <c r="A8" s="17"/>
      <c r="B8" s="22">
        <f>($B$2)*41.5</f>
        <v>33.200000000000003</v>
      </c>
      <c r="C8" s="23">
        <v>10</v>
      </c>
      <c r="D8" s="22">
        <f>($D$2)*705.5</f>
        <v>564.4</v>
      </c>
      <c r="E8" s="23">
        <v>10</v>
      </c>
      <c r="F8" s="22">
        <v>4150</v>
      </c>
      <c r="G8" s="23">
        <v>10</v>
      </c>
      <c r="H8" s="17"/>
      <c r="I8" s="17"/>
      <c r="J8" s="17"/>
      <c r="K8" s="4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>
      <c r="A9" s="17"/>
      <c r="B9" s="22">
        <f>($B$2)*38.5</f>
        <v>30.8</v>
      </c>
      <c r="C9" s="23">
        <v>15</v>
      </c>
      <c r="D9" s="22">
        <f>($D$2)*654.5</f>
        <v>523.6</v>
      </c>
      <c r="E9" s="23">
        <v>15</v>
      </c>
      <c r="F9" s="22">
        <v>3850</v>
      </c>
      <c r="G9" s="23">
        <v>15</v>
      </c>
      <c r="H9" s="17"/>
      <c r="I9" s="17"/>
      <c r="J9" s="17"/>
      <c r="K9" s="4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>
      <c r="A10" s="17"/>
      <c r="B10" s="22">
        <f>($B$2)*36</f>
        <v>28.8</v>
      </c>
      <c r="C10" s="23">
        <v>20</v>
      </c>
      <c r="D10" s="22">
        <f>($D$2)*612</f>
        <v>489.6</v>
      </c>
      <c r="E10" s="23">
        <v>20</v>
      </c>
      <c r="F10" s="22">
        <v>3600</v>
      </c>
      <c r="G10" s="23">
        <v>20</v>
      </c>
      <c r="H10" s="17"/>
      <c r="I10" s="17"/>
      <c r="J10" s="17"/>
      <c r="K10" s="4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>
      <c r="A11" s="17"/>
      <c r="B11" s="22">
        <f>($B$2)*34</f>
        <v>27.200000000000003</v>
      </c>
      <c r="C11" s="23">
        <v>25</v>
      </c>
      <c r="D11" s="22">
        <f>($D$2)*578</f>
        <v>462.40000000000003</v>
      </c>
      <c r="E11" s="23">
        <v>25</v>
      </c>
      <c r="F11" s="22">
        <v>3400</v>
      </c>
      <c r="G11" s="23">
        <v>25</v>
      </c>
      <c r="H11" s="17"/>
      <c r="I11" s="17"/>
      <c r="J11" s="17"/>
      <c r="K11" s="4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>
      <c r="A12" s="17"/>
      <c r="B12" s="22">
        <f>($B$2)*32.75</f>
        <v>26.200000000000003</v>
      </c>
      <c r="C12" s="23">
        <v>30</v>
      </c>
      <c r="D12" s="22">
        <f>($D$2)*556.75</f>
        <v>445.40000000000003</v>
      </c>
      <c r="E12" s="23">
        <v>30</v>
      </c>
      <c r="F12" s="22">
        <v>3275</v>
      </c>
      <c r="G12" s="23">
        <v>30</v>
      </c>
      <c r="H12" s="17"/>
      <c r="I12" s="17"/>
      <c r="J12" s="17"/>
      <c r="K12" s="4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>
      <c r="A13" s="17"/>
      <c r="B13" s="22">
        <f>($B$2)*31.5</f>
        <v>25.200000000000003</v>
      </c>
      <c r="C13" s="23">
        <v>35</v>
      </c>
      <c r="D13" s="22">
        <f>($D$2)*535.5</f>
        <v>428.40000000000003</v>
      </c>
      <c r="E13" s="23">
        <v>35</v>
      </c>
      <c r="F13" s="22">
        <v>3150</v>
      </c>
      <c r="G13" s="23">
        <v>35</v>
      </c>
      <c r="H13" s="17"/>
      <c r="I13" s="17"/>
      <c r="J13" s="17"/>
      <c r="K13" s="4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>
      <c r="A14" s="17"/>
      <c r="B14" s="22">
        <f>($B$2)*30.75</f>
        <v>24.6</v>
      </c>
      <c r="C14" s="23">
        <v>40</v>
      </c>
      <c r="D14" s="22">
        <f>($D$2)*522.75</f>
        <v>418.20000000000005</v>
      </c>
      <c r="E14" s="23">
        <v>40</v>
      </c>
      <c r="F14" s="22">
        <v>3075</v>
      </c>
      <c r="G14" s="23">
        <v>40</v>
      </c>
      <c r="H14" s="17"/>
      <c r="I14" s="17"/>
      <c r="J14" s="17"/>
      <c r="K14" s="4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>
      <c r="A15" s="17"/>
      <c r="B15" s="22">
        <f>($B$2)*30</f>
        <v>24</v>
      </c>
      <c r="C15" s="23">
        <v>45</v>
      </c>
      <c r="D15" s="22">
        <f>($D$2)*510</f>
        <v>408</v>
      </c>
      <c r="E15" s="23">
        <v>45</v>
      </c>
      <c r="F15" s="22">
        <v>3000</v>
      </c>
      <c r="G15" s="23">
        <v>45</v>
      </c>
      <c r="H15" s="17"/>
      <c r="I15" s="17"/>
      <c r="J15" s="17"/>
      <c r="K15" s="4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>
      <c r="A16" s="17"/>
      <c r="B16" s="22">
        <f>($B$2)*29.3</f>
        <v>23.44</v>
      </c>
      <c r="C16" s="23">
        <v>50</v>
      </c>
      <c r="D16" s="22">
        <f>($D$2)*498.1</f>
        <v>398.48</v>
      </c>
      <c r="E16" s="23">
        <v>50</v>
      </c>
      <c r="F16" s="22">
        <v>2930</v>
      </c>
      <c r="G16" s="23">
        <v>50</v>
      </c>
      <c r="H16" s="17"/>
      <c r="I16" s="17"/>
      <c r="J16" s="17"/>
      <c r="K16" s="4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>
      <c r="A17" s="17"/>
      <c r="B17" s="22">
        <f>($B$2)*28.5</f>
        <v>22.8</v>
      </c>
      <c r="C17" s="23">
        <v>55</v>
      </c>
      <c r="D17" s="22">
        <f>($D$2)*484.5</f>
        <v>387.6</v>
      </c>
      <c r="E17" s="23">
        <v>55</v>
      </c>
      <c r="F17" s="22">
        <v>2850</v>
      </c>
      <c r="G17" s="23">
        <v>55</v>
      </c>
      <c r="H17" s="17"/>
      <c r="I17" s="17"/>
      <c r="J17" s="17"/>
      <c r="K17" s="4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>
      <c r="A18" s="17"/>
      <c r="B18" s="22">
        <f>($B$2)*28</f>
        <v>22.400000000000002</v>
      </c>
      <c r="C18" s="23">
        <v>60</v>
      </c>
      <c r="D18" s="22">
        <f>($D$2)*476</f>
        <v>380.8</v>
      </c>
      <c r="E18" s="23">
        <v>60</v>
      </c>
      <c r="F18" s="22">
        <v>2800</v>
      </c>
      <c r="G18" s="23">
        <v>60</v>
      </c>
      <c r="H18" s="17"/>
      <c r="I18" s="17"/>
      <c r="J18" s="17"/>
      <c r="K18" s="4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>
      <c r="A19" s="17"/>
      <c r="B19" s="22">
        <f>($B$2)*27.5</f>
        <v>22</v>
      </c>
      <c r="C19" s="23">
        <v>65</v>
      </c>
      <c r="D19" s="22">
        <f>($D$2)*467.5</f>
        <v>374</v>
      </c>
      <c r="E19" s="23">
        <v>65</v>
      </c>
      <c r="F19" s="22">
        <v>2750</v>
      </c>
      <c r="G19" s="23">
        <v>65</v>
      </c>
      <c r="H19" s="17"/>
      <c r="I19" s="17"/>
      <c r="J19" s="17"/>
      <c r="K19" s="4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>
      <c r="A20" s="17"/>
      <c r="B20" s="22">
        <f>($B$2)*27</f>
        <v>21.6</v>
      </c>
      <c r="C20" s="23">
        <v>70</v>
      </c>
      <c r="D20" s="22">
        <f>($D$2)*459</f>
        <v>367.20000000000005</v>
      </c>
      <c r="E20" s="23">
        <v>70</v>
      </c>
      <c r="F20" s="22">
        <v>2700</v>
      </c>
      <c r="G20" s="23">
        <v>70</v>
      </c>
      <c r="H20" s="17"/>
      <c r="I20" s="17"/>
      <c r="J20" s="17"/>
      <c r="K20" s="4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>
      <c r="A21" s="17"/>
      <c r="B21" s="22">
        <f>($B$2)*26.5</f>
        <v>21.200000000000003</v>
      </c>
      <c r="C21" s="23">
        <v>75</v>
      </c>
      <c r="D21" s="22">
        <f>($D$2)*450.5</f>
        <v>360.40000000000003</v>
      </c>
      <c r="E21" s="23">
        <v>75</v>
      </c>
      <c r="F21" s="22">
        <v>2650</v>
      </c>
      <c r="G21" s="23">
        <v>75</v>
      </c>
      <c r="H21" s="17"/>
      <c r="I21" s="17"/>
      <c r="J21" s="17"/>
      <c r="K21" s="4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>
      <c r="A22" s="17"/>
      <c r="B22" s="22">
        <f>($B$2)*26</f>
        <v>20.8</v>
      </c>
      <c r="C22" s="23">
        <v>80</v>
      </c>
      <c r="D22" s="22">
        <f>($D$2)*442</f>
        <v>353.6</v>
      </c>
      <c r="E22" s="23">
        <v>80</v>
      </c>
      <c r="F22" s="22">
        <v>2600</v>
      </c>
      <c r="G22" s="23">
        <v>80</v>
      </c>
      <c r="H22" s="17"/>
      <c r="I22" s="17"/>
      <c r="J22" s="17"/>
      <c r="K22" s="4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>
      <c r="A23" s="17"/>
      <c r="B23" s="22">
        <f>($B$2)*25.5</f>
        <v>20.400000000000002</v>
      </c>
      <c r="C23" s="23">
        <v>85</v>
      </c>
      <c r="D23" s="22">
        <f>($D$2)*433.5</f>
        <v>346.8</v>
      </c>
      <c r="E23" s="23">
        <v>85</v>
      </c>
      <c r="F23" s="22">
        <v>2550</v>
      </c>
      <c r="G23" s="23">
        <v>85</v>
      </c>
      <c r="H23" s="17"/>
      <c r="I23" s="17"/>
      <c r="J23" s="17"/>
      <c r="K23" s="4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>
      <c r="A24" s="17"/>
      <c r="B24" s="22">
        <f>($B$2)*25</f>
        <v>20</v>
      </c>
      <c r="C24" s="23">
        <v>90</v>
      </c>
      <c r="D24" s="22">
        <f>($D$2)*425</f>
        <v>340</v>
      </c>
      <c r="E24" s="23">
        <v>90</v>
      </c>
      <c r="F24" s="22">
        <v>2500</v>
      </c>
      <c r="G24" s="23">
        <v>90</v>
      </c>
      <c r="H24" s="17"/>
      <c r="I24" s="17"/>
      <c r="J24" s="17"/>
      <c r="K24" s="4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>
      <c r="A25" s="17"/>
      <c r="B25" s="22">
        <f>($B$2)*24.5</f>
        <v>19.600000000000001</v>
      </c>
      <c r="C25" s="23">
        <v>95</v>
      </c>
      <c r="D25" s="22">
        <f>($D$2)*416.5</f>
        <v>333.20000000000005</v>
      </c>
      <c r="E25" s="23">
        <v>95</v>
      </c>
      <c r="F25" s="22">
        <v>2450</v>
      </c>
      <c r="G25" s="23">
        <v>95</v>
      </c>
      <c r="H25" s="17"/>
      <c r="I25" s="17"/>
      <c r="J25" s="17"/>
      <c r="K25" s="4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>
      <c r="A26" s="17"/>
      <c r="B26" s="22">
        <f>($B$2)*24.25</f>
        <v>19.400000000000002</v>
      </c>
      <c r="C26" s="23">
        <v>100</v>
      </c>
      <c r="D26" s="22">
        <f>($D$2)*412.25</f>
        <v>329.8</v>
      </c>
      <c r="E26" s="23">
        <v>100</v>
      </c>
      <c r="F26" s="22">
        <v>2425</v>
      </c>
      <c r="G26" s="23">
        <v>100</v>
      </c>
      <c r="H26" s="17"/>
      <c r="I26" s="17"/>
      <c r="J26" s="17"/>
      <c r="K26" s="4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>
      <c r="A27" s="17"/>
      <c r="B27" s="22">
        <f>($B$2)*21.5</f>
        <v>17.2</v>
      </c>
      <c r="C27" s="23">
        <v>150</v>
      </c>
      <c r="D27" s="22">
        <f>($D$2)*365.5</f>
        <v>292.40000000000003</v>
      </c>
      <c r="E27" s="23">
        <v>150</v>
      </c>
      <c r="F27" s="22">
        <v>2150</v>
      </c>
      <c r="G27" s="23">
        <v>150</v>
      </c>
      <c r="H27" s="17"/>
      <c r="I27" s="17"/>
      <c r="J27" s="17"/>
      <c r="K27" s="4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>
      <c r="A28" s="17"/>
      <c r="B28" s="22">
        <f>($B$2)*19.5</f>
        <v>15.600000000000001</v>
      </c>
      <c r="C28" s="23">
        <v>200</v>
      </c>
      <c r="D28" s="22">
        <f>($D$2)*331.5</f>
        <v>265.2</v>
      </c>
      <c r="E28" s="23">
        <v>200</v>
      </c>
      <c r="F28" s="22">
        <v>1950</v>
      </c>
      <c r="G28" s="23">
        <v>200</v>
      </c>
      <c r="H28" s="17"/>
      <c r="I28" s="17"/>
      <c r="J28" s="17"/>
      <c r="K28" s="4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>
      <c r="A29" s="17"/>
      <c r="B29" s="22">
        <f>($B$2)*17.75</f>
        <v>14.200000000000001</v>
      </c>
      <c r="C29" s="23">
        <v>250</v>
      </c>
      <c r="D29" s="22">
        <f>($D$2)*301.75</f>
        <v>241.4</v>
      </c>
      <c r="E29" s="23">
        <v>250</v>
      </c>
      <c r="F29" s="22">
        <v>1775</v>
      </c>
      <c r="G29" s="23">
        <v>250</v>
      </c>
      <c r="H29" s="17"/>
      <c r="I29" s="17"/>
      <c r="J29" s="17"/>
      <c r="K29" s="4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>
      <c r="A30" s="17"/>
      <c r="B30" s="22">
        <f>($B$2)*16</f>
        <v>12.8</v>
      </c>
      <c r="C30" s="23">
        <v>300</v>
      </c>
      <c r="D30" s="22">
        <f>($D$2)*272</f>
        <v>217.60000000000002</v>
      </c>
      <c r="E30" s="23">
        <v>300</v>
      </c>
      <c r="F30" s="22">
        <v>1600</v>
      </c>
      <c r="G30" s="23">
        <v>300</v>
      </c>
      <c r="H30" s="17"/>
      <c r="I30" s="17"/>
      <c r="J30" s="17"/>
      <c r="K30" s="4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>
      <c r="A31" s="17"/>
      <c r="B31" s="22">
        <f>($B$2)*14.5</f>
        <v>11.600000000000001</v>
      </c>
      <c r="C31" s="23">
        <v>350</v>
      </c>
      <c r="D31" s="22">
        <f>($D$2)*246.5</f>
        <v>197.20000000000002</v>
      </c>
      <c r="E31" s="23">
        <v>350</v>
      </c>
      <c r="F31" s="22">
        <v>1450</v>
      </c>
      <c r="G31" s="23">
        <v>350</v>
      </c>
      <c r="H31" s="17"/>
      <c r="I31" s="17"/>
      <c r="J31" s="17"/>
      <c r="K31" s="4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>
      <c r="A32" s="17"/>
      <c r="B32" s="22">
        <f>($B$2)*13</f>
        <v>10.4</v>
      </c>
      <c r="C32" s="23">
        <v>400</v>
      </c>
      <c r="D32" s="22">
        <f>($D$2)*221</f>
        <v>176.8</v>
      </c>
      <c r="E32" s="23">
        <v>400</v>
      </c>
      <c r="F32" s="22">
        <v>1300</v>
      </c>
      <c r="G32" s="23">
        <v>400</v>
      </c>
      <c r="H32" s="17"/>
      <c r="I32" s="17"/>
      <c r="J32" s="17"/>
      <c r="K32" s="4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>
      <c r="A33" s="17"/>
      <c r="B33" s="22">
        <f>($B$2)*11.75</f>
        <v>9.4</v>
      </c>
      <c r="C33" s="23">
        <v>450</v>
      </c>
      <c r="D33" s="22">
        <f>($D$2)*199.75</f>
        <v>159.80000000000001</v>
      </c>
      <c r="E33" s="23">
        <v>450</v>
      </c>
      <c r="F33" s="22">
        <v>1175</v>
      </c>
      <c r="G33" s="23">
        <v>450</v>
      </c>
      <c r="H33" s="17"/>
      <c r="I33" s="17"/>
      <c r="J33" s="17"/>
      <c r="K33" s="4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>
      <c r="A34" s="17"/>
      <c r="B34" s="22">
        <f>($B$2)*10.5</f>
        <v>8.4</v>
      </c>
      <c r="C34" s="23">
        <v>500</v>
      </c>
      <c r="D34" s="22">
        <f>($D$2)*178.5</f>
        <v>142.80000000000001</v>
      </c>
      <c r="E34" s="23">
        <v>500</v>
      </c>
      <c r="F34" s="22">
        <v>1050</v>
      </c>
      <c r="G34" s="23">
        <v>500</v>
      </c>
      <c r="H34" s="17"/>
      <c r="I34" s="17"/>
      <c r="J34" s="17"/>
      <c r="K34" s="4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>
      <c r="A35" s="17"/>
      <c r="B35" s="22">
        <f>($B$2)*9.5</f>
        <v>7.6000000000000005</v>
      </c>
      <c r="C35" s="23">
        <v>550</v>
      </c>
      <c r="D35" s="22">
        <f>($D$2)*161.5</f>
        <v>129.20000000000002</v>
      </c>
      <c r="E35" s="23">
        <v>550</v>
      </c>
      <c r="F35" s="22">
        <v>950</v>
      </c>
      <c r="G35" s="23">
        <v>550</v>
      </c>
      <c r="H35" s="17"/>
      <c r="I35" s="17"/>
      <c r="J35" s="17"/>
      <c r="K35" s="4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>
      <c r="A36" s="17"/>
      <c r="B36" s="22">
        <f>($B$2)*8.5</f>
        <v>6.8000000000000007</v>
      </c>
      <c r="C36" s="23">
        <v>600</v>
      </c>
      <c r="D36" s="22">
        <f>($D$2)*144.5</f>
        <v>115.60000000000001</v>
      </c>
      <c r="E36" s="23">
        <v>600</v>
      </c>
      <c r="F36" s="22">
        <v>850</v>
      </c>
      <c r="G36" s="23">
        <v>600</v>
      </c>
      <c r="H36" s="17"/>
      <c r="I36" s="17"/>
      <c r="J36" s="17"/>
      <c r="K36" s="4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>
      <c r="A37" s="17"/>
      <c r="B37" s="22">
        <f>($B$2)*7.5</f>
        <v>6</v>
      </c>
      <c r="C37" s="23">
        <v>650</v>
      </c>
      <c r="D37" s="22">
        <f>($D$2)*127.5</f>
        <v>102</v>
      </c>
      <c r="E37" s="23">
        <v>650</v>
      </c>
      <c r="F37" s="22">
        <v>750</v>
      </c>
      <c r="G37" s="23">
        <v>650</v>
      </c>
      <c r="H37" s="17"/>
      <c r="I37" s="17"/>
      <c r="J37" s="17"/>
      <c r="K37" s="4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>
      <c r="A38" s="17"/>
      <c r="B38" s="22">
        <f>($B$2)*6.6</f>
        <v>5.28</v>
      </c>
      <c r="C38" s="23">
        <v>700</v>
      </c>
      <c r="D38" s="22">
        <f>($D$2)*112.2</f>
        <v>89.76</v>
      </c>
      <c r="E38" s="23">
        <v>700</v>
      </c>
      <c r="F38" s="22">
        <v>660</v>
      </c>
      <c r="G38" s="23">
        <v>700</v>
      </c>
      <c r="H38" s="17"/>
      <c r="I38" s="17"/>
      <c r="J38" s="17"/>
      <c r="K38" s="4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>
      <c r="A39" s="17"/>
      <c r="B39" s="22">
        <f>($B$2)*5.75</f>
        <v>4.6000000000000005</v>
      </c>
      <c r="C39" s="23">
        <v>750</v>
      </c>
      <c r="D39" s="22">
        <f>($D$2)*97.75</f>
        <v>78.2</v>
      </c>
      <c r="E39" s="23">
        <v>750</v>
      </c>
      <c r="F39" s="22">
        <v>575</v>
      </c>
      <c r="G39" s="23">
        <v>750</v>
      </c>
      <c r="H39" s="17"/>
      <c r="I39" s="17"/>
      <c r="J39" s="17"/>
      <c r="K39" s="4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6" thickBot="1">
      <c r="A40" s="17"/>
      <c r="B40" s="24">
        <f>($B$2)*5</f>
        <v>4</v>
      </c>
      <c r="C40" s="25">
        <v>800</v>
      </c>
      <c r="D40" s="24">
        <f>($D$2)*85</f>
        <v>68</v>
      </c>
      <c r="E40" s="25">
        <v>800</v>
      </c>
      <c r="F40" s="24">
        <v>500</v>
      </c>
      <c r="G40" s="25">
        <v>800</v>
      </c>
      <c r="H40" s="17"/>
      <c r="I40" s="17"/>
      <c r="J40" s="17"/>
      <c r="K40" s="4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>
      <c r="A41" s="17" t="s">
        <v>282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33.200000000000003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564.4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4150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6" thickBo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6" thickBot="1">
      <c r="A44" s="18" t="s">
        <v>35</v>
      </c>
      <c r="B44" s="19" t="str">
        <f>IF($F$41&lt;Input!D12,"N/A",IF(Input!D12&lt;=$B$41,$B$5,IF(Input!D12&lt;=$D$41,$D$5,IF(Input!D12&lt;=$F$41,$F$5,))))</f>
        <v>ZGP8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>
      <c r="A45" s="17" t="s">
        <v>132</v>
      </c>
      <c r="B45" s="17">
        <f>Input!$D$28</f>
        <v>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49" thickBot="1">
      <c r="A47" s="17"/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101" t="s">
        <v>145</v>
      </c>
      <c r="N47" s="124" t="s">
        <v>250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spans="1:28" ht="15.75" customHeight="1" thickBot="1">
      <c r="A48" s="17"/>
      <c r="B48" s="3" t="s">
        <v>79</v>
      </c>
      <c r="C48" s="35">
        <v>490</v>
      </c>
      <c r="D48" s="36">
        <v>96</v>
      </c>
      <c r="E48" s="3">
        <v>6.6849999999999996</v>
      </c>
      <c r="F48" s="3">
        <f>IF($B$44=$B48,Input!$D$14,IF($B$45=$B48,Input!$D$14,1000))</f>
        <v>1000</v>
      </c>
      <c r="G48" s="3">
        <f>IF($B$44=$B48,Input!$D$12,IF($B$45=$B48,Input!$D$12,50))</f>
        <v>50</v>
      </c>
      <c r="H48" s="42">
        <f>$E48*$F48*($C48/60)^3*($D48/1000)^5</f>
        <v>29.688760463523831</v>
      </c>
      <c r="I48" s="38">
        <v>1</v>
      </c>
      <c r="J48" s="39">
        <f t="shared" ref="J48:J55" si="0">9549*H48/C48/1000</f>
        <v>0.57856729319630429</v>
      </c>
      <c r="K48" s="102">
        <f t="shared" ref="K48:K55" si="1">H48/G48</f>
        <v>0.59377520927047667</v>
      </c>
      <c r="L48" s="104">
        <f>3.14*$D48/1000*$C48/60</f>
        <v>2.4617599999999999</v>
      </c>
      <c r="M48" s="35">
        <v>55</v>
      </c>
      <c r="N48" s="198">
        <v>1.1599999999999999</v>
      </c>
      <c r="O48" s="35"/>
      <c r="P48" s="102"/>
      <c r="Q48" s="17"/>
      <c r="R48" s="17"/>
      <c r="S48" s="17"/>
      <c r="T48" s="17"/>
      <c r="U48" s="17"/>
      <c r="V48" s="237" t="s">
        <v>283</v>
      </c>
      <c r="W48" s="134"/>
      <c r="X48" s="130" t="s">
        <v>268</v>
      </c>
      <c r="Y48" s="138" t="s">
        <v>277</v>
      </c>
      <c r="Z48" s="130" t="s">
        <v>273</v>
      </c>
      <c r="AA48" s="138" t="s">
        <v>277</v>
      </c>
      <c r="AB48" s="17"/>
    </row>
    <row r="49" spans="1:28">
      <c r="A49" s="141" t="s">
        <v>46</v>
      </c>
      <c r="B49" s="142" t="s">
        <v>79</v>
      </c>
      <c r="C49" s="142">
        <v>490</v>
      </c>
      <c r="D49" s="143">
        <v>96</v>
      </c>
      <c r="E49" s="142">
        <v>6.6849999999999996</v>
      </c>
      <c r="F49" s="142">
        <v>1000</v>
      </c>
      <c r="G49" s="142">
        <v>50</v>
      </c>
      <c r="H49" s="148">
        <f t="shared" ref="H49:H55" si="2">$E49*$F49*($C49/60)^3*($D49/1000)^5</f>
        <v>29.688760463523831</v>
      </c>
      <c r="I49" s="172">
        <v>1</v>
      </c>
      <c r="J49" s="146">
        <f t="shared" si="0"/>
        <v>0.57856729319630429</v>
      </c>
      <c r="K49" s="144">
        <f t="shared" si="1"/>
        <v>0.59377520927047667</v>
      </c>
      <c r="L49" s="146">
        <f t="shared" ref="L49:L55" si="3">3.14*$D49/1000*$C49/60</f>
        <v>2.4617599999999999</v>
      </c>
      <c r="M49" s="142">
        <v>55</v>
      </c>
      <c r="N49" s="198">
        <v>1.1599999999999999</v>
      </c>
      <c r="O49" s="17"/>
      <c r="P49" s="17"/>
      <c r="Q49" s="17"/>
      <c r="R49" s="17"/>
      <c r="S49" s="17"/>
      <c r="T49" s="17"/>
      <c r="U49" s="17"/>
      <c r="V49" s="237"/>
      <c r="W49" s="131" t="s">
        <v>47</v>
      </c>
      <c r="X49" s="150" cm="1">
        <f t="array" ref="X49">IF($B$45=0,
IF($B$44="N/A","N/A",IF(Input!D14&lt;=1000,VLOOKUP($B$44,$B$48:$N$55,2,FALSE),ROUNDDOWN((SQRT((213500000000000000*(INDEX($B$48:$N$55,(MATCH($B$44,$B$48:$B$55,0)+1),9)))/(9.549*(INDEX($B$48:$N$55,(MATCH($B$44,$B$48:$B$55,0)),4))*((INDEX($B$48:$N$55,(MATCH($B$44,$B$48:$B$55,0)),5))/1000)*((INDEX($B$48:$N55,(MATCH($B$44,$B$48:$B$55,0)),3))^5)))),0))),
IF(Input!D14&lt;=1000,VLOOKUP($B$45,$B$48:$N$55,2,FALSE),ROUNDDOWN((SQRT((213500000000000000*(INDEX($B$48:$N$55,(MATCH($B$45,$B$48:$B$55,0)+1),9)))/(9.549*(INDEX($B$48:$N$55,(MATCH($B$45,$B$48:$B$55,0)),4))*((INDEX($B$48:$N$55,(MATCH($B$45,$B$48:$B$55,0)),5))/1000)*((INDEX($B$48:$N$55,(MATCH($B$45,$B$48:$B$55,0)),3))^5)))),0)))</f>
        <v>241</v>
      </c>
      <c r="Y49" s="49" t="s">
        <v>274</v>
      </c>
      <c r="Z49" s="150">
        <f>$X$49</f>
        <v>241</v>
      </c>
      <c r="AA49" s="153" t="s">
        <v>274</v>
      </c>
      <c r="AB49" s="17"/>
    </row>
    <row r="50" spans="1:28">
      <c r="B50" s="3" t="s">
        <v>80</v>
      </c>
      <c r="C50" s="35">
        <v>490</v>
      </c>
      <c r="D50" s="36">
        <v>150</v>
      </c>
      <c r="E50" s="3">
        <v>6.6849999999999996</v>
      </c>
      <c r="F50" s="3">
        <f>IF($B$44=$B50,Input!$D$14,IF($B$45=$B50,Input!$D$14,1000))</f>
        <v>1000</v>
      </c>
      <c r="G50" s="3">
        <f>IF($B$44=$B50,Input!$D$12,IF($B$45=$B50,Input!$D$12,850))</f>
        <v>850</v>
      </c>
      <c r="H50" s="42">
        <f t="shared" si="2"/>
        <v>276.49812832031239</v>
      </c>
      <c r="I50" s="41">
        <v>6</v>
      </c>
      <c r="J50" s="42">
        <f t="shared" si="0"/>
        <v>5.3883278108789048</v>
      </c>
      <c r="K50" s="102">
        <f t="shared" si="1"/>
        <v>0.32529191567095578</v>
      </c>
      <c r="L50" s="104">
        <f t="shared" si="3"/>
        <v>3.8464999999999998</v>
      </c>
      <c r="M50" s="35">
        <v>94</v>
      </c>
      <c r="N50" s="198">
        <v>1.1000000000000001</v>
      </c>
      <c r="O50" s="17"/>
      <c r="P50" s="17"/>
      <c r="Q50" s="17"/>
      <c r="R50" s="17"/>
      <c r="S50" s="17"/>
      <c r="T50" s="17"/>
      <c r="U50" s="17"/>
      <c r="V50" s="237"/>
      <c r="W50" s="132" t="s">
        <v>8</v>
      </c>
      <c r="X50" s="156">
        <f>IF($B$45=0,
IF($X$49=$B$44,"N/A",(VLOOKUP($B$44,$B$48:$N$55,4,FALSE)*Input!$D$14*($X$49/60)^3*((VLOOKUP($B$44,$B$48:$N$55,3,FALSE))/1000)^5)/Input!$D$12),
(VLOOKUP($B$45,$B$48:$N$55,4,FALSE)*Input!$D$14*($X$49/60)^3*((VLOOKUP($B$45,$B$48:$N$55,3,FALSE))/1000)^5)/Input!$D$12)</f>
        <v>0.70476818263135532</v>
      </c>
      <c r="Y50" s="85" t="s">
        <v>9</v>
      </c>
      <c r="Z50" s="151">
        <f>IF($X$50="N/A",
           "N/A",
             $X$50/0.264172)</f>
        <v>2.6678383122789517</v>
      </c>
      <c r="AA50" s="136" t="s">
        <v>275</v>
      </c>
      <c r="AB50" s="17"/>
    </row>
    <row r="51" spans="1:28">
      <c r="A51" s="141" t="s">
        <v>46</v>
      </c>
      <c r="B51" s="142" t="s">
        <v>80</v>
      </c>
      <c r="C51" s="142">
        <v>490</v>
      </c>
      <c r="D51" s="143">
        <v>150</v>
      </c>
      <c r="E51" s="142">
        <v>6.6849999999999996</v>
      </c>
      <c r="F51" s="142">
        <v>1000</v>
      </c>
      <c r="G51" s="142">
        <v>850</v>
      </c>
      <c r="H51" s="148">
        <f t="shared" si="2"/>
        <v>276.49812832031239</v>
      </c>
      <c r="I51" s="145">
        <v>6</v>
      </c>
      <c r="J51" s="148">
        <f t="shared" si="0"/>
        <v>5.3883278108789048</v>
      </c>
      <c r="K51" s="144">
        <f t="shared" si="1"/>
        <v>0.32529191567095578</v>
      </c>
      <c r="L51" s="146">
        <f t="shared" si="3"/>
        <v>3.8464999999999998</v>
      </c>
      <c r="M51" s="142">
        <v>94</v>
      </c>
      <c r="N51" s="198">
        <v>1.1000000000000001</v>
      </c>
      <c r="O51" s="17"/>
      <c r="P51" s="17"/>
      <c r="Q51" s="17"/>
      <c r="R51" s="17"/>
      <c r="S51" s="17"/>
      <c r="T51" s="17"/>
      <c r="U51" s="17"/>
      <c r="V51" s="237"/>
      <c r="W51" s="132" t="s">
        <v>10</v>
      </c>
      <c r="X51" s="155">
        <f>IF($B$45=0,
IF($X$49=$B$44,"N/A",3.14*VLOOKUP($B$44,$B$48:$N$55,3,FALSE)/1000*$X$49/60),
3.14*VLOOKUP($B$45,$B$48:$N$55,3,FALSE)/1000*$X$49/60)</f>
        <v>2.976510666666667</v>
      </c>
      <c r="Y51" s="136" t="s">
        <v>11</v>
      </c>
      <c r="Z51" s="152">
        <f>IF($X$51="N/A",
           "N/A",
             $X$51*196.85)</f>
        <v>585.92612473333338</v>
      </c>
      <c r="AA51" s="136" t="s">
        <v>276</v>
      </c>
      <c r="AB51" s="17"/>
    </row>
    <row r="52" spans="1:28" ht="33" thickBot="1">
      <c r="B52" s="3" t="s">
        <v>119</v>
      </c>
      <c r="C52" s="35">
        <v>490</v>
      </c>
      <c r="D52" s="36">
        <v>177</v>
      </c>
      <c r="E52" s="3">
        <v>6.6849999999999996</v>
      </c>
      <c r="F52" s="3">
        <f>IF($B$44=$B52,Input!$D$14,IF($B$45=$B52,Input!$D$14,1000))</f>
        <v>1000</v>
      </c>
      <c r="G52" s="3">
        <f>IF($B$44=$B52,Input!$D$12,IF($B$45=$B52,Input!$D$12,2000))</f>
        <v>2000</v>
      </c>
      <c r="H52" s="42">
        <f t="shared" si="2"/>
        <v>632.56073780547626</v>
      </c>
      <c r="I52" s="41">
        <v>13</v>
      </c>
      <c r="J52" s="42">
        <f t="shared" si="0"/>
        <v>12.327188745519372</v>
      </c>
      <c r="K52" s="102">
        <f t="shared" si="1"/>
        <v>0.31628036890273814</v>
      </c>
      <c r="L52" s="104">
        <f t="shared" si="3"/>
        <v>4.5388699999999993</v>
      </c>
      <c r="M52" s="35">
        <v>129.5</v>
      </c>
      <c r="N52" s="198">
        <v>1</v>
      </c>
      <c r="O52" s="17"/>
      <c r="P52" s="17"/>
      <c r="Q52" s="17"/>
      <c r="R52" s="17"/>
      <c r="S52" s="17"/>
      <c r="T52" s="17"/>
      <c r="U52" s="17"/>
      <c r="V52" s="237"/>
      <c r="W52" s="154" t="s">
        <v>289</v>
      </c>
      <c r="X52" s="158">
        <f>IF(OR($X$58=0,X58="N/A"),
         "N/A",
         IF(Input!$D$12/$X$58*4&lt;0.25,
              0.5,
              MROUND(Input!$D$12/$X$58*4,0.5)))</f>
        <v>1</v>
      </c>
      <c r="Y52" s="29" t="s">
        <v>301</v>
      </c>
      <c r="Z52" s="157">
        <f>$X$52</f>
        <v>1</v>
      </c>
      <c r="AA52" s="29" t="s">
        <v>301</v>
      </c>
      <c r="AB52" s="17"/>
    </row>
    <row r="53" spans="1:28" ht="15" customHeight="1">
      <c r="A53" s="141" t="s">
        <v>46</v>
      </c>
      <c r="B53" s="142" t="s">
        <v>119</v>
      </c>
      <c r="C53" s="142">
        <v>490</v>
      </c>
      <c r="D53" s="143">
        <v>177</v>
      </c>
      <c r="E53" s="142">
        <v>6.6849999999999996</v>
      </c>
      <c r="F53" s="142">
        <v>1000</v>
      </c>
      <c r="G53" s="142">
        <v>2000</v>
      </c>
      <c r="H53" s="148">
        <f t="shared" si="2"/>
        <v>632.56073780547626</v>
      </c>
      <c r="I53" s="145">
        <v>13</v>
      </c>
      <c r="J53" s="148">
        <f t="shared" si="0"/>
        <v>12.327188745519372</v>
      </c>
      <c r="K53" s="144">
        <f t="shared" si="1"/>
        <v>0.31628036890273814</v>
      </c>
      <c r="L53" s="146">
        <f t="shared" si="3"/>
        <v>4.5388699999999993</v>
      </c>
      <c r="M53" s="142">
        <v>129.5</v>
      </c>
      <c r="N53" s="198">
        <v>1</v>
      </c>
      <c r="O53" s="17"/>
      <c r="P53" s="17"/>
      <c r="Q53" s="17"/>
      <c r="R53" s="17"/>
      <c r="S53" s="17"/>
      <c r="T53" s="17"/>
      <c r="U53" s="17"/>
      <c r="V53" s="237" t="s">
        <v>281</v>
      </c>
      <c r="W53" s="131" t="s">
        <v>284</v>
      </c>
      <c r="X53" s="187">
        <f>IF(Input!$E$28=0,$X$49,Input!$E$28)</f>
        <v>241</v>
      </c>
      <c r="Y53" s="85" t="s">
        <v>274</v>
      </c>
      <c r="Z53" s="188">
        <f>$X$53</f>
        <v>241</v>
      </c>
      <c r="AA53" s="136" t="s">
        <v>274</v>
      </c>
      <c r="AB53" s="17"/>
    </row>
    <row r="54" spans="1:28">
      <c r="B54" s="3" t="s">
        <v>81</v>
      </c>
      <c r="C54" s="3">
        <v>343</v>
      </c>
      <c r="D54" s="36">
        <v>236</v>
      </c>
      <c r="E54" s="3">
        <v>6.6849999999999996</v>
      </c>
      <c r="F54" s="3">
        <f>IF($B$44=$B54,Input!$D$14,IF($B$45=$B54,Input!$D$14,1000))</f>
        <v>2000</v>
      </c>
      <c r="G54" s="3">
        <f>IF($B$44=$B54,Input!$D$12,IF($B$45=$B54,Input!$D$12,5000))</f>
        <v>900</v>
      </c>
      <c r="H54" s="42">
        <f t="shared" si="2"/>
        <v>1828.6055395958285</v>
      </c>
      <c r="I54" s="41">
        <v>26</v>
      </c>
      <c r="J54" s="43">
        <f t="shared" si="0"/>
        <v>50.907738476969584</v>
      </c>
      <c r="K54" s="102">
        <f>H54/G54</f>
        <v>2.0317839328842537</v>
      </c>
      <c r="L54" s="104">
        <f t="shared" si="3"/>
        <v>4.2362786666666672</v>
      </c>
      <c r="M54" s="35">
        <v>159.5</v>
      </c>
      <c r="N54" s="198">
        <v>1</v>
      </c>
      <c r="O54" s="17"/>
      <c r="P54" s="17"/>
      <c r="Q54" s="17"/>
      <c r="R54" s="17"/>
      <c r="S54" s="17"/>
      <c r="T54" s="17"/>
      <c r="U54" s="17"/>
      <c r="V54" s="237"/>
      <c r="W54" s="132" t="s">
        <v>8</v>
      </c>
      <c r="X54" s="181">
        <f>IF($B$45=0,
IF($B$44=$X$49,"N/A",(VLOOKUP($B$44,$B$48:$N$55,4,FALSE)*Input!$D$14*($X$53/60)^3*(((VLOOKUP($B$44,$B$48:$N$55,3,FALSE))/1000)^5)/Input!$D$12)),
(VLOOKUP($B$45,$B$48:$N$55,4,FALSE)*Input!$D$14*($X$53/60)^3*(((VLOOKUP($B$45,$B$48:$N$55,3,FALSE))/1000)^5)/Input!$D$12))</f>
        <v>0.70476818263135532</v>
      </c>
      <c r="Y54" s="85" t="s">
        <v>9</v>
      </c>
      <c r="Z54" s="184">
        <f>IF($X$54="N/A",
           "N/A",
             $X$54/0.264172)</f>
        <v>2.6678383122789517</v>
      </c>
      <c r="AA54" s="136" t="s">
        <v>275</v>
      </c>
      <c r="AB54" s="17"/>
    </row>
    <row r="55" spans="1:28">
      <c r="A55" s="141" t="s">
        <v>46</v>
      </c>
      <c r="B55" s="142" t="s">
        <v>81</v>
      </c>
      <c r="C55" s="142">
        <v>343</v>
      </c>
      <c r="D55" s="143">
        <v>236</v>
      </c>
      <c r="E55" s="142">
        <v>6.6849999999999996</v>
      </c>
      <c r="F55" s="142">
        <v>1000</v>
      </c>
      <c r="G55" s="142">
        <v>5000</v>
      </c>
      <c r="H55" s="148">
        <f t="shared" si="2"/>
        <v>914.30276979791427</v>
      </c>
      <c r="I55" s="145">
        <v>26</v>
      </c>
      <c r="J55" s="149">
        <f t="shared" si="0"/>
        <v>25.453869238484792</v>
      </c>
      <c r="K55" s="144">
        <f t="shared" si="1"/>
        <v>0.18286055395958287</v>
      </c>
      <c r="L55" s="146">
        <f t="shared" si="3"/>
        <v>4.2362786666666672</v>
      </c>
      <c r="M55" s="142">
        <v>159.5</v>
      </c>
      <c r="N55" s="198">
        <v>1</v>
      </c>
      <c r="O55" s="17"/>
      <c r="P55" s="17"/>
      <c r="Q55" s="17"/>
      <c r="R55" s="17"/>
      <c r="S55" s="17"/>
      <c r="T55" s="17"/>
      <c r="U55" s="17"/>
      <c r="V55" s="237"/>
      <c r="W55" s="132" t="s">
        <v>285</v>
      </c>
      <c r="X55" s="182">
        <f>IF($B$45=0,
IF($X$49=$B$44,"N/A",3.14*VLOOKUP($B$44,$B$48:$N$55,3,FALSE)/1000*$X$53/60),
3.14*VLOOKUP($B$45,$B$48:$N$55,3,FALSE)/1000*$X$53/60)</f>
        <v>2.976510666666667</v>
      </c>
      <c r="Y55" s="136" t="s">
        <v>11</v>
      </c>
      <c r="Z55" s="185">
        <f>IF($X$55="N/A",
           "N/A",
              $X$55*196.85)</f>
        <v>585.92612473333338</v>
      </c>
      <c r="AA55" s="136" t="s">
        <v>276</v>
      </c>
      <c r="AB55" s="17"/>
    </row>
    <row r="56" spans="1:28" ht="33" thickBo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237"/>
      <c r="W56" s="154" t="s">
        <v>290</v>
      </c>
      <c r="X56" s="183">
        <f>IF(OR($X$59=0,$X$59="N/A"),
         "N/A",
         IF(Input!$D$12/$X$59*4&lt;0.25,
              0.5,
              MROUND(Input!$D$12/$X$59*4,0.5)))</f>
        <v>1</v>
      </c>
      <c r="Y56" s="137"/>
      <c r="Z56" s="186">
        <f>$X$56</f>
        <v>1</v>
      </c>
      <c r="AA56" s="94" t="s">
        <v>301</v>
      </c>
      <c r="AB56" s="17"/>
    </row>
    <row r="57" spans="1:28">
      <c r="A57" s="17"/>
      <c r="B57" s="17"/>
      <c r="C57" s="17"/>
      <c r="D57" s="46"/>
      <c r="E57" s="17"/>
      <c r="F57" s="17"/>
      <c r="G57" s="17"/>
      <c r="H57" s="89"/>
      <c r="I57" s="90"/>
      <c r="J57" s="91"/>
      <c r="K57" s="88"/>
      <c r="L57" s="86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59" t="s">
        <v>249</v>
      </c>
      <c r="X57" s="159">
        <v>0.5</v>
      </c>
      <c r="Y57" s="159"/>
      <c r="Z57" s="159"/>
      <c r="AA57" s="159"/>
      <c r="AB57" s="17"/>
    </row>
    <row r="58" spans="1:2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59" t="s">
        <v>287</v>
      </c>
      <c r="X58" s="159">
        <f>IF(AND($B$45=0,$B$44="N/A"),
          "N/A",
             IF($B$45=0,
IF($X$57*(10.74*(VLOOKUP($B$44,$B$48:$N$55,3,FALSE)/25.4)^2*$X$49*(Input!$D$14/1000)/Input!$D$15)&gt;=20000,1,IF($X$57*(10.74*(VLOOKUP($B$44,$B$48:$N$55,3,FALSE)/25.4)^2*$X$49*(Input!$D$14/1000)/Input!$D$15)&gt;=300,EXP(-5.328+1.683*LN($X$57*(10.74*(VLOOKUP($B$44,$B$48:$N$55,3,FALSE)/25.4)^2*$X$49*(Input!$D$14/1000)/Input!$D$15))-0.179*LN($X$57*(10.74*(VLOOKUP($B$44,$B$48:$N$55,3,FALSE)/25.4)^2*$X$49*(Input!$D$14/1000)/Input!$D$15))^2+0.0064*LN($X$57*(10.74*(VLOOKUP($B$44,$B$48:$N$55,3,FALSE)/25.4)^2*$X$49*(Input!$D$14/1000)/Input!$D$15))^3),IF($X$57*(10.74*(VLOOKUP($B$44,$B$48:$N$55,3,FALSE)/25.4)^2*$X$49*(Input!$D$14/1000)/Input!$D$15)&gt;25,EXP(-0.563-0.231*LN($X$57*(10.74*(VLOOKUP($B$44,$B$48:$N$55,3,FALSE)/25.4)^2*$X$49*(Input!$D$14/1000)/Input!$D$15))+0.0466*LN($X$57*(10.74*(VLOOKUP($B$44,$B$48:$N$55,3,FALSE)/25.4)^2*$X$49*(Input!$D$14/1000)/Input!$D$15))^2),0.439)))*VLOOKUP($B$44,$B$48:$N$55,13,FALSE)*$X$49*(VLOOKUP($B$44,$B$48:$N$55,3,FALSE)^3/1000000),
IF($X$57*(10.74*(VLOOKUP($B$45,$B$48:$N$55,3,FALSE)/25.4)^2*$X$49*(Input!$D$14/1000)/Input!$D$15)&gt;=20000,1,IF($X$57*(10.74*(VLOOKUP($B$45,$B$48:$N$55,3,FALSE)/25.4)^2*$X$49*(Input!$D$14/1000)/Input!$D$15)&gt;=300,EXP(-5.328+1.683*LN($X$57*(10.74*(VLOOKUP($B$45,$B$48:$N$55,3,FALSE)/25.4)^2*$X$49*(Input!$D$14/1000)/Input!$D$15))-0.179*LN($X$57*(10.74*(VLOOKUP($B$45,$B$48:$N$55,3,FALSE)/25.4)^2*$X$49*(Input!$D$14/1000)/Input!$D$15))^2+0.0064*LN($X$57*(10.74*(VLOOKUP($B$45,$B$48:$N$55,3,FALSE)/25.4)^2*$X$49*(Input!$D$14/1000)/Input!$D$15))^3),IF($X$57*(10.74*(VLOOKUP($B$45,$B$48:$N$55,3,FALSE)/25.4)^2*$X$49*(Input!$D$14/1000)/Input!$D$15)&gt;25,EXP(-0.563-0.231*LN($X$57*(10.74*(VLOOKUP($B$45,$B$48:$N$55,3,FALSE)/25.4)^2*$X$49*(Input!$D$14/1000)/Input!$D$15))+0.0466*LN($X$57*(10.74*(VLOOKUP($B$45,$B$48:$N$55,3,FALSE)/25.4)^2*$X$49*(Input!$D$14/1000)/Input!$D$15))^2),0.439)))*VLOOKUP($B$45,$B$48:$N$55,13,FALSE)*$X$49*(VLOOKUP($B$45,$B$48:$N$55,3,FALSE)^3/1000000)))</f>
        <v>3167.7656959999999</v>
      </c>
      <c r="Y58" s="159"/>
      <c r="Z58" s="159"/>
      <c r="AA58" s="159"/>
      <c r="AB58" s="17"/>
    </row>
    <row r="59" spans="1:28">
      <c r="A59" s="17"/>
      <c r="B59" s="17"/>
      <c r="C59" s="17"/>
      <c r="D59" s="17"/>
      <c r="E59" s="8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59" t="s">
        <v>288</v>
      </c>
      <c r="X59" s="159">
        <f>IF(AND($B$45=0,$B$44="N/A"),
          "N/A",
             IF($B$45=0,
IF($X$57*(10.74*(VLOOKUP($B$44,$B$48:$N$55,3,FALSE)/25.4)^2*$X$53*(Input!$D$14/1000)/Input!$D$15)&gt;=20000,1,IF($X$57*(10.74*(VLOOKUP($B$44,$B$48:$N$55,3,FALSE)/25.4)^2*$X$53*(Input!$D$14/1000)/Input!$D$15)&gt;=300,EXP(-5.328+1.683*LN($X$57*(10.74*(VLOOKUP($B$44,$B$48:$N$55,3,FALSE)/25.4)^2*$X$53*(Input!$D$14/1000)/Input!$D$15))-0.179*LN($X$57*(10.74*(VLOOKUP($B$44,$B$48:$N$55,3,FALSE)/25.4)^2*$X$53*(Input!$D$14/1000)/Input!$D$15))^2+0.0064*LN($X$57*(10.74*(VLOOKUP($B$44,$B$48:$N$55,3,FALSE)/25.4)^2*$X$53*(Input!$D$14/1000)/Input!$D$15))^3),IF($X$57*(10.74*(VLOOKUP($B$44,$B$48:$N$55,3,FALSE)/25.4)^2*$X$53*(Input!$D$14/1000)/Input!$D$15)&gt;25,EXP(-0.563-0.231*LN($X$57*(10.74*(VLOOKUP($B$44,$B$48:$N$55,3,FALSE)/25.4)^2*$X$53*(Input!$D$14/1000)/Input!$D$15))+0.0466*LN($X$57*(10.74*(VLOOKUP($B$44,$B$48:$N$55,3,FALSE)/25.4)^2*$X$53*(Input!$D$14/1000)/Input!$D$15))^2),0.439)))*VLOOKUP($B$44,$B$48:$N$55,13,FALSE)*$X$53*(VLOOKUP($B$44,$B$48:$N$55,3,FALSE)^3/1000000),
IF($X$57*(10.74*(VLOOKUP($B$45,$B$48:$N$55,3,FALSE)/25.4)^2*$X$53*(Input!$D$14/1000)/Input!$D$15)&gt;=20000,1,IF($X$57*(10.74*(VLOOKUP($B$45,$B$48:$N$55,3,FALSE)/25.4)^2*$X$53*(Input!$D$14/1000)/Input!$D$15)&gt;=300,EXP(-5.328+1.683*LN($X$57*(10.74*(VLOOKUP($B$45,$B$48:$N$55,3,FALSE)/25.4)^2*$X$53*(Input!$D$14/1000)/Input!$D$15))-0.179*LN($X$57*(10.74*(VLOOKUP($B$45,$B$48:$N$55,3,FALSE)/25.4)^2*$X$53*(Input!$D$14/1000)/Input!$D$15))^2+0.0064*LN($X$57*(10.74*(VLOOKUP($B$45,$B$48:$N$55,3,FALSE)/25.4)^2*$X$53*(Input!$D$14/1000)/Input!$D$15))^3),IF($X$57*(10.74*(VLOOKUP($B$45,$B$48:$N$55,3,FALSE)/25.4)^2*$X$53*(Input!$D$14/1000)/Input!$D$15)&gt;25,EXP(-0.563-0.231*LN($X$57*(10.74*(VLOOKUP($B$45,$B$48:$N$55,3,FALSE)/25.4)^2*$X$53*(Input!$D$14/1000)/Input!$D$15))+0.0466*LN($X$57*(10.74*(VLOOKUP($B$45,$B$48:$N$55,3,FALSE)/25.4)^2*$X$53*(Input!$D$14/1000)/Input!$D$15))^2),0.439)))*VLOOKUP($B$45,$B$48:$N$55,13,FALSE)*$X$53*(VLOOKUP($B$45,$B$48:$N$55,3,FALSE)^3/1000000)))</f>
        <v>3167.7656959999999</v>
      </c>
      <c r="Y59" s="159"/>
      <c r="Z59" s="159"/>
      <c r="AA59" s="159"/>
      <c r="AB59" s="17"/>
    </row>
    <row r="60" spans="1:28">
      <c r="A60" s="17"/>
      <c r="B60" s="17"/>
      <c r="C60" s="17"/>
      <c r="D60" s="17"/>
      <c r="E60" s="86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 spans="1:28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85"/>
      <c r="X61" s="238" t="s">
        <v>279</v>
      </c>
      <c r="Y61" s="238"/>
      <c r="Z61" s="17"/>
      <c r="AA61" s="17"/>
      <c r="AB61" s="17"/>
    </row>
    <row r="62" spans="1:28" ht="17" thickBot="1">
      <c r="A62" s="17"/>
      <c r="B62" s="17"/>
      <c r="C62" s="17"/>
      <c r="D62" s="17"/>
      <c r="E62" s="88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60" t="str">
        <f>CONCATENATE("Tank Turnovers at ",Input!D15,"cP")</f>
        <v>Tank Turnovers at 10cP</v>
      </c>
      <c r="X62" s="133" t="s">
        <v>286</v>
      </c>
      <c r="Y62" s="135" t="s">
        <v>281</v>
      </c>
      <c r="Z62" s="135"/>
      <c r="AA62" s="17"/>
      <c r="AB62" s="17"/>
    </row>
    <row r="63" spans="1:28" ht="16" thickBot="1">
      <c r="A63" s="17"/>
      <c r="B63" s="17"/>
      <c r="C63" s="17"/>
      <c r="D63" s="17"/>
      <c r="E63" s="86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61">
        <v>0</v>
      </c>
      <c r="X63" s="162">
        <f>IF(OR($X$58=0,$X$58="N/A"),
           "N/A",
              Input!$D$12/$X$58*$W63)</f>
        <v>0</v>
      </c>
      <c r="Y63" s="189">
        <f>IF(OR($X$59=0,$X$59="N/A"),
           "N/A",
             Input!$D$12/$X$59*$W63)</f>
        <v>0</v>
      </c>
      <c r="Z63" s="88"/>
      <c r="AA63" s="17"/>
      <c r="AB63" s="17"/>
    </row>
    <row r="64" spans="1:28" ht="16" thickBo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9" t="s">
        <v>277</v>
      </c>
      <c r="S64" s="17"/>
      <c r="T64" s="17"/>
      <c r="U64" s="17"/>
      <c r="V64" s="17"/>
      <c r="W64" s="161">
        <v>1</v>
      </c>
      <c r="X64" s="162">
        <f>IF(OR($X$58=0,$X$58="N/A"),
           "N/A",
              Input!$D$12/$X$58*$W64)</f>
        <v>0.2841119218938597</v>
      </c>
      <c r="Y64" s="189">
        <f>IF(OR($X$59=0,$X$59="N/A"),
           "N/A",
             Input!$D$12/$X$59*$W64)</f>
        <v>0.2841119218938597</v>
      </c>
      <c r="Z64" s="46"/>
      <c r="AA64" s="17"/>
      <c r="AB64" s="17"/>
    </row>
    <row r="65" spans="1:28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85" t="s">
        <v>274</v>
      </c>
      <c r="S65" s="17"/>
      <c r="T65" s="17"/>
      <c r="U65" s="17"/>
      <c r="V65" s="17"/>
      <c r="W65" s="161">
        <v>2</v>
      </c>
      <c r="X65" s="162">
        <f>IF(OR($X$58=0,$X$58="N/A"),
           "N/A",
              Input!$D$12/$X$58*$W65)</f>
        <v>0.5682238437877194</v>
      </c>
      <c r="Y65" s="189">
        <f>IF(OR($X$59=0,$X$59="N/A"),
           "N/A",
             Input!$D$12/$X$59*$W65)</f>
        <v>0.5682238437877194</v>
      </c>
      <c r="Z65" s="17"/>
      <c r="AA65" s="17"/>
      <c r="AB65" s="17"/>
    </row>
    <row r="66" spans="1:28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87"/>
      <c r="P66" s="17"/>
      <c r="Q66" s="88"/>
      <c r="R66" s="85" t="s">
        <v>275</v>
      </c>
      <c r="S66" s="17"/>
      <c r="T66" s="17"/>
      <c r="U66" s="17"/>
      <c r="V66" s="17"/>
      <c r="W66" s="161">
        <v>3</v>
      </c>
      <c r="X66" s="162">
        <f>IF(OR($X$58=0,$X$58="N/A"),
           "N/A",
              Input!$D$12/$X$58*$W66)</f>
        <v>0.85233576568157909</v>
      </c>
      <c r="Y66" s="189">
        <f>IF(OR($X$59=0,$X$59="N/A"),
           "N/A",
             Input!$D$12/$X$59*$W66)</f>
        <v>0.85233576568157909</v>
      </c>
      <c r="Z66" s="88"/>
      <c r="AA66" s="17"/>
      <c r="AB66" s="17"/>
    </row>
    <row r="67" spans="1:28" ht="16" thickBo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86"/>
      <c r="P67" s="17"/>
      <c r="Q67" s="46"/>
      <c r="R67" s="94" t="s">
        <v>276</v>
      </c>
      <c r="S67" s="17"/>
      <c r="T67" s="17"/>
      <c r="U67" s="17"/>
      <c r="V67" s="17"/>
      <c r="W67" s="161">
        <v>4</v>
      </c>
      <c r="X67" s="162">
        <f>IF(OR($X$58=0,$X$58="N/A"),
           "N/A",
              Input!$D$12/$X$58*$W67)</f>
        <v>1.1364476875754388</v>
      </c>
      <c r="Y67" s="189">
        <f>IF(OR($X$59=0,$X$59="N/A"),
           "N/A",
             Input!$D$12/$X$59*$W67)</f>
        <v>1.1364476875754388</v>
      </c>
      <c r="Z67" s="46"/>
      <c r="AA67" s="17"/>
      <c r="AB67" s="17"/>
    </row>
    <row r="68" spans="1:2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85" t="s">
        <v>274</v>
      </c>
      <c r="S68" s="17"/>
      <c r="T68" s="17"/>
      <c r="U68" s="17"/>
      <c r="V68" s="17"/>
      <c r="W68" s="161">
        <v>5</v>
      </c>
      <c r="X68" s="162">
        <f>IF(OR($X$58=0,$X$58="N/A"),
           "N/A",
              Input!$D$12/$X$58*$W68)</f>
        <v>1.4205596094692985</v>
      </c>
      <c r="Y68" s="189">
        <f>IF(OR($X$59=0,$X$59="N/A"),
           "N/A",
             Input!$D$12/$X$59*$W68)</f>
        <v>1.4205596094692985</v>
      </c>
      <c r="Z68" s="17"/>
      <c r="AA68" s="17"/>
      <c r="AB68" s="17"/>
    </row>
    <row r="69" spans="1:28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87"/>
      <c r="P69" s="17"/>
      <c r="Q69" s="165"/>
      <c r="R69" s="85" t="s">
        <v>275</v>
      </c>
      <c r="S69" s="17"/>
      <c r="T69" s="17"/>
      <c r="U69" s="17"/>
      <c r="V69" s="17"/>
      <c r="W69" s="161">
        <v>6</v>
      </c>
      <c r="X69" s="162">
        <f>IF(OR($X$58=0,$X$58="N/A"),
           "N/A",
              Input!$D$12/$X$58*$W69)</f>
        <v>1.7046715313631582</v>
      </c>
      <c r="Y69" s="189">
        <f>IF(OR($X$59=0,$X$59="N/A"),
           "N/A",
             Input!$D$12/$X$59*$W69)</f>
        <v>1.7046715313631582</v>
      </c>
      <c r="Z69" s="17"/>
      <c r="AA69" s="17"/>
      <c r="AB69" s="17"/>
    </row>
    <row r="70" spans="1:28" ht="16" thickBo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86"/>
      <c r="P70" s="17"/>
      <c r="Q70" s="46"/>
      <c r="R70" s="94" t="s">
        <v>276</v>
      </c>
      <c r="S70" s="17"/>
      <c r="T70" s="17"/>
      <c r="U70" s="17"/>
      <c r="V70" s="17"/>
      <c r="W70" s="161">
        <v>7</v>
      </c>
      <c r="X70" s="162">
        <f>IF(OR($X$58=0,$X$58="N/A"),
           "N/A",
              Input!$D$12/$X$58*$W70)</f>
        <v>1.9887834532570179</v>
      </c>
      <c r="Y70" s="189">
        <f>IF(OR($X$59=0,$X$59="N/A"),
           "N/A",
             Input!$D$12/$X$59*$W70)</f>
        <v>1.9887834532570179</v>
      </c>
      <c r="Z70" s="17"/>
      <c r="AA70" s="17"/>
      <c r="AB70" s="17"/>
    </row>
    <row r="71" spans="1:28" ht="16" thickBo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35"/>
      <c r="S71" s="17"/>
      <c r="T71" s="17"/>
      <c r="U71" s="17"/>
      <c r="V71" s="17"/>
      <c r="W71" s="161">
        <v>8</v>
      </c>
      <c r="X71" s="162">
        <f>IF(OR($X$58=0,$X$58="N/A"),
           "N/A",
              Input!$D$12/$X$58*$W71)</f>
        <v>2.2728953751508776</v>
      </c>
      <c r="Y71" s="189">
        <f>IF(OR($X$59=0,$X$59="N/A"),
           "N/A",
             Input!$D$12/$X$59*$W71)</f>
        <v>2.2728953751508776</v>
      </c>
      <c r="Z71" s="17"/>
      <c r="AA71" s="17"/>
      <c r="AB71" s="17"/>
    </row>
    <row r="72" spans="1:28" ht="16" thickBo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9"/>
      <c r="S72" s="17"/>
      <c r="T72" s="17"/>
      <c r="U72" s="17"/>
      <c r="V72" s="17"/>
      <c r="W72" s="161">
        <v>9</v>
      </c>
      <c r="X72" s="162">
        <f>IF(OR($X$58=0,$X$58="N/A"),
           "N/A",
              Input!$D$12/$X$58*$W72)</f>
        <v>2.5570072970447373</v>
      </c>
      <c r="Y72" s="189">
        <f>IF(OR($X$59=0,$X$59="N/A"),
           "N/A",
             Input!$D$12/$X$59*$W72)</f>
        <v>2.5570072970447373</v>
      </c>
      <c r="Z72" s="17"/>
      <c r="AA72" s="17"/>
      <c r="AB72" s="17"/>
    </row>
    <row r="73" spans="1:28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85" t="s">
        <v>274</v>
      </c>
      <c r="T73" s="17"/>
      <c r="U73" s="17"/>
      <c r="V73" s="17"/>
      <c r="W73" s="161">
        <v>10</v>
      </c>
      <c r="X73" s="162">
        <f>IF(OR($X$58=0,$X$58="N/A"),
           "N/A",
              Input!$D$12/$X$58*$W73)</f>
        <v>2.841119218938597</v>
      </c>
      <c r="Y73" s="189">
        <f>IF(OR($X$59=0,$X$59="N/A"),
           "N/A",
             Input!$D$12/$X$59*$W73)</f>
        <v>2.841119218938597</v>
      </c>
      <c r="Z73" s="17"/>
      <c r="AA73" s="17"/>
      <c r="AB73" s="17"/>
    </row>
    <row r="74" spans="1:28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87"/>
      <c r="P74" s="17"/>
      <c r="Q74" s="88"/>
      <c r="R74" s="85" t="s">
        <v>275</v>
      </c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spans="1:28" ht="16" thickBot="1">
      <c r="O75" s="83"/>
      <c r="Q75" s="82"/>
      <c r="R75" s="29" t="s">
        <v>276</v>
      </c>
    </row>
    <row r="76" spans="1:28">
      <c r="R76" s="27" t="s">
        <v>274</v>
      </c>
    </row>
    <row r="77" spans="1:28">
      <c r="O77" s="58"/>
      <c r="Q77" s="58"/>
      <c r="R77" s="27" t="s">
        <v>275</v>
      </c>
    </row>
    <row r="78" spans="1:28" ht="16" thickBot="1">
      <c r="O78" s="83"/>
      <c r="Q78" s="82"/>
      <c r="R78" s="29" t="s">
        <v>276</v>
      </c>
    </row>
    <row r="80" spans="1:28" ht="16" thickBot="1">
      <c r="R80" s="59"/>
    </row>
    <row r="81" spans="15:18" ht="16" thickBot="1">
      <c r="R81" s="173"/>
    </row>
    <row r="82" spans="15:18">
      <c r="O82" s="166"/>
      <c r="Q82" s="82"/>
      <c r="R82" s="27" t="s">
        <v>278</v>
      </c>
    </row>
    <row r="83" spans="15:18">
      <c r="O83" s="79"/>
      <c r="Q83" s="83"/>
      <c r="R83" s="27"/>
    </row>
    <row r="84" spans="15:18">
      <c r="R84" s="27"/>
    </row>
    <row r="85" spans="15:18" ht="16" thickBot="1">
      <c r="O85" s="83"/>
      <c r="Q85" s="83"/>
      <c r="R85" s="29"/>
    </row>
  </sheetData>
  <sortState xmlns:xlrd2="http://schemas.microsoft.com/office/spreadsheetml/2017/richdata2" ref="I6:I40">
    <sortCondition descending="1" ref="I6:I40"/>
  </sortState>
  <mergeCells count="9">
    <mergeCell ref="V53:V56"/>
    <mergeCell ref="X61:Y61"/>
    <mergeCell ref="V48:V52"/>
    <mergeCell ref="B1:C1"/>
    <mergeCell ref="D1:E1"/>
    <mergeCell ref="F1:G1"/>
    <mergeCell ref="B2:C2"/>
    <mergeCell ref="D2:E2"/>
    <mergeCell ref="F2:G2"/>
  </mergeCells>
  <conditionalFormatting sqref="B48:D48 H48:J48 D49 H49:H55">
    <cfRule type="expression" dxfId="40" priority="11">
      <formula>$B$13=$B$2</formula>
    </cfRule>
  </conditionalFormatting>
  <conditionalFormatting sqref="B50:D50 I50:J50 D51">
    <cfRule type="expression" dxfId="39" priority="8">
      <formula>$B$17=$B$2</formula>
    </cfRule>
  </conditionalFormatting>
  <conditionalFormatting sqref="B52:D52 I52:J52 D53">
    <cfRule type="expression" dxfId="38" priority="4">
      <formula>$B$21=$B$2</formula>
    </cfRule>
  </conditionalFormatting>
  <conditionalFormatting sqref="B54:D54 I54:J54 D55">
    <cfRule type="expression" dxfId="37" priority="3">
      <formula>$B$23=$B$2</formula>
    </cfRule>
  </conditionalFormatting>
  <conditionalFormatting sqref="F48:F55">
    <cfRule type="expression" dxfId="36" priority="10">
      <formula>$B$11=$B$2</formula>
    </cfRule>
  </conditionalFormatting>
  <conditionalFormatting sqref="J48">
    <cfRule type="expression" dxfId="35" priority="12">
      <formula>$J$14&lt;$J$13</formula>
    </cfRule>
  </conditionalFormatting>
  <conditionalFormatting sqref="J50">
    <cfRule type="expression" dxfId="34" priority="9">
      <formula>$J$18&lt;$J$17</formula>
    </cfRule>
  </conditionalFormatting>
  <conditionalFormatting sqref="J52">
    <cfRule type="expression" dxfId="33" priority="6">
      <formula>$J$22&lt;$J$21</formula>
    </cfRule>
  </conditionalFormatting>
  <conditionalFormatting sqref="J54">
    <cfRule type="expression" dxfId="32" priority="5">
      <formula>$J$24&lt;$J$23</formula>
    </cfRule>
  </conditionalFormatting>
  <conditionalFormatting sqref="P48">
    <cfRule type="expression" dxfId="31" priority="1">
      <formula>$B$11=$B$2</formula>
    </cfRule>
  </conditionalFormatting>
  <dataValidations disablePrompts="1" count="1">
    <dataValidation type="list" allowBlank="1" showInputMessage="1" showErrorMessage="1" sqref="B1:G2" xr:uid="{37BC3563-2E8E-4A47-9A6A-2C032EF20AD3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C942-319A-4F00-B7B9-277D746783D7}">
  <sheetPr>
    <tabColor rgb="FF00B0F0"/>
  </sheetPr>
  <dimension ref="A1:AB84"/>
  <sheetViews>
    <sheetView topLeftCell="A39" workbookViewId="0">
      <selection activeCell="X50" sqref="X50"/>
    </sheetView>
  </sheetViews>
  <sheetFormatPr baseColWidth="10" defaultColWidth="8.83203125" defaultRowHeight="15"/>
  <cols>
    <col min="1" max="1" width="20.33203125" bestFit="1" customWidth="1"/>
    <col min="2" max="2" width="12.5" bestFit="1" customWidth="1"/>
    <col min="12" max="12" width="15" bestFit="1" customWidth="1"/>
    <col min="17" max="17" width="0" hidden="1" customWidth="1"/>
    <col min="18" max="18" width="18.83203125" hidden="1" customWidth="1"/>
    <col min="19" max="20" width="0" hidden="1" customWidth="1"/>
    <col min="23" max="23" width="19.1640625" customWidth="1"/>
    <col min="24" max="24" width="9.83203125" bestFit="1" customWidth="1"/>
    <col min="26" max="26" width="11.5" bestFit="1" customWidth="1"/>
  </cols>
  <sheetData>
    <row r="1" spans="1:28" ht="16" thickBo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6" thickBot="1">
      <c r="A2" s="18" t="s">
        <v>5</v>
      </c>
      <c r="B2" s="239">
        <f>IF(Input!$D$13="Gentle",1.2,IF(Input!$D$13="Vigorous", 0.8,1))</f>
        <v>0.8</v>
      </c>
      <c r="C2" s="240"/>
      <c r="D2" s="239">
        <f>IF(Input!$D$13="Gentle",1.2,IF(Input!$D$13="Vigorous", 0.8,1))</f>
        <v>0.8</v>
      </c>
      <c r="E2" s="240"/>
      <c r="F2" s="239">
        <f>IF(Input!$D$13="Gentle",1.2,IF(Input!$D$13="Vigorous", 0.8,1))</f>
        <v>0.8</v>
      </c>
      <c r="G2" s="240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6" thickBot="1">
      <c r="A3" s="18" t="s">
        <v>17</v>
      </c>
      <c r="B3" s="18">
        <v>300</v>
      </c>
      <c r="C3" s="19"/>
      <c r="D3" s="18">
        <v>3000</v>
      </c>
      <c r="E3" s="19"/>
      <c r="F3" s="92">
        <v>10000</v>
      </c>
      <c r="G3" s="19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ht="16" thickBot="1">
      <c r="A4" s="17"/>
      <c r="B4" s="18" t="s">
        <v>13</v>
      </c>
      <c r="C4" s="19" t="s">
        <v>3</v>
      </c>
      <c r="D4" s="18" t="s">
        <v>13</v>
      </c>
      <c r="E4" s="19" t="s">
        <v>3</v>
      </c>
      <c r="F4" s="92" t="s">
        <v>13</v>
      </c>
      <c r="G4" s="19" t="s">
        <v>3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6" thickBot="1">
      <c r="A5" s="17"/>
      <c r="B5" s="18" t="s">
        <v>27</v>
      </c>
      <c r="C5" s="19" t="s">
        <v>27</v>
      </c>
      <c r="D5" s="18" t="s">
        <v>28</v>
      </c>
      <c r="E5" s="19" t="s">
        <v>28</v>
      </c>
      <c r="F5" s="92" t="s">
        <v>29</v>
      </c>
      <c r="G5" s="19" t="s">
        <v>29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>
      <c r="A6" s="17"/>
      <c r="B6" s="20">
        <f>(B$2)*300</f>
        <v>240</v>
      </c>
      <c r="C6" s="21">
        <v>1</v>
      </c>
      <c r="D6" s="20">
        <f>(D$2)*3000</f>
        <v>2400</v>
      </c>
      <c r="E6" s="21">
        <v>1</v>
      </c>
      <c r="F6" s="20">
        <f>(F$2)*10000</f>
        <v>8000</v>
      </c>
      <c r="G6" s="21">
        <v>1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>
      <c r="A7" s="17"/>
      <c r="B7" s="22">
        <f>(B$2)*273</f>
        <v>218.4</v>
      </c>
      <c r="C7" s="23">
        <v>5</v>
      </c>
      <c r="D7" s="22">
        <f>(D$2)*2730</f>
        <v>2184</v>
      </c>
      <c r="E7" s="23">
        <v>5</v>
      </c>
      <c r="F7" s="22">
        <f>(F$2)*9100</f>
        <v>7280</v>
      </c>
      <c r="G7" s="23">
        <v>5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>
      <c r="A8" s="17"/>
      <c r="B8" s="22">
        <f>(B$2)*249</f>
        <v>199.20000000000002</v>
      </c>
      <c r="C8" s="23">
        <v>10</v>
      </c>
      <c r="D8" s="22">
        <f>(D$2)*2490</f>
        <v>1992</v>
      </c>
      <c r="E8" s="23">
        <v>10</v>
      </c>
      <c r="F8" s="22">
        <f>(F$2)*8300</f>
        <v>6640</v>
      </c>
      <c r="G8" s="23">
        <v>10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>
      <c r="A9" s="17"/>
      <c r="B9" s="22">
        <f>(B$2)*231</f>
        <v>184.8</v>
      </c>
      <c r="C9" s="23">
        <v>15</v>
      </c>
      <c r="D9" s="22">
        <f>(D$2)*2310</f>
        <v>1848</v>
      </c>
      <c r="E9" s="23">
        <v>15</v>
      </c>
      <c r="F9" s="22">
        <f>(F$2)*7700</f>
        <v>6160</v>
      </c>
      <c r="G9" s="23">
        <v>15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>
      <c r="A10" s="17"/>
      <c r="B10" s="22">
        <f>(B$2)*216</f>
        <v>172.8</v>
      </c>
      <c r="C10" s="23">
        <v>20</v>
      </c>
      <c r="D10" s="22">
        <f>(D$2)*2160</f>
        <v>1728</v>
      </c>
      <c r="E10" s="23">
        <v>20</v>
      </c>
      <c r="F10" s="22">
        <f>(F$2)*7200</f>
        <v>5760</v>
      </c>
      <c r="G10" s="23">
        <v>20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>
      <c r="A11" s="17"/>
      <c r="B11" s="22">
        <f>(B$2)*204</f>
        <v>163.20000000000002</v>
      </c>
      <c r="C11" s="23">
        <v>25</v>
      </c>
      <c r="D11" s="22">
        <f>(D$2)*2040</f>
        <v>1632</v>
      </c>
      <c r="E11" s="23">
        <v>25</v>
      </c>
      <c r="F11" s="22">
        <f>(F$2)*6800</f>
        <v>5440</v>
      </c>
      <c r="G11" s="23">
        <v>25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>
      <c r="A12" s="17"/>
      <c r="B12" s="22">
        <f>(B$2)*196.5</f>
        <v>157.20000000000002</v>
      </c>
      <c r="C12" s="23">
        <v>30</v>
      </c>
      <c r="D12" s="22">
        <f>(D$2)*1965</f>
        <v>1572</v>
      </c>
      <c r="E12" s="23">
        <v>30</v>
      </c>
      <c r="F12" s="22">
        <f>(F$2)*6550</f>
        <v>5240</v>
      </c>
      <c r="G12" s="23">
        <v>30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>
      <c r="A13" s="17"/>
      <c r="B13" s="22">
        <f>(B$2)*189</f>
        <v>151.20000000000002</v>
      </c>
      <c r="C13" s="23">
        <v>35</v>
      </c>
      <c r="D13" s="22">
        <f>(D$2)*1890</f>
        <v>1512</v>
      </c>
      <c r="E13" s="23">
        <v>35</v>
      </c>
      <c r="F13" s="22">
        <f>(F$2)*6300</f>
        <v>5040</v>
      </c>
      <c r="G13" s="23">
        <v>35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>
      <c r="A14" s="17"/>
      <c r="B14" s="22">
        <f>(B$2)*184.5</f>
        <v>147.6</v>
      </c>
      <c r="C14" s="23">
        <v>40</v>
      </c>
      <c r="D14" s="22">
        <f>(D$2)*1845</f>
        <v>1476</v>
      </c>
      <c r="E14" s="23">
        <v>40</v>
      </c>
      <c r="F14" s="22">
        <f>(F$2)*6150</f>
        <v>4920</v>
      </c>
      <c r="G14" s="23">
        <v>40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>
      <c r="A15" s="17"/>
      <c r="B15" s="22">
        <f>(B$2)*180</f>
        <v>144</v>
      </c>
      <c r="C15" s="23">
        <v>45</v>
      </c>
      <c r="D15" s="22">
        <f>(D$2)*1800</f>
        <v>1440</v>
      </c>
      <c r="E15" s="23">
        <v>45</v>
      </c>
      <c r="F15" s="22">
        <f>(F$2)*6000</f>
        <v>4800</v>
      </c>
      <c r="G15" s="23">
        <v>45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>
      <c r="A16" s="17"/>
      <c r="B16" s="22">
        <f>(B$2)*175.8</f>
        <v>140.64000000000001</v>
      </c>
      <c r="C16" s="23">
        <v>50</v>
      </c>
      <c r="D16" s="22">
        <f>(D$2)*1758</f>
        <v>1406.4</v>
      </c>
      <c r="E16" s="23">
        <v>50</v>
      </c>
      <c r="F16" s="22">
        <f>(F$2)*5860</f>
        <v>4688</v>
      </c>
      <c r="G16" s="23">
        <v>50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>
      <c r="A17" s="17"/>
      <c r="B17" s="22">
        <f>(B$2)*171</f>
        <v>136.80000000000001</v>
      </c>
      <c r="C17" s="23">
        <v>55</v>
      </c>
      <c r="D17" s="22">
        <f>(D$2)*1710</f>
        <v>1368</v>
      </c>
      <c r="E17" s="23">
        <v>55</v>
      </c>
      <c r="F17" s="22">
        <f>(F$2)*5700</f>
        <v>4560</v>
      </c>
      <c r="G17" s="23">
        <v>55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>
      <c r="A18" s="17"/>
      <c r="B18" s="22">
        <f>(B$2)*168</f>
        <v>134.4</v>
      </c>
      <c r="C18" s="23">
        <v>60</v>
      </c>
      <c r="D18" s="22">
        <f>(D$2)*1680</f>
        <v>1344</v>
      </c>
      <c r="E18" s="23">
        <v>60</v>
      </c>
      <c r="F18" s="22">
        <f>(F$2)*5600</f>
        <v>4480</v>
      </c>
      <c r="G18" s="23">
        <v>60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>
      <c r="A19" s="17"/>
      <c r="B19" s="22">
        <f>(B$2)*165</f>
        <v>132</v>
      </c>
      <c r="C19" s="23">
        <v>65</v>
      </c>
      <c r="D19" s="22">
        <f>(D$2)*1650</f>
        <v>1320</v>
      </c>
      <c r="E19" s="23">
        <v>65</v>
      </c>
      <c r="F19" s="22">
        <f>(F$2)*5500</f>
        <v>4400</v>
      </c>
      <c r="G19" s="23">
        <v>65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>
      <c r="A20" s="17"/>
      <c r="B20" s="22">
        <f>(B$2)*162</f>
        <v>129.6</v>
      </c>
      <c r="C20" s="23">
        <v>70</v>
      </c>
      <c r="D20" s="22">
        <f>(D$2)*1620</f>
        <v>1296</v>
      </c>
      <c r="E20" s="23">
        <v>70</v>
      </c>
      <c r="F20" s="22">
        <f>(F$2)*5400</f>
        <v>4320</v>
      </c>
      <c r="G20" s="23">
        <v>70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>
      <c r="A21" s="17"/>
      <c r="B21" s="22">
        <f>(B$2)*159</f>
        <v>127.2</v>
      </c>
      <c r="C21" s="23">
        <v>75</v>
      </c>
      <c r="D21" s="22">
        <f>(D$2)*1590</f>
        <v>1272</v>
      </c>
      <c r="E21" s="23">
        <v>75</v>
      </c>
      <c r="F21" s="22">
        <f>(F$2)*5300</f>
        <v>4240</v>
      </c>
      <c r="G21" s="23">
        <v>75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>
      <c r="A22" s="17"/>
      <c r="B22" s="22">
        <f>(B$2)*156</f>
        <v>124.80000000000001</v>
      </c>
      <c r="C22" s="23">
        <v>80</v>
      </c>
      <c r="D22" s="22">
        <f>(D$2)*1560</f>
        <v>1248</v>
      </c>
      <c r="E22" s="23">
        <v>80</v>
      </c>
      <c r="F22" s="22">
        <f>(F$2)*5200</f>
        <v>4160</v>
      </c>
      <c r="G22" s="23">
        <v>80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>
      <c r="A23" s="17"/>
      <c r="B23" s="22">
        <f>(B$2)*153</f>
        <v>122.4</v>
      </c>
      <c r="C23" s="23">
        <v>85</v>
      </c>
      <c r="D23" s="22">
        <f>(D$2)*1530</f>
        <v>1224</v>
      </c>
      <c r="E23" s="23">
        <v>85</v>
      </c>
      <c r="F23" s="22">
        <f>(F$2)*5100</f>
        <v>4080</v>
      </c>
      <c r="G23" s="23">
        <v>85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>
      <c r="A24" s="17"/>
      <c r="B24" s="22">
        <f>(B$2)*150</f>
        <v>120</v>
      </c>
      <c r="C24" s="23">
        <v>90</v>
      </c>
      <c r="D24" s="22">
        <f>(D$2)*1500</f>
        <v>1200</v>
      </c>
      <c r="E24" s="23">
        <v>90</v>
      </c>
      <c r="F24" s="22">
        <f>(F$2)*5000</f>
        <v>4000</v>
      </c>
      <c r="G24" s="23">
        <v>90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>
      <c r="A25" s="17"/>
      <c r="B25" s="22">
        <f>(B$2)*147</f>
        <v>117.60000000000001</v>
      </c>
      <c r="C25" s="23">
        <v>95</v>
      </c>
      <c r="D25" s="22">
        <f>(D$2)*1470</f>
        <v>1176</v>
      </c>
      <c r="E25" s="23">
        <v>95</v>
      </c>
      <c r="F25" s="22">
        <f>(F$2)*4900</f>
        <v>3920</v>
      </c>
      <c r="G25" s="23">
        <v>95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>
      <c r="A26" s="17"/>
      <c r="B26" s="22">
        <f>(B$2)*145.5</f>
        <v>116.4</v>
      </c>
      <c r="C26" s="23">
        <v>100</v>
      </c>
      <c r="D26" s="22">
        <f>(D$2)*1455</f>
        <v>1164</v>
      </c>
      <c r="E26" s="23">
        <v>100</v>
      </c>
      <c r="F26" s="22">
        <f>(F$2)*4850</f>
        <v>3880</v>
      </c>
      <c r="G26" s="23">
        <v>100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>
      <c r="A27" s="17"/>
      <c r="B27" s="22">
        <f>(B$2)*129</f>
        <v>103.2</v>
      </c>
      <c r="C27" s="23">
        <v>150</v>
      </c>
      <c r="D27" s="22">
        <f>(D$2)*1290</f>
        <v>1032</v>
      </c>
      <c r="E27" s="23">
        <v>150</v>
      </c>
      <c r="F27" s="22">
        <f>(F$2)*4300</f>
        <v>3440</v>
      </c>
      <c r="G27" s="23">
        <v>150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>
      <c r="A28" s="17"/>
      <c r="B28" s="22">
        <f>(B$2)*117</f>
        <v>93.600000000000009</v>
      </c>
      <c r="C28" s="23">
        <v>200</v>
      </c>
      <c r="D28" s="22">
        <f>(D$2)*1170</f>
        <v>936</v>
      </c>
      <c r="E28" s="23">
        <v>200</v>
      </c>
      <c r="F28" s="22">
        <f>(F$2)*3900</f>
        <v>3120</v>
      </c>
      <c r="G28" s="23">
        <v>200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>
      <c r="A29" s="17"/>
      <c r="B29" s="22">
        <f>(B$2)*106.5</f>
        <v>85.2</v>
      </c>
      <c r="C29" s="23">
        <v>250</v>
      </c>
      <c r="D29" s="22">
        <f>(D$2)*1065</f>
        <v>852</v>
      </c>
      <c r="E29" s="23">
        <v>250</v>
      </c>
      <c r="F29" s="22">
        <f>(F$2)*3550</f>
        <v>2840</v>
      </c>
      <c r="G29" s="23">
        <v>250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>
      <c r="A30" s="17"/>
      <c r="B30" s="22">
        <f>(B$2)*96</f>
        <v>76.800000000000011</v>
      </c>
      <c r="C30" s="23">
        <v>300</v>
      </c>
      <c r="D30" s="22">
        <f>(D$2)*960</f>
        <v>768</v>
      </c>
      <c r="E30" s="23">
        <v>300</v>
      </c>
      <c r="F30" s="22">
        <f>(F$2)*3200</f>
        <v>2560</v>
      </c>
      <c r="G30" s="23">
        <v>300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>
      <c r="A31" s="17"/>
      <c r="B31" s="22">
        <f>(B$2)*87</f>
        <v>69.600000000000009</v>
      </c>
      <c r="C31" s="23">
        <v>350</v>
      </c>
      <c r="D31" s="22">
        <f>(D$2)*870</f>
        <v>696</v>
      </c>
      <c r="E31" s="23">
        <v>350</v>
      </c>
      <c r="F31" s="22">
        <f>(F$2)*2900</f>
        <v>2320</v>
      </c>
      <c r="G31" s="23">
        <v>350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>
      <c r="A32" s="17"/>
      <c r="B32" s="22">
        <f>(B$2)*78</f>
        <v>62.400000000000006</v>
      </c>
      <c r="C32" s="23">
        <v>400</v>
      </c>
      <c r="D32" s="22">
        <f>(D$2)*780</f>
        <v>624</v>
      </c>
      <c r="E32" s="23">
        <v>400</v>
      </c>
      <c r="F32" s="22">
        <f>(F$2)*2600</f>
        <v>2080</v>
      </c>
      <c r="G32" s="23">
        <v>400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>
      <c r="A33" s="17"/>
      <c r="B33" s="22">
        <f>(B$2)*70.5</f>
        <v>56.400000000000006</v>
      </c>
      <c r="C33" s="23">
        <v>450</v>
      </c>
      <c r="D33" s="22">
        <f>(D$2)*705</f>
        <v>564</v>
      </c>
      <c r="E33" s="23">
        <v>450</v>
      </c>
      <c r="F33" s="22">
        <f>(F$2)*2350</f>
        <v>1880</v>
      </c>
      <c r="G33" s="23">
        <v>450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>
      <c r="A34" s="17"/>
      <c r="B34" s="22">
        <f>(B$2)*63</f>
        <v>50.400000000000006</v>
      </c>
      <c r="C34" s="23">
        <v>500</v>
      </c>
      <c r="D34" s="22">
        <f>(D$2)*630</f>
        <v>504</v>
      </c>
      <c r="E34" s="23">
        <v>500</v>
      </c>
      <c r="F34" s="22">
        <f>(F$2)*2100</f>
        <v>1680</v>
      </c>
      <c r="G34" s="23">
        <v>500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>
      <c r="A35" s="17"/>
      <c r="B35" s="22">
        <f>(B$2)*57</f>
        <v>45.6</v>
      </c>
      <c r="C35" s="23">
        <v>550</v>
      </c>
      <c r="D35" s="22">
        <f>(D$2)*570</f>
        <v>456</v>
      </c>
      <c r="E35" s="23">
        <v>550</v>
      </c>
      <c r="F35" s="22">
        <f>(F$2)*1900</f>
        <v>1520</v>
      </c>
      <c r="G35" s="23">
        <v>550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>
      <c r="A36" s="17"/>
      <c r="B36" s="22">
        <f>(B$2)*51</f>
        <v>40.800000000000004</v>
      </c>
      <c r="C36" s="23">
        <v>600</v>
      </c>
      <c r="D36" s="22">
        <f>(D$2)*510</f>
        <v>408</v>
      </c>
      <c r="E36" s="23">
        <v>600</v>
      </c>
      <c r="F36" s="22">
        <f>(F$2)*1700</f>
        <v>1360</v>
      </c>
      <c r="G36" s="23">
        <v>600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>
      <c r="A37" s="17"/>
      <c r="B37" s="22">
        <f>(B$2)*45</f>
        <v>36</v>
      </c>
      <c r="C37" s="23">
        <v>650</v>
      </c>
      <c r="D37" s="22">
        <f>(D$2)*450</f>
        <v>360</v>
      </c>
      <c r="E37" s="23">
        <v>650</v>
      </c>
      <c r="F37" s="22">
        <f>(F$2)*1500</f>
        <v>1200</v>
      </c>
      <c r="G37" s="23">
        <v>650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>
      <c r="A38" s="17"/>
      <c r="B38" s="22">
        <f>(B$2)*39.6</f>
        <v>31.680000000000003</v>
      </c>
      <c r="C38" s="23">
        <v>700</v>
      </c>
      <c r="D38" s="22">
        <f>(D$2)*396</f>
        <v>316.8</v>
      </c>
      <c r="E38" s="23">
        <v>700</v>
      </c>
      <c r="F38" s="22">
        <f>(F$2)*1320</f>
        <v>1056</v>
      </c>
      <c r="G38" s="23">
        <v>700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>
      <c r="A39" s="17"/>
      <c r="B39" s="22">
        <f>(B$2)*34.5</f>
        <v>27.6</v>
      </c>
      <c r="C39" s="23">
        <v>750</v>
      </c>
      <c r="D39" s="22">
        <f>(D$2)*345</f>
        <v>276</v>
      </c>
      <c r="E39" s="23">
        <v>750</v>
      </c>
      <c r="F39" s="22">
        <f>(F$2)*1150</f>
        <v>920</v>
      </c>
      <c r="G39" s="23">
        <v>750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6" thickBot="1">
      <c r="A40" s="17"/>
      <c r="B40" s="24">
        <f>(B$2)*30</f>
        <v>24</v>
      </c>
      <c r="C40" s="25">
        <v>800</v>
      </c>
      <c r="D40" s="24">
        <f>(D$2)*300</f>
        <v>240</v>
      </c>
      <c r="E40" s="25">
        <v>800</v>
      </c>
      <c r="F40" s="24">
        <f>(F$2)*1000</f>
        <v>800</v>
      </c>
      <c r="G40" s="25">
        <v>800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>
      <c r="A41" s="17" t="s">
        <v>282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199.20000000000002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1992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6640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6" thickBo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6" thickBot="1">
      <c r="A44" s="18" t="s">
        <v>35</v>
      </c>
      <c r="B44" s="19" t="str">
        <f>IF($F$41&lt;Input!D12,"N/A",IF(Input!D12&lt;=$B$41,$B$5,IF(Input!D12&lt;=$D$41,$D$5,IF(Input!D12&lt;=$F$41,$F$5,))))</f>
        <v>HP5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>
      <c r="A45" s="17" t="s">
        <v>132</v>
      </c>
      <c r="B45" s="17">
        <f>Input!$D$29</f>
        <v>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U45" s="17"/>
      <c r="V45" s="17"/>
      <c r="W45" s="17"/>
      <c r="X45" s="17"/>
      <c r="Y45" s="17"/>
      <c r="Z45" s="17"/>
      <c r="AA45" s="17"/>
      <c r="AB45" s="17"/>
    </row>
    <row r="46" spans="1:28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U46" s="17"/>
      <c r="V46" s="17"/>
      <c r="W46" s="17"/>
      <c r="X46" s="17"/>
      <c r="Y46" s="17"/>
      <c r="Z46" s="17"/>
      <c r="AA46" s="17"/>
      <c r="AB46" s="17"/>
    </row>
    <row r="47" spans="1:28" ht="49" thickBot="1"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32" t="s">
        <v>145</v>
      </c>
      <c r="N47" s="124" t="s">
        <v>250</v>
      </c>
      <c r="O47" s="17"/>
      <c r="P47" s="17"/>
      <c r="Q47" s="17"/>
      <c r="U47" s="17"/>
      <c r="V47" s="17"/>
      <c r="W47" s="17"/>
      <c r="X47" s="17"/>
      <c r="Y47" s="17"/>
      <c r="Z47" s="17"/>
      <c r="AA47" s="17"/>
      <c r="AB47" s="17"/>
    </row>
    <row r="48" spans="1:28" ht="16" thickBot="1">
      <c r="B48" s="3" t="s">
        <v>27</v>
      </c>
      <c r="C48" s="35">
        <v>1700</v>
      </c>
      <c r="D48" s="36">
        <v>66</v>
      </c>
      <c r="E48" s="3">
        <v>5.9</v>
      </c>
      <c r="F48" s="3">
        <f>IF($B$44=$B48,Input!$D$14,IF($B$45=$B48,Input!$D$14,1000))</f>
        <v>1000</v>
      </c>
      <c r="G48" s="3">
        <f>IF($B$44=$B48,Input!$D$12,50)</f>
        <v>50</v>
      </c>
      <c r="H48" s="42">
        <f>$E48*$F48*($C48/60)^3*($D48/1000)^5</f>
        <v>168.06013278120005</v>
      </c>
      <c r="I48" s="38">
        <v>1.1000000000000001</v>
      </c>
      <c r="J48" s="39">
        <f t="shared" ref="J48:J53" si="0">9549*H48/C48/1000</f>
        <v>0.94400365172216438</v>
      </c>
      <c r="K48" s="102">
        <f t="shared" ref="K48:K53" si="1">H48/G48</f>
        <v>3.3612026556240009</v>
      </c>
      <c r="L48" s="104">
        <f>3.14*$D48/1000*$C$48/60</f>
        <v>5.8717999999999995</v>
      </c>
      <c r="M48" s="17">
        <v>55</v>
      </c>
      <c r="N48" s="198">
        <v>0.75</v>
      </c>
      <c r="O48" s="17"/>
      <c r="P48" s="17"/>
      <c r="Q48" s="17"/>
      <c r="U48" s="17"/>
      <c r="V48" s="237" t="s">
        <v>283</v>
      </c>
      <c r="W48" s="134"/>
      <c r="X48" s="130" t="s">
        <v>268</v>
      </c>
      <c r="Y48" s="138" t="s">
        <v>277</v>
      </c>
      <c r="Z48" s="130" t="s">
        <v>273</v>
      </c>
      <c r="AA48" s="138" t="s">
        <v>277</v>
      </c>
      <c r="AB48" s="17"/>
    </row>
    <row r="49" spans="1:28">
      <c r="A49" s="141" t="s">
        <v>46</v>
      </c>
      <c r="B49" s="142" t="s">
        <v>27</v>
      </c>
      <c r="C49" s="142">
        <v>1700</v>
      </c>
      <c r="D49" s="143">
        <v>66</v>
      </c>
      <c r="E49" s="142">
        <v>5.9</v>
      </c>
      <c r="F49" s="142">
        <f>1000</f>
        <v>1000</v>
      </c>
      <c r="G49" s="142">
        <v>50</v>
      </c>
      <c r="H49" s="148">
        <f t="shared" ref="H49:H53" si="2">$E49*$F49*($C49/60)^3*($D49/1000)^5</f>
        <v>168.06013278120005</v>
      </c>
      <c r="I49" s="172">
        <v>1.1000000000000001</v>
      </c>
      <c r="J49" s="146">
        <f t="shared" si="0"/>
        <v>0.94400365172216438</v>
      </c>
      <c r="K49" s="144">
        <f t="shared" si="1"/>
        <v>3.3612026556240009</v>
      </c>
      <c r="L49" s="146">
        <f t="shared" ref="L49:L53" si="3">3.14*$D49/1000*$C$48/60</f>
        <v>5.8717999999999995</v>
      </c>
      <c r="M49" s="141">
        <v>55</v>
      </c>
      <c r="N49" s="198">
        <v>0.75</v>
      </c>
      <c r="O49" s="17"/>
      <c r="P49" s="17"/>
      <c r="Q49" s="17"/>
      <c r="U49" s="17"/>
      <c r="V49" s="237"/>
      <c r="W49" s="131" t="s">
        <v>47</v>
      </c>
      <c r="X49" s="150" cm="1">
        <f t="array" ref="X49">IF($B$45=0,
IF($B$44="N/A","N/A",IF(Input!D13&lt;=1000,VLOOKUP($B$44,$B$48:$N$53,2,FALSE),ROUNDDOWN((SQRT((213500000000000000*(INDEX($B$48:$N$53,(MATCH($B$44,$B$48:$B$53,0)+1),9)))/(9.549*(INDEX($B$48:$N$53,(MATCH($B$44,$B$48:$B$53,0)),4))*((INDEX($B$48:$N$53,(MATCH($B$44,$B$48:$B$53,0)),5))/1000)*((INDEX($B$48:$N53,(MATCH($B$44,$B$48:$B$53,0)),3))^5)))),0))),
IF(Input!D13&lt;=1000,VLOOKUP($B$45,$B$48:$N$53,2,FALSE),ROUNDDOWN((SQRT((213500000000000000*(INDEX($B$48:$N$53,(MATCH($B$45,$B$48:$B$53,0)+1),9)))/(9.549*(INDEX($B$48:$N$53,(MATCH($B$45,$B$48:$B$53,0)),4))*((INDEX($B$48:$N$53,(MATCH($B$45,$B$48:$B$53,0)),5))/1000)*((INDEX($B$48:$N$53,(MATCH($B$45,$B$48:$B$53,0)),3))^5)))),0)))</f>
        <v>1195</v>
      </c>
      <c r="Y49" s="49" t="s">
        <v>274</v>
      </c>
      <c r="Z49" s="150">
        <f>$X$49</f>
        <v>1195</v>
      </c>
      <c r="AA49" s="153" t="s">
        <v>274</v>
      </c>
      <c r="AB49" s="17"/>
    </row>
    <row r="50" spans="1:28">
      <c r="B50" s="3" t="s">
        <v>28</v>
      </c>
      <c r="C50" s="35">
        <v>1700</v>
      </c>
      <c r="D50" s="36">
        <v>103</v>
      </c>
      <c r="E50" s="3">
        <v>3.3</v>
      </c>
      <c r="F50" s="3">
        <f>IF($B$44=$B50,Input!$D$14,IF($B$45=$B50,Input!$D$14,1000))</f>
        <v>2000</v>
      </c>
      <c r="G50" s="3">
        <f>IF($B$44=$B50,Input!$D$12,850)</f>
        <v>900</v>
      </c>
      <c r="H50" s="42">
        <f t="shared" si="2"/>
        <v>1740.2957999276357</v>
      </c>
      <c r="I50" s="41">
        <v>7.8</v>
      </c>
      <c r="J50" s="42">
        <f t="shared" si="0"/>
        <v>9.7753438785347022</v>
      </c>
      <c r="K50" s="102">
        <f t="shared" si="1"/>
        <v>1.9336619999195952</v>
      </c>
      <c r="L50" s="104">
        <f t="shared" si="3"/>
        <v>9.163566666666668</v>
      </c>
      <c r="M50" s="17">
        <v>94</v>
      </c>
      <c r="N50" s="198">
        <v>0.75</v>
      </c>
      <c r="O50" s="17"/>
      <c r="P50" s="17"/>
      <c r="Q50" s="17"/>
      <c r="U50" s="17"/>
      <c r="V50" s="237"/>
      <c r="W50" s="132" t="s">
        <v>8</v>
      </c>
      <c r="X50" s="156">
        <f>IF($B$45=0,
          IF($X$49=$B$44,
          "N/A",
           (VLOOKUP($B$44,$B$48:$N$53,4,FALSE)*Input!$D$14*($X$49/60)^3*((VLOOKUP($B$44,$B$48:$N$53,3,FALSE))/1000)^5)/Input!$D$12),
(VLOOKUP($B$45,$B$48:$N$53,4,FALSE)*Input!$D$14*($X$49/60)^3*((VLOOKUP($B$45,$B$48:$N$53,3,FALSE))/1000)^5)/Input!$D$12)</f>
        <v>0.67164148677692659</v>
      </c>
      <c r="Y50" s="85" t="s">
        <v>9</v>
      </c>
      <c r="Z50" s="151">
        <f>IF($X$50="N/A",
           "N/A",
             $X$50/0.264172)</f>
        <v>2.5424401025730452</v>
      </c>
      <c r="AA50" s="136" t="s">
        <v>275</v>
      </c>
      <c r="AB50" s="17"/>
    </row>
    <row r="51" spans="1:28">
      <c r="A51" s="141" t="s">
        <v>46</v>
      </c>
      <c r="B51" s="142" t="s">
        <v>28</v>
      </c>
      <c r="C51" s="142">
        <v>1700</v>
      </c>
      <c r="D51" s="143">
        <v>103</v>
      </c>
      <c r="E51" s="142">
        <v>3.3</v>
      </c>
      <c r="F51" s="142">
        <f>1000</f>
        <v>1000</v>
      </c>
      <c r="G51" s="142">
        <v>850</v>
      </c>
      <c r="H51" s="148">
        <f t="shared" si="2"/>
        <v>870.14789996381785</v>
      </c>
      <c r="I51" s="145">
        <v>7.8</v>
      </c>
      <c r="J51" s="148">
        <f t="shared" si="0"/>
        <v>4.8876719392673511</v>
      </c>
      <c r="K51" s="144">
        <f t="shared" si="1"/>
        <v>1.0237034117221386</v>
      </c>
      <c r="L51" s="146">
        <f t="shared" si="3"/>
        <v>9.163566666666668</v>
      </c>
      <c r="M51" s="141">
        <v>94</v>
      </c>
      <c r="N51" s="198">
        <v>0.75</v>
      </c>
      <c r="O51" s="17"/>
      <c r="P51" s="17"/>
      <c r="Q51" s="17"/>
      <c r="U51" s="17"/>
      <c r="V51" s="237"/>
      <c r="W51" s="132" t="s">
        <v>10</v>
      </c>
      <c r="X51" s="155">
        <f>IF($B$45=0,
IF($X$49=$B$44,"N/A",3.14*VLOOKUP($B$44,$B$48:$N$53,3,FALSE)/1000*$X$49/60),
3.14*VLOOKUP($B$45,$B$48:$N$53,3,FALSE)/1000*$X$49/60)</f>
        <v>6.4414483333333346</v>
      </c>
      <c r="Y51" s="136" t="s">
        <v>11</v>
      </c>
      <c r="Z51" s="152">
        <f>IF($X$51="N/A",
           "N/A",
            $X$51*196.85)</f>
        <v>1267.9991044166668</v>
      </c>
      <c r="AA51" s="136" t="s">
        <v>276</v>
      </c>
      <c r="AB51" s="17"/>
    </row>
    <row r="52" spans="1:28" ht="33" thickBot="1">
      <c r="B52" s="3" t="s">
        <v>29</v>
      </c>
      <c r="C52" s="35">
        <v>1700</v>
      </c>
      <c r="D52" s="36">
        <v>136</v>
      </c>
      <c r="E52" s="3">
        <v>5.2</v>
      </c>
      <c r="F52" s="3">
        <f>IF($B$44=$B52,Input!$D$14,IF($B$45=$B52,Input!$D$14,1000))</f>
        <v>1000</v>
      </c>
      <c r="G52" s="3">
        <f>IF($B$44=$B52,Input!$D$12,2000)</f>
        <v>2000</v>
      </c>
      <c r="H52" s="42">
        <f t="shared" si="2"/>
        <v>5502.8908476795277</v>
      </c>
      <c r="I52" s="41">
        <v>26</v>
      </c>
      <c r="J52" s="42">
        <f t="shared" si="0"/>
        <v>30.910061590877536</v>
      </c>
      <c r="K52" s="102">
        <f t="shared" si="1"/>
        <v>2.7514454238397636</v>
      </c>
      <c r="L52" s="104">
        <f t="shared" si="3"/>
        <v>12.099466666666668</v>
      </c>
      <c r="M52" s="17">
        <v>159.5</v>
      </c>
      <c r="N52" s="198">
        <v>0.75</v>
      </c>
      <c r="O52" s="17"/>
      <c r="P52" s="17"/>
      <c r="Q52" s="17"/>
      <c r="U52" s="17"/>
      <c r="V52" s="237"/>
      <c r="W52" s="154" t="s">
        <v>289</v>
      </c>
      <c r="X52" s="158">
        <f>IF(OR($X$58=0,$X$58="N/A"),
         "N/A",
         IF(Input!$D$12/$X$58*4&lt;0.25,
              0.5,
              MROUND(Input!$D$12/$X$58*4,0.5)))</f>
        <v>3.5</v>
      </c>
      <c r="Y52" s="29" t="s">
        <v>301</v>
      </c>
      <c r="Z52" s="157">
        <f>$X$52</f>
        <v>3.5</v>
      </c>
      <c r="AA52" s="29" t="s">
        <v>301</v>
      </c>
      <c r="AB52" s="17"/>
    </row>
    <row r="53" spans="1:28">
      <c r="A53" s="141" t="s">
        <v>46</v>
      </c>
      <c r="B53" s="167" t="s">
        <v>29</v>
      </c>
      <c r="C53" s="167">
        <v>1700</v>
      </c>
      <c r="D53" s="168">
        <v>136</v>
      </c>
      <c r="E53" s="141">
        <v>5.2</v>
      </c>
      <c r="F53" s="167">
        <f>1000</f>
        <v>1000</v>
      </c>
      <c r="G53" s="167">
        <v>2000</v>
      </c>
      <c r="H53" s="148">
        <f t="shared" si="2"/>
        <v>5502.8908476795277</v>
      </c>
      <c r="I53" s="169">
        <v>26</v>
      </c>
      <c r="J53" s="170">
        <f t="shared" si="0"/>
        <v>30.910061590877536</v>
      </c>
      <c r="K53" s="171">
        <f t="shared" si="1"/>
        <v>2.7514454238397636</v>
      </c>
      <c r="L53" s="146">
        <f t="shared" si="3"/>
        <v>12.099466666666668</v>
      </c>
      <c r="M53" s="141">
        <v>159.5</v>
      </c>
      <c r="N53" s="198">
        <v>0.75</v>
      </c>
      <c r="O53" s="17"/>
      <c r="P53" s="17"/>
      <c r="Q53" s="17"/>
      <c r="U53" s="17"/>
      <c r="V53" s="237" t="s">
        <v>281</v>
      </c>
      <c r="W53" s="131" t="s">
        <v>284</v>
      </c>
      <c r="X53" s="187">
        <f>IF(Input!$E$29=0,$X$49,Input!$E$29)</f>
        <v>1195</v>
      </c>
      <c r="Y53" s="85" t="s">
        <v>274</v>
      </c>
      <c r="Z53" s="188">
        <f>$X$53</f>
        <v>1195</v>
      </c>
      <c r="AA53" s="136" t="s">
        <v>274</v>
      </c>
      <c r="AB53" s="17"/>
    </row>
    <row r="54" spans="1:28">
      <c r="A54" s="17"/>
      <c r="B54" s="17"/>
      <c r="C54" s="17"/>
      <c r="D54" s="46"/>
      <c r="E54" s="17"/>
      <c r="F54" s="17"/>
      <c r="G54" s="89"/>
      <c r="H54" s="90"/>
      <c r="I54" s="91"/>
      <c r="J54" s="88"/>
      <c r="K54" s="86"/>
      <c r="L54" s="17"/>
      <c r="M54" s="17"/>
      <c r="N54" s="17"/>
      <c r="O54" s="17"/>
      <c r="P54" s="17"/>
      <c r="Q54" s="17"/>
      <c r="U54" s="17"/>
      <c r="V54" s="237"/>
      <c r="W54" s="132" t="s">
        <v>8</v>
      </c>
      <c r="X54" s="181">
        <f>IF($B$45=0,
IF($B$44=$X$49,"N/A",(VLOOKUP($B$44,$B$48:$N$53,4,FALSE)*Input!$D$14*($X$53/60)^3*(((VLOOKUP($B$44,$B$48:$N$53,3,FALSE))/1000)^5)/Input!$D$12)),
(VLOOKUP($B$45,$B$48:$N$53,4,FALSE)*Input!$D$14*($X$53/60)^3*(((VLOOKUP($B$45,$B$48:$N$53,3,FALSE))/1000)^5)/Input!$D$12))</f>
        <v>0.67164148677692659</v>
      </c>
      <c r="Y54" s="85" t="s">
        <v>9</v>
      </c>
      <c r="Z54" s="184">
        <f>IF($X$54="N/A",
           "N/A",
              $X$54/0.264172)</f>
        <v>2.5424401025730452</v>
      </c>
      <c r="AA54" s="136" t="s">
        <v>275</v>
      </c>
      <c r="AB54" s="17"/>
    </row>
    <row r="55" spans="1:28">
      <c r="A55" s="17"/>
      <c r="B55" s="17"/>
      <c r="C55" s="17"/>
      <c r="D55" s="17"/>
      <c r="E55" s="17"/>
      <c r="F55" s="17"/>
      <c r="G55" s="89"/>
      <c r="H55" s="90"/>
      <c r="I55" s="91"/>
      <c r="J55" s="88"/>
      <c r="K55" s="8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237"/>
      <c r="W55" s="132" t="s">
        <v>285</v>
      </c>
      <c r="X55" s="182">
        <f>IF($B$45=0,
IF($X$49=$B$44,"N/A",3.14*VLOOKUP($B$44,$B$48:$N$53,3,FALSE)/1000*$X$53/60),
3.14*VLOOKUP($B$45,$B$48:$N$53,3,FALSE)/1000*$X$53/60)</f>
        <v>6.4414483333333346</v>
      </c>
      <c r="Y55" s="136" t="s">
        <v>11</v>
      </c>
      <c r="Z55" s="185">
        <f>IF($X$55="N/A",
           "N/A",
              $X$55*196.85)</f>
        <v>1267.9991044166668</v>
      </c>
      <c r="AA55" s="136" t="s">
        <v>276</v>
      </c>
      <c r="AB55" s="17"/>
    </row>
    <row r="56" spans="1:28" ht="49" thickBot="1">
      <c r="A56" s="17"/>
      <c r="B56" s="17"/>
      <c r="C56" s="17"/>
      <c r="D56" s="17"/>
      <c r="E56" s="8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237"/>
      <c r="W56" s="154" t="s">
        <v>290</v>
      </c>
      <c r="X56" s="183">
        <f>IF(OR($X$59=0,$X$59="N/A"),
         "N/A",
         IF(Input!$D$12/$X$59*4&lt;0.25,
              0.5,
              MROUND(Input!$D$12/$X$59*4,0.5)))</f>
        <v>3.5</v>
      </c>
      <c r="Y56" s="137" t="s">
        <v>301</v>
      </c>
      <c r="Z56" s="186">
        <f>$X$56</f>
        <v>3.5</v>
      </c>
      <c r="AA56" s="94" t="s">
        <v>301</v>
      </c>
      <c r="AB56" s="17"/>
    </row>
    <row r="57" spans="1:28">
      <c r="A57" s="17"/>
      <c r="B57" s="17"/>
      <c r="C57" s="17"/>
      <c r="D57" s="17"/>
      <c r="E57" s="86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59" t="s">
        <v>249</v>
      </c>
      <c r="X57" s="159">
        <v>0.5</v>
      </c>
      <c r="Y57" s="159"/>
      <c r="Z57" s="159"/>
      <c r="AA57" s="159"/>
      <c r="AB57" s="17"/>
    </row>
    <row r="58" spans="1:2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59" t="s">
        <v>287</v>
      </c>
      <c r="X58" s="159">
        <f>IF(AND($B$45=0,$B$44="N/A"),
          "N/A",
             IF($B$45=0,
IF($X$57*(10.74*(VLOOKUP($B$44,$B$48:$N$53,3,FALSE)/25.4)^2*$X$49*(Input!$D$14/1000)/Input!$D$15)&gt;=20000,1,IF($X$57*(10.74*(VLOOKUP($B$44,$B$48:$N$53,3,FALSE)/25.4)^2*$X$49*(Input!$D$14/1000)/Input!$D$15)&gt;=300,EXP(-5.328+1.683*LN($X$57*(10.74*(VLOOKUP($B$44,$B$48:$N$53,3,FALSE)/25.4)^2*$X$49*(Input!$D$14/1000)/Input!$D$15))-0.179*LN($X$57*(10.74*(VLOOKUP($B$44,$B$48:$N$53,3,FALSE)/25.4)^2*$X$49*(Input!$D$14/1000)/Input!$D$15))^2+0.0064*LN($X$57*(10.74*(VLOOKUP($B$44,$B$48:$N$53,3,FALSE)/25.4)^2*$X$49*(Input!$D$14/1000)/Input!$D$15))^3),IF($X$57*(10.74*(VLOOKUP($B$44,$B$48:$N$53,3,FALSE)/25.4)^2*$X$49*(Input!$D$14/1000)/Input!$D$15)&gt;25,EXP(-0.563-0.231*LN($X$57*(10.74*(VLOOKUP($B$44,$B$48:$N$53,3,FALSE)/25.4)^2*$X$49*(Input!$D$14/1000)/Input!$D$15))+0.0466*LN($X$57*(10.74*(VLOOKUP($B$44,$B$48:$N$53,3,FALSE)/25.4)^2*$X$49*(Input!$D$14/1000)/Input!$D$15))^2),0.439)))*VLOOKUP($B$44,$B$48:$N$53,13,FALSE)*$X$49*(VLOOKUP($B$44,$B$48:$N$53,3,FALSE)^3/1000000),
IF($X$57*(10.74*(VLOOKUP($B$45,$B$48:$N$53,3,FALSE)/25.4)^2*$X$49*(Input!$D$14/1000)/Input!$D$15)&gt;=20000,1,IF($X$57*(10.74*(VLOOKUP($B$45,$B$48:$N$53,3,FALSE)/25.4)^2*$X$49*(Input!$D$14/1000)/Input!$D$15)&gt;=300,EXP(-5.328+1.683*LN($X$57*(10.74*(VLOOKUP($B$45,$B$48:$N$53,3,FALSE)/25.4)^2*$X$49*(Input!$D$14/1000)/Input!$D$15))-0.179*LN($X$57*(10.74*(VLOOKUP($B$45,$B$48:$N$53,3,FALSE)/25.4)^2*$X$49*(Input!$D$14/1000)/Input!$D$15))^2+0.0064*LN($X$57*(10.74*(VLOOKUP($B$45,$B$48:$N$53,3,FALSE)/25.4)^2*$X$49*(Input!$D$14/1000)/Input!$D$15))^3),IF($X$57*(10.74*(VLOOKUP($B$45,$B$48:$N$53,3,FALSE)/25.4)^2*$X$49*(Input!$D$14/1000)/Input!$D$15)&gt;25,EXP(-0.563-0.231*LN($X$57*(10.74*(VLOOKUP($B$45,$B$48:$N$53,3,FALSE)/25.4)^2*$X$49*(Input!$D$14/1000)/Input!$D$15))+0.0466*LN($X$57*(10.74*(VLOOKUP($B$45,$B$48:$N$53,3,FALSE)/25.4)^2*$X$49*(Input!$D$14/1000)/Input!$D$15))^2),0.439)))*VLOOKUP($B$45,$B$48:$N$53,13,FALSE)*$X$49*(VLOOKUP($B$45,$B$48:$N$53,3,FALSE)^3/1000000)))</f>
        <v>979.35657375000005</v>
      </c>
      <c r="Y58" s="159"/>
      <c r="Z58" s="159"/>
      <c r="AA58" s="159"/>
      <c r="AB58" s="17"/>
    </row>
    <row r="59" spans="1:28">
      <c r="A59" s="17"/>
      <c r="B59" s="17"/>
      <c r="C59" s="17"/>
      <c r="D59" s="17"/>
      <c r="E59" s="8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59" t="s">
        <v>288</v>
      </c>
      <c r="X59" s="159">
        <f>IF(AND($B$45=0,$B$44="N/A"),
          "N/A",
             IF($B$45=0,
IF($X$57*(10.74*(VLOOKUP($B$44,$B$48:$N$53,3,FALSE)/25.4)^2*$X$53*(Input!$D$14/1000)/Input!$D$15)&gt;=20000,1,IF($X$57*(10.74*(VLOOKUP($B$44,$B$48:$N$53,3,FALSE)/25.4)^2*$X$53*(Input!$D$14/1000)/Input!$D$15)&gt;=300,EXP(-5.328+1.683*LN($X$57*(10.74*(VLOOKUP($B$44,$B$48:$N$53,3,FALSE)/25.4)^2*$X$53*(Input!$D$14/1000)/Input!$D$15))-0.179*LN($X$57*(10.74*(VLOOKUP($B$44,$B$48:$N$53,3,FALSE)/25.4)^2*$X$53*(Input!$D$14/1000)/Input!$D$15))^2+0.0064*LN($X$57*(10.74*(VLOOKUP($B$44,$B$48:$N$53,3,FALSE)/25.4)^2*$X$53*(Input!$D$14/1000)/Input!$D$15))^3),IF($X$57*(10.74*(VLOOKUP($B$44,$B$48:$N$53,3,FALSE)/25.4)^2*$X$53*(Input!$D$14/1000)/Input!$D$15)&gt;25,EXP(-0.563-0.231*LN($X$57*(10.74*(VLOOKUP($B$44,$B$48:$N$53,3,FALSE)/25.4)^2*$X$53*(Input!$D$14/1000)/Input!$D$15))+0.0466*LN($X$57*(10.74*(VLOOKUP($B$44,$B$48:$N$53,3,FALSE)/25.4)^2*$X$53*(Input!$D$14/1000)/Input!$D$15))^2),0.439)))*VLOOKUP($B$44,$B$48:$N$53,13,FALSE)*$X$53*(VLOOKUP($B$44,$B$48:$N$53,3,FALSE)^3/1000000),
IF($X$57*(10.74*(VLOOKUP($B$45,$B$48:$N$53,3,FALSE)/25.4)^2*$X$53*(Input!$D$14/1000)/Input!$D$15)&gt;=20000,1,IF($X$57*(10.74*(VLOOKUP($B$45,$B$48:$N$53,3,FALSE)/25.4)^2*$X$53*(Input!$D$14/1000)/Input!$D$15)&gt;=300,EXP(-5.328+1.683*LN($X$57*(10.74*(VLOOKUP($B$45,$B$48:$N$53,3,FALSE)/25.4)^2*$X$53*(Input!$D$14/1000)/Input!$D$15))-0.179*LN($X$57*(10.74*(VLOOKUP($B$45,$B$48:$N$53,3,FALSE)/25.4)^2*$X$53*(Input!$D$14/1000)/Input!$D$15))^2+0.0064*LN($X$57*(10.74*(VLOOKUP($B$45,$B$48:$N$53,3,FALSE)/25.4)^2*$X$53*(Input!$D$14/1000)/Input!$D$15))^3),IF($X$57*(10.74*(VLOOKUP($B$45,$B$48:$N$53,3,FALSE)/25.4)^2*$X$53*(Input!$D$14/1000)/Input!$D$15)&gt;25,EXP(-0.563-0.231*LN($X$57*(10.74*(VLOOKUP($B$45,$B$48:$N$53,3,FALSE)/25.4)^2*$X$53*(Input!$D$14/1000)/Input!$D$15))+0.0466*LN($X$57*(10.74*(VLOOKUP($B$45,$B$48:$N$53,3,FALSE)/25.4)^2*$X$53*(Input!$D$14/1000)/Input!$D$15))^2),0.439)))*VLOOKUP($B$45,$B$48:$N$53,13,FALSE)*$X$53*(VLOOKUP($B$45,$B$48:$N$53,3,FALSE)^3/1000000)))</f>
        <v>979.35657375000005</v>
      </c>
      <c r="Y59" s="159"/>
      <c r="Z59" s="159"/>
      <c r="AA59" s="159"/>
      <c r="AB59" s="17"/>
    </row>
    <row r="60" spans="1:28">
      <c r="A60" s="17"/>
      <c r="B60" s="17"/>
      <c r="C60" s="17"/>
      <c r="D60" s="17"/>
      <c r="E60" s="86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 spans="1:28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85"/>
      <c r="X61" s="238" t="s">
        <v>279</v>
      </c>
      <c r="Y61" s="238"/>
      <c r="Z61" s="17"/>
      <c r="AA61" s="17"/>
      <c r="AB61" s="17"/>
    </row>
    <row r="62" spans="1:28" ht="17" thickBo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60" t="str">
        <f>CONCATENATE("Tank Turnovers at ",Input!D15,"cP")</f>
        <v>Tank Turnovers at 10cP</v>
      </c>
      <c r="X62" s="133" t="s">
        <v>286</v>
      </c>
      <c r="Y62" s="135" t="s">
        <v>281</v>
      </c>
      <c r="Z62" s="135"/>
      <c r="AA62" s="17"/>
      <c r="AB62" s="17"/>
    </row>
    <row r="63" spans="1:28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61">
        <v>0</v>
      </c>
      <c r="X63" s="162">
        <f>IF(OR($X$58=0,$X$58="N/A"),
"N/A",
Input!$D$12/$X$58*$W63)</f>
        <v>0</v>
      </c>
      <c r="Y63" s="189">
        <f>IF(OR($X$59=0,$X$59="N/A"),
"N/A",
Input!$D$12/$X$59*$W63)</f>
        <v>0</v>
      </c>
      <c r="Z63" s="88"/>
      <c r="AA63" s="17"/>
      <c r="AB63" s="17"/>
    </row>
    <row r="64" spans="1:28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61">
        <v>1</v>
      </c>
      <c r="X64" s="162">
        <f>IF(OR($X$58=0,$X$58="N/A"),
"N/A",
Input!$D$12/$X$58*$W64)</f>
        <v>0.91897070395296354</v>
      </c>
      <c r="Y64" s="189">
        <f>IF(OR($X$59=0,$X$59="N/A"),
"N/A",
Input!$D$12/$X$59*$W64)</f>
        <v>0.91897070395296354</v>
      </c>
      <c r="Z64" s="46"/>
      <c r="AA64" s="17"/>
      <c r="AB64" s="17"/>
    </row>
    <row r="65" spans="1:28">
      <c r="A65" s="17"/>
      <c r="B65" s="17"/>
      <c r="C65" s="17"/>
      <c r="D65" s="17"/>
      <c r="E65" s="17"/>
      <c r="F65" s="17"/>
      <c r="G65" s="17"/>
      <c r="H65" s="17"/>
      <c r="I65" s="17"/>
      <c r="J65" s="87"/>
      <c r="K65" s="17"/>
      <c r="L65" s="88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61">
        <v>2</v>
      </c>
      <c r="X65" s="162">
        <f>IF(OR($X$58=0,$X$58="N/A"),
"N/A",
Input!$D$12/$X$58*$W65)</f>
        <v>1.8379414079059271</v>
      </c>
      <c r="Y65" s="189">
        <f>IF(OR($X$59=0,$X$59="N/A"),
"N/A",
Input!$D$12/$X$59*$W65)</f>
        <v>1.8379414079059271</v>
      </c>
      <c r="Z65" s="17"/>
      <c r="AA65" s="17"/>
      <c r="AB65" s="17"/>
    </row>
    <row r="66" spans="1:28">
      <c r="A66" s="17"/>
      <c r="B66" s="17"/>
      <c r="C66" s="17"/>
      <c r="D66" s="17"/>
      <c r="E66" s="17"/>
      <c r="F66" s="17"/>
      <c r="G66" s="17"/>
      <c r="H66" s="17"/>
      <c r="I66" s="17"/>
      <c r="J66" s="86"/>
      <c r="K66" s="17"/>
      <c r="L66" s="46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61">
        <v>3</v>
      </c>
      <c r="X66" s="162">
        <f>IF(OR($X$58=0,$X$58="N/A"),
"N/A",
Input!$D$12/$X$58*$W66)</f>
        <v>2.7569121118588908</v>
      </c>
      <c r="Y66" s="189">
        <f>IF(OR($X$59=0,$X$59="N/A"),
"N/A",
Input!$D$12/$X$59*$W66)</f>
        <v>2.7569121118588908</v>
      </c>
      <c r="Z66" s="88"/>
      <c r="AA66" s="17"/>
      <c r="AB66" s="17"/>
    </row>
    <row r="67" spans="1:28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61">
        <v>4</v>
      </c>
      <c r="X67" s="162">
        <f>IF(OR($X$58=0,$X$58="N/A"),
"N/A",
Input!$D$12/$X$58*$W67)</f>
        <v>3.6758828158118542</v>
      </c>
      <c r="Y67" s="189">
        <f>IF(OR($X$59=0,$X$59="N/A"),
"N/A",
Input!$D$12/$X$59*$W67)</f>
        <v>3.6758828158118542</v>
      </c>
      <c r="Z67" s="46"/>
      <c r="AA67" s="17"/>
      <c r="AB67" s="17"/>
    </row>
    <row r="68" spans="1:28">
      <c r="A68" s="17"/>
      <c r="B68" s="17"/>
      <c r="C68" s="17"/>
      <c r="D68" s="17"/>
      <c r="E68" s="17"/>
      <c r="F68" s="17"/>
      <c r="G68" s="17"/>
      <c r="H68" s="17"/>
      <c r="I68" s="17"/>
      <c r="J68" s="87"/>
      <c r="K68" s="17"/>
      <c r="L68" s="165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61">
        <v>5</v>
      </c>
      <c r="X68" s="162">
        <f>IF(OR($X$58=0,$X$58="N/A"),
"N/A",
Input!$D$12/$X$58*$W68)</f>
        <v>4.5948535197648175</v>
      </c>
      <c r="Y68" s="189">
        <f>IF(OR($X$59=0,$X$59="N/A"),
"N/A",
Input!$D$12/$X$59*$W68)</f>
        <v>4.5948535197648175</v>
      </c>
      <c r="Z68" s="17"/>
      <c r="AA68" s="17"/>
      <c r="AB68" s="17"/>
    </row>
    <row r="69" spans="1:28">
      <c r="A69" s="17"/>
      <c r="B69" s="17"/>
      <c r="C69" s="17"/>
      <c r="D69" s="17"/>
      <c r="E69" s="17"/>
      <c r="F69" s="17"/>
      <c r="G69" s="17"/>
      <c r="H69" s="17"/>
      <c r="I69" s="17"/>
      <c r="J69" s="86"/>
      <c r="K69" s="17"/>
      <c r="L69" s="46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61">
        <v>6</v>
      </c>
      <c r="X69" s="162">
        <f>IF(OR($X$58=0,$X$58="N/A"),
"N/A",
Input!$D$12/$X$58*$W69)</f>
        <v>5.5138242237177817</v>
      </c>
      <c r="Y69" s="189">
        <f>IF(OR($X$59=0,$X$59="N/A"),
"N/A",
Input!$D$12/$X$59*$W69)</f>
        <v>5.5138242237177817</v>
      </c>
      <c r="Z69" s="17"/>
      <c r="AA69" s="17"/>
      <c r="AB69" s="17"/>
    </row>
    <row r="70" spans="1:28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61">
        <v>7</v>
      </c>
      <c r="X70" s="162">
        <f>IF(OR($X$58=0,$X$58="N/A"),
"N/A",
Input!$D$12/$X$58*$W70)</f>
        <v>6.432794927670745</v>
      </c>
      <c r="Y70" s="189">
        <f>IF(OR($X$59=0,$X$59="N/A"),
"N/A",
Input!$D$12/$X$59*$W70)</f>
        <v>6.432794927670745</v>
      </c>
      <c r="Z70" s="17"/>
      <c r="AA70" s="17"/>
      <c r="AB70" s="17"/>
    </row>
    <row r="71" spans="1:28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61">
        <v>8</v>
      </c>
      <c r="X71" s="162">
        <f>IF(OR($X$58=0,$X$58="N/A"),
"N/A",
Input!$D$12/$X$58*$W71)</f>
        <v>7.3517656316237083</v>
      </c>
      <c r="Y71" s="189">
        <f>IF(OR($X$59=0,$X$59="N/A"),
"N/A",
Input!$D$12/$X$59*$W71)</f>
        <v>7.3517656316237083</v>
      </c>
      <c r="Z71" s="17"/>
      <c r="AA71" s="17"/>
      <c r="AB71" s="17"/>
    </row>
    <row r="72" spans="1:28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61">
        <v>9</v>
      </c>
      <c r="X72" s="162">
        <f>IF(OR($X$58=0,$X$58="N/A"),
"N/A",
Input!$D$12/$X$58*$W72)</f>
        <v>8.2707363355766716</v>
      </c>
      <c r="Y72" s="189">
        <f>IF(OR($X$59=0,$X$59="N/A"),
"N/A",
Input!$D$12/$X$59*$W72)</f>
        <v>8.2707363355766716</v>
      </c>
      <c r="Z72" s="17"/>
      <c r="AA72" s="17"/>
      <c r="AB72" s="17"/>
    </row>
    <row r="73" spans="1:28">
      <c r="A73" s="17"/>
      <c r="B73" s="17"/>
      <c r="C73" s="17"/>
      <c r="D73" s="17"/>
      <c r="E73" s="17"/>
      <c r="F73" s="17"/>
      <c r="G73" s="17"/>
      <c r="H73" s="17"/>
      <c r="I73" s="17"/>
      <c r="J73" s="87"/>
      <c r="K73" s="17"/>
      <c r="L73" s="88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61">
        <v>10</v>
      </c>
      <c r="X73" s="162">
        <f>IF(OR($X$58=0,$X$58="N/A"),
"N/A",
Input!$D$12/$X$58*$W73)</f>
        <v>9.189707039529635</v>
      </c>
      <c r="Y73" s="189">
        <f>IF(OR($X$59=0,$X$59="N/A"),
"N/A",
Input!$D$12/$X$59*$W73)</f>
        <v>9.189707039529635</v>
      </c>
      <c r="Z73" s="17"/>
      <c r="AA73" s="17"/>
      <c r="AB73" s="17"/>
    </row>
    <row r="74" spans="1:28">
      <c r="A74" s="17"/>
      <c r="B74" s="17"/>
      <c r="C74" s="17"/>
      <c r="D74" s="17"/>
      <c r="E74" s="17"/>
      <c r="F74" s="17"/>
      <c r="G74" s="17"/>
      <c r="H74" s="17"/>
      <c r="I74" s="17"/>
      <c r="J74" s="86"/>
      <c r="K74" s="17"/>
      <c r="L74" s="46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6" spans="1:28">
      <c r="J76" s="58"/>
      <c r="L76" s="58"/>
    </row>
    <row r="77" spans="1:28">
      <c r="J77" s="83"/>
      <c r="L77" s="82"/>
    </row>
    <row r="81" spans="10:12">
      <c r="J81" s="166"/>
      <c r="L81" s="82"/>
    </row>
    <row r="82" spans="10:12">
      <c r="J82" s="79"/>
      <c r="L82" s="83"/>
    </row>
    <row r="84" spans="10:12">
      <c r="J84" s="83"/>
      <c r="L84" s="83"/>
    </row>
  </sheetData>
  <sortState xmlns:xlrd2="http://schemas.microsoft.com/office/spreadsheetml/2017/richdata2" ref="F6:F40">
    <sortCondition descending="1" ref="F6:F40"/>
  </sortState>
  <mergeCells count="6">
    <mergeCell ref="X61:Y61"/>
    <mergeCell ref="B2:C2"/>
    <mergeCell ref="D2:E2"/>
    <mergeCell ref="F2:G2"/>
    <mergeCell ref="V48:V52"/>
    <mergeCell ref="V53:V56"/>
  </mergeCells>
  <conditionalFormatting sqref="B48:D48 H48:J48 D49 H49:H53 G54:G55">
    <cfRule type="expression" dxfId="30" priority="10">
      <formula>$B$13=$B$2</formula>
    </cfRule>
  </conditionalFormatting>
  <conditionalFormatting sqref="B50:D50 I50:J50 D51">
    <cfRule type="expression" dxfId="29" priority="7">
      <formula>$B$17=$B$2</formula>
    </cfRule>
  </conditionalFormatting>
  <conditionalFormatting sqref="B52:D52 I52:J52 D53">
    <cfRule type="expression" dxfId="28" priority="3">
      <formula>$B$21=$B$2</formula>
    </cfRule>
  </conditionalFormatting>
  <conditionalFormatting sqref="B54:D54 H54:I54">
    <cfRule type="expression" dxfId="27" priority="2">
      <formula>$B$23=$B$2</formula>
    </cfRule>
  </conditionalFormatting>
  <conditionalFormatting sqref="F48">
    <cfRule type="expression" dxfId="26" priority="9">
      <formula>$B$11=$B$2</formula>
    </cfRule>
  </conditionalFormatting>
  <conditionalFormatting sqref="F50">
    <cfRule type="expression" dxfId="25" priority="6">
      <formula>$B$11=$B$2</formula>
    </cfRule>
  </conditionalFormatting>
  <conditionalFormatting sqref="F52 E54">
    <cfRule type="expression" dxfId="24" priority="1">
      <formula>$B$11=$B$2</formula>
    </cfRule>
  </conditionalFormatting>
  <conditionalFormatting sqref="I54">
    <cfRule type="expression" dxfId="23" priority="4">
      <formula>$J$24&lt;$J$23</formula>
    </cfRule>
  </conditionalFormatting>
  <conditionalFormatting sqref="J48">
    <cfRule type="expression" dxfId="22" priority="11">
      <formula>$J$14&lt;$J$13</formula>
    </cfRule>
  </conditionalFormatting>
  <conditionalFormatting sqref="J50">
    <cfRule type="expression" dxfId="21" priority="8">
      <formula>$J$18&lt;$J$17</formula>
    </cfRule>
  </conditionalFormatting>
  <conditionalFormatting sqref="J52">
    <cfRule type="expression" dxfId="20" priority="5">
      <formula>$J$22&lt;$J$21</formula>
    </cfRule>
  </conditionalFormatting>
  <dataValidations disablePrompts="1" count="1">
    <dataValidation type="list" allowBlank="1" showInputMessage="1" showErrorMessage="1" sqref="B2:G2" xr:uid="{5C86D57C-3440-462D-A6EF-22E3CFCBB74A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A35C-95D8-459B-A07D-3BD29F5DDF44}">
  <sheetPr>
    <tabColor rgb="FF00B0F0"/>
  </sheetPr>
  <dimension ref="A1:AB79"/>
  <sheetViews>
    <sheetView topLeftCell="A37" workbookViewId="0">
      <selection activeCell="Y49" sqref="Y49"/>
    </sheetView>
  </sheetViews>
  <sheetFormatPr baseColWidth="10" defaultColWidth="8.83203125" defaultRowHeight="15"/>
  <cols>
    <col min="1" max="1" width="20.33203125" bestFit="1" customWidth="1"/>
    <col min="12" max="12" width="15" bestFit="1" customWidth="1"/>
    <col min="17" max="17" width="0" hidden="1" customWidth="1"/>
    <col min="18" max="18" width="18.83203125" hidden="1" customWidth="1"/>
    <col min="19" max="21" width="0" hidden="1" customWidth="1"/>
    <col min="23" max="23" width="18.5" customWidth="1"/>
    <col min="24" max="24" width="14.1640625" customWidth="1"/>
    <col min="26" max="26" width="11.5" bestFit="1" customWidth="1"/>
  </cols>
  <sheetData>
    <row r="1" spans="1:28" ht="16" thickBo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6" thickBot="1">
      <c r="A2" s="18" t="s">
        <v>5</v>
      </c>
      <c r="B2" s="239">
        <f>IF(Input!$D$13="Gentle",1.2,IF(Input!$D$13="Vigorous", 0.8,1))</f>
        <v>0.8</v>
      </c>
      <c r="C2" s="240"/>
      <c r="D2" s="239">
        <f>IF(Input!$D$13="Gentle",1.2,IF(Input!$D$13="Vigorous", 0.8,1))</f>
        <v>0.8</v>
      </c>
      <c r="E2" s="240"/>
      <c r="F2" s="239">
        <f>IF(Input!$D$13="Gentle",1.2,IF(Input!$D$13="Vigorous", 0.8,1))</f>
        <v>0.8</v>
      </c>
      <c r="G2" s="240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6" thickBot="1">
      <c r="A3" s="51" t="s">
        <v>17</v>
      </c>
      <c r="B3" s="51">
        <v>120</v>
      </c>
      <c r="C3" s="94"/>
      <c r="D3" s="51">
        <v>800</v>
      </c>
      <c r="E3" s="94"/>
      <c r="F3" s="51">
        <v>1500</v>
      </c>
      <c r="G3" s="94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 ht="16" thickBot="1">
      <c r="A4" s="17"/>
      <c r="B4" s="50" t="s">
        <v>13</v>
      </c>
      <c r="C4" s="85" t="s">
        <v>3</v>
      </c>
      <c r="D4" s="50" t="s">
        <v>13</v>
      </c>
      <c r="E4" s="85" t="s">
        <v>3</v>
      </c>
      <c r="F4" s="50" t="s">
        <v>13</v>
      </c>
      <c r="G4" s="85" t="s">
        <v>3</v>
      </c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6" thickBot="1">
      <c r="A5" s="17"/>
      <c r="B5" s="18" t="s">
        <v>30</v>
      </c>
      <c r="C5" s="19" t="s">
        <v>30</v>
      </c>
      <c r="D5" s="18" t="s">
        <v>31</v>
      </c>
      <c r="E5" s="19" t="s">
        <v>31</v>
      </c>
      <c r="F5" s="18" t="s">
        <v>32</v>
      </c>
      <c r="G5" s="19" t="s">
        <v>32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>
      <c r="A6" s="17"/>
      <c r="B6" s="20">
        <f>(B$2)*120</f>
        <v>96</v>
      </c>
      <c r="C6" s="49">
        <v>1</v>
      </c>
      <c r="D6" s="20">
        <f>(D$2)*800</f>
        <v>640</v>
      </c>
      <c r="E6" s="49">
        <v>1</v>
      </c>
      <c r="F6" s="20">
        <f>(F$2)*1500</f>
        <v>1200</v>
      </c>
      <c r="G6" s="49">
        <v>1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>
      <c r="A7" s="17"/>
      <c r="B7" s="22">
        <f>(B$2)*109.2</f>
        <v>87.360000000000014</v>
      </c>
      <c r="C7" s="85">
        <v>5</v>
      </c>
      <c r="D7" s="22">
        <f>(D$2)*728</f>
        <v>582.4</v>
      </c>
      <c r="E7" s="85">
        <v>5</v>
      </c>
      <c r="F7" s="22">
        <f>(F$2)*1365</f>
        <v>1092</v>
      </c>
      <c r="G7" s="85">
        <v>5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>
      <c r="A8" s="17"/>
      <c r="B8" s="22">
        <f>(B$2)*99.6</f>
        <v>79.680000000000007</v>
      </c>
      <c r="C8" s="85">
        <v>10</v>
      </c>
      <c r="D8" s="22">
        <f>(D$2)*664</f>
        <v>531.20000000000005</v>
      </c>
      <c r="E8" s="85">
        <v>10</v>
      </c>
      <c r="F8" s="22">
        <f>(F$2)*1245</f>
        <v>996</v>
      </c>
      <c r="G8" s="85">
        <v>10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>
      <c r="A9" s="17"/>
      <c r="B9" s="22">
        <f>(B$2)*92.4</f>
        <v>73.92</v>
      </c>
      <c r="C9" s="85">
        <v>15</v>
      </c>
      <c r="D9" s="22">
        <f>(D$2)*616</f>
        <v>492.8</v>
      </c>
      <c r="E9" s="85">
        <v>15</v>
      </c>
      <c r="F9" s="22">
        <f>(F$2)*1155</f>
        <v>924</v>
      </c>
      <c r="G9" s="85">
        <v>15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>
      <c r="A10" s="17"/>
      <c r="B10" s="22">
        <f>(B$2)*86.4</f>
        <v>69.12</v>
      </c>
      <c r="C10" s="85">
        <v>20</v>
      </c>
      <c r="D10" s="22">
        <f>(D$2)*576</f>
        <v>460.8</v>
      </c>
      <c r="E10" s="85">
        <v>20</v>
      </c>
      <c r="F10" s="22">
        <f>(F$2)*1080</f>
        <v>864</v>
      </c>
      <c r="G10" s="85">
        <v>20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>
      <c r="A11" s="17"/>
      <c r="B11" s="22">
        <f>(B$2)*81.6</f>
        <v>65.28</v>
      </c>
      <c r="C11" s="85">
        <v>25</v>
      </c>
      <c r="D11" s="22">
        <f>(D$2)*544</f>
        <v>435.20000000000005</v>
      </c>
      <c r="E11" s="85">
        <v>25</v>
      </c>
      <c r="F11" s="22">
        <f>(F$2)*1020</f>
        <v>816</v>
      </c>
      <c r="G11" s="85">
        <v>25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>
      <c r="A12" s="17"/>
      <c r="B12" s="22">
        <f>(B$2)*78.6</f>
        <v>62.879999999999995</v>
      </c>
      <c r="C12" s="85">
        <v>30</v>
      </c>
      <c r="D12" s="22">
        <f>(D$2)*524</f>
        <v>419.20000000000005</v>
      </c>
      <c r="E12" s="85">
        <v>30</v>
      </c>
      <c r="F12" s="22">
        <f>(F$2)*982.5</f>
        <v>786</v>
      </c>
      <c r="G12" s="85">
        <v>30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>
      <c r="A13" s="17"/>
      <c r="B13" s="22">
        <f>(B$2)*75.6</f>
        <v>60.48</v>
      </c>
      <c r="C13" s="85">
        <v>35</v>
      </c>
      <c r="D13" s="22">
        <f>(D$2)*504</f>
        <v>403.20000000000005</v>
      </c>
      <c r="E13" s="85">
        <v>35</v>
      </c>
      <c r="F13" s="22">
        <f>(F$2)*945</f>
        <v>756</v>
      </c>
      <c r="G13" s="85">
        <v>35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>
      <c r="A14" s="17"/>
      <c r="B14" s="22">
        <f>(B$2)*73.8</f>
        <v>59.04</v>
      </c>
      <c r="C14" s="85">
        <v>40</v>
      </c>
      <c r="D14" s="22">
        <f>(D$2)*492</f>
        <v>393.6</v>
      </c>
      <c r="E14" s="85">
        <v>40</v>
      </c>
      <c r="F14" s="22">
        <f>(F$2)*922.5</f>
        <v>738</v>
      </c>
      <c r="G14" s="85">
        <v>40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>
      <c r="A15" s="17"/>
      <c r="B15" s="22">
        <f>(B$2)*72</f>
        <v>57.6</v>
      </c>
      <c r="C15" s="85">
        <v>45</v>
      </c>
      <c r="D15" s="22">
        <f>(D$2)*480</f>
        <v>384</v>
      </c>
      <c r="E15" s="85">
        <v>45</v>
      </c>
      <c r="F15" s="22">
        <f>(F$2)*900</f>
        <v>720</v>
      </c>
      <c r="G15" s="85">
        <v>45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>
      <c r="A16" s="17"/>
      <c r="B16" s="22">
        <f>(B$2)*70.32</f>
        <v>56.256</v>
      </c>
      <c r="C16" s="85">
        <v>50</v>
      </c>
      <c r="D16" s="22">
        <f>(D$2)*468.8</f>
        <v>375.04</v>
      </c>
      <c r="E16" s="85">
        <v>50</v>
      </c>
      <c r="F16" s="22">
        <f>(F$2)*879</f>
        <v>703.2</v>
      </c>
      <c r="G16" s="85">
        <v>50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>
      <c r="A17" s="17"/>
      <c r="B17" s="22">
        <f>(B$2)*68.4</f>
        <v>54.720000000000006</v>
      </c>
      <c r="C17" s="85">
        <v>55</v>
      </c>
      <c r="D17" s="22">
        <f>(D$2)*456</f>
        <v>364.8</v>
      </c>
      <c r="E17" s="85">
        <v>55</v>
      </c>
      <c r="F17" s="22">
        <f>(F$2)*855</f>
        <v>684</v>
      </c>
      <c r="G17" s="85">
        <v>55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>
      <c r="A18" s="17"/>
      <c r="B18" s="22">
        <f>(B$2)*67.2</f>
        <v>53.760000000000005</v>
      </c>
      <c r="C18" s="85">
        <v>60</v>
      </c>
      <c r="D18" s="22">
        <f>(D$2)*448</f>
        <v>358.40000000000003</v>
      </c>
      <c r="E18" s="85">
        <v>60</v>
      </c>
      <c r="F18" s="22">
        <f>(F$2)*840</f>
        <v>672</v>
      </c>
      <c r="G18" s="85">
        <v>60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>
      <c r="A19" s="17"/>
      <c r="B19" s="22">
        <f>(B$2)*66</f>
        <v>52.800000000000004</v>
      </c>
      <c r="C19" s="85">
        <v>65</v>
      </c>
      <c r="D19" s="22">
        <f>(D$2)*440</f>
        <v>352</v>
      </c>
      <c r="E19" s="85">
        <v>65</v>
      </c>
      <c r="F19" s="22">
        <f>(F$2)*825</f>
        <v>660</v>
      </c>
      <c r="G19" s="85">
        <v>65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>
      <c r="A20" s="17"/>
      <c r="B20" s="22">
        <f>(B$2)*64.8</f>
        <v>51.84</v>
      </c>
      <c r="C20" s="85">
        <v>70</v>
      </c>
      <c r="D20" s="22">
        <f>(D$2)*432</f>
        <v>345.6</v>
      </c>
      <c r="E20" s="85">
        <v>70</v>
      </c>
      <c r="F20" s="22">
        <f>(F$2)*810</f>
        <v>648</v>
      </c>
      <c r="G20" s="85">
        <v>70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>
      <c r="A21" s="17"/>
      <c r="B21" s="22">
        <f>(B$2)*63.6</f>
        <v>50.88</v>
      </c>
      <c r="C21" s="85">
        <v>75</v>
      </c>
      <c r="D21" s="22">
        <f>(D$2)*424</f>
        <v>339.20000000000005</v>
      </c>
      <c r="E21" s="85">
        <v>75</v>
      </c>
      <c r="F21" s="22">
        <f>(F$2)*795</f>
        <v>636</v>
      </c>
      <c r="G21" s="85">
        <v>75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>
      <c r="A22" s="17"/>
      <c r="B22" s="22">
        <f>(B$2)*62.4</f>
        <v>49.92</v>
      </c>
      <c r="C22" s="85">
        <v>80</v>
      </c>
      <c r="D22" s="22">
        <f>(D$2)*416</f>
        <v>332.8</v>
      </c>
      <c r="E22" s="85">
        <v>80</v>
      </c>
      <c r="F22" s="22">
        <f>(F$2)*780</f>
        <v>624</v>
      </c>
      <c r="G22" s="85">
        <v>80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>
      <c r="A23" s="17"/>
      <c r="B23" s="22">
        <f>(B$2)*61.2</f>
        <v>48.960000000000008</v>
      </c>
      <c r="C23" s="85">
        <v>85</v>
      </c>
      <c r="D23" s="22">
        <f>(D$2)*408</f>
        <v>326.40000000000003</v>
      </c>
      <c r="E23" s="85">
        <v>85</v>
      </c>
      <c r="F23" s="22">
        <f>(F$2)*765</f>
        <v>612</v>
      </c>
      <c r="G23" s="85">
        <v>85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>
      <c r="A24" s="17"/>
      <c r="B24" s="22">
        <f>(B$2)*60</f>
        <v>48</v>
      </c>
      <c r="C24" s="85">
        <v>90</v>
      </c>
      <c r="D24" s="22">
        <f>(D$2)*400</f>
        <v>320</v>
      </c>
      <c r="E24" s="85">
        <v>90</v>
      </c>
      <c r="F24" s="22">
        <f>(F$2)*750</f>
        <v>600</v>
      </c>
      <c r="G24" s="85">
        <v>90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>
      <c r="A25" s="17"/>
      <c r="B25" s="22">
        <f>(B$2)*58.8</f>
        <v>47.04</v>
      </c>
      <c r="C25" s="85">
        <v>95</v>
      </c>
      <c r="D25" s="22">
        <f>(D$2)*392</f>
        <v>313.60000000000002</v>
      </c>
      <c r="E25" s="85">
        <v>95</v>
      </c>
      <c r="F25" s="22">
        <f>(F$2)*735</f>
        <v>588</v>
      </c>
      <c r="G25" s="85">
        <v>95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>
      <c r="A26" s="17"/>
      <c r="B26" s="22">
        <f>(B$2)*58.2</f>
        <v>46.56</v>
      </c>
      <c r="C26" s="85">
        <v>100</v>
      </c>
      <c r="D26" s="22">
        <f>(D$2)*388</f>
        <v>310.40000000000003</v>
      </c>
      <c r="E26" s="85">
        <v>100</v>
      </c>
      <c r="F26" s="22">
        <f>(F$2)*727.5</f>
        <v>582</v>
      </c>
      <c r="G26" s="85">
        <v>100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>
      <c r="A27" s="17"/>
      <c r="B27" s="22">
        <f>(B$2)*51.6</f>
        <v>41.28</v>
      </c>
      <c r="C27" s="85">
        <v>150</v>
      </c>
      <c r="D27" s="22">
        <f>(D$2)*344</f>
        <v>275.2</v>
      </c>
      <c r="E27" s="85">
        <v>150</v>
      </c>
      <c r="F27" s="22">
        <f>(F$2)*645</f>
        <v>516</v>
      </c>
      <c r="G27" s="85">
        <v>150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>
      <c r="A28" s="17"/>
      <c r="B28" s="22">
        <f>(B$2)*46.8</f>
        <v>37.44</v>
      </c>
      <c r="C28" s="85">
        <v>200</v>
      </c>
      <c r="D28" s="22">
        <f>(D$2)*312</f>
        <v>249.60000000000002</v>
      </c>
      <c r="E28" s="85">
        <v>200</v>
      </c>
      <c r="F28" s="22">
        <f>(F$2)*585</f>
        <v>468</v>
      </c>
      <c r="G28" s="85">
        <v>200</v>
      </c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>
      <c r="A29" s="17"/>
      <c r="B29" s="22">
        <f>(B$2)*42.6</f>
        <v>34.080000000000005</v>
      </c>
      <c r="C29" s="85">
        <v>250</v>
      </c>
      <c r="D29" s="22">
        <f>(D$2)*284</f>
        <v>227.20000000000002</v>
      </c>
      <c r="E29" s="85">
        <v>250</v>
      </c>
      <c r="F29" s="22">
        <f>(F$2)*532.5</f>
        <v>426</v>
      </c>
      <c r="G29" s="85">
        <v>250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>
      <c r="A30" s="17"/>
      <c r="B30" s="22">
        <f>(B$2)*38.4</f>
        <v>30.72</v>
      </c>
      <c r="C30" s="85">
        <v>300</v>
      </c>
      <c r="D30" s="22">
        <f>(D$2)*256</f>
        <v>204.8</v>
      </c>
      <c r="E30" s="85">
        <v>300</v>
      </c>
      <c r="F30" s="22">
        <f>(F$2)*480</f>
        <v>384</v>
      </c>
      <c r="G30" s="85">
        <v>300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>
      <c r="A31" s="17"/>
      <c r="B31" s="22">
        <f>(B$2)*34.8</f>
        <v>27.84</v>
      </c>
      <c r="C31" s="85">
        <v>350</v>
      </c>
      <c r="D31" s="22">
        <f>(D$2)*232</f>
        <v>185.60000000000002</v>
      </c>
      <c r="E31" s="85">
        <v>350</v>
      </c>
      <c r="F31" s="22">
        <f>(F$2)*435</f>
        <v>348</v>
      </c>
      <c r="G31" s="85">
        <v>350</v>
      </c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>
      <c r="A32" s="17"/>
      <c r="B32" s="22">
        <f>(B$2)*31.2</f>
        <v>24.96</v>
      </c>
      <c r="C32" s="85">
        <v>400</v>
      </c>
      <c r="D32" s="22">
        <f>(D$2)*208</f>
        <v>166.4</v>
      </c>
      <c r="E32" s="85">
        <v>400</v>
      </c>
      <c r="F32" s="22">
        <f>(F$2)*390</f>
        <v>312</v>
      </c>
      <c r="G32" s="85">
        <v>400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>
      <c r="A33" s="17"/>
      <c r="B33" s="22">
        <f>(B$2)*28.2</f>
        <v>22.560000000000002</v>
      </c>
      <c r="C33" s="85">
        <v>450</v>
      </c>
      <c r="D33" s="22">
        <f>(D$2)*188</f>
        <v>150.4</v>
      </c>
      <c r="E33" s="85">
        <v>450</v>
      </c>
      <c r="F33" s="22">
        <f>(F$2)*352.5</f>
        <v>282</v>
      </c>
      <c r="G33" s="85">
        <v>450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>
      <c r="A34" s="17"/>
      <c r="B34" s="22">
        <f>(B$2)*25.2</f>
        <v>20.16</v>
      </c>
      <c r="C34" s="85">
        <v>500</v>
      </c>
      <c r="D34" s="22">
        <f>(D$2)*168</f>
        <v>134.4</v>
      </c>
      <c r="E34" s="85">
        <v>500</v>
      </c>
      <c r="F34" s="22">
        <f>(F$2)*315</f>
        <v>252</v>
      </c>
      <c r="G34" s="85">
        <v>500</v>
      </c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>
      <c r="A35" s="17"/>
      <c r="B35" s="22">
        <f>(B$2)*22.8</f>
        <v>18.240000000000002</v>
      </c>
      <c r="C35" s="85">
        <v>550</v>
      </c>
      <c r="D35" s="22">
        <f>(D$2)*152</f>
        <v>121.60000000000001</v>
      </c>
      <c r="E35" s="85">
        <v>550</v>
      </c>
      <c r="F35" s="22">
        <f>(F$2)*285</f>
        <v>228</v>
      </c>
      <c r="G35" s="85">
        <v>550</v>
      </c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>
      <c r="A36" s="17"/>
      <c r="B36" s="22">
        <f>(B$2)*20.4</f>
        <v>16.32</v>
      </c>
      <c r="C36" s="85">
        <v>600</v>
      </c>
      <c r="D36" s="22">
        <f>(D$2)*136</f>
        <v>108.80000000000001</v>
      </c>
      <c r="E36" s="85">
        <v>600</v>
      </c>
      <c r="F36" s="22">
        <f>(F$2)*255</f>
        <v>204</v>
      </c>
      <c r="G36" s="85">
        <v>600</v>
      </c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>
      <c r="A37" s="17"/>
      <c r="B37" s="22">
        <f>(B$2)*18</f>
        <v>14.4</v>
      </c>
      <c r="C37" s="85">
        <v>650</v>
      </c>
      <c r="D37" s="22">
        <f>(D$2)*120</f>
        <v>96</v>
      </c>
      <c r="E37" s="85">
        <v>650</v>
      </c>
      <c r="F37" s="22">
        <f>(F$2)*225</f>
        <v>180</v>
      </c>
      <c r="G37" s="85">
        <v>650</v>
      </c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>
      <c r="A38" s="17"/>
      <c r="B38" s="22">
        <f>(B$2)*15.84</f>
        <v>12.672000000000001</v>
      </c>
      <c r="C38" s="85">
        <v>700</v>
      </c>
      <c r="D38" s="22">
        <f>(D$2)*105.6</f>
        <v>84.48</v>
      </c>
      <c r="E38" s="85">
        <v>700</v>
      </c>
      <c r="F38" s="22">
        <f>(F$2)*198</f>
        <v>158.4</v>
      </c>
      <c r="G38" s="85">
        <v>700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>
      <c r="A39" s="17"/>
      <c r="B39" s="22">
        <f>(B$2)*13.8</f>
        <v>11.040000000000001</v>
      </c>
      <c r="C39" s="85">
        <v>750</v>
      </c>
      <c r="D39" s="22">
        <f>(D$2)*92</f>
        <v>73.600000000000009</v>
      </c>
      <c r="E39" s="85">
        <v>750</v>
      </c>
      <c r="F39" s="22">
        <f>(F$2)*172.5</f>
        <v>138</v>
      </c>
      <c r="G39" s="85">
        <v>750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6" thickBot="1">
      <c r="A40" s="17"/>
      <c r="B40" s="24">
        <f>(B$2)*12</f>
        <v>9.6000000000000014</v>
      </c>
      <c r="C40" s="94">
        <v>800</v>
      </c>
      <c r="D40" s="24">
        <f>(D$2)*80</f>
        <v>64</v>
      </c>
      <c r="E40" s="94">
        <v>800</v>
      </c>
      <c r="F40" s="24">
        <f>(F$2)*150</f>
        <v>120</v>
      </c>
      <c r="G40" s="94">
        <v>800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>
      <c r="A41" s="17" t="s">
        <v>282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79.680000000000007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531.20000000000005</v>
      </c>
      <c r="E41" s="46"/>
      <c r="F41" s="45" cm="1">
        <f t="array" ref="F41">IF(VLOOKUP(Input!$D$15,G$6:G$40,1,TRUE)=Input!$D$15,INDEX(F$6:F$40,MATCH(VLOOKUP(Input!$D$15,G$6:G$40,1,TRUE),G$6:G$40)),INDEX(F$6:F$40,MATCH(VLOOKUP(Input!$D$15,G$6:G$40,1,TRUE),G$6:G$40)+1))</f>
        <v>996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6" thickBo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6" thickBot="1">
      <c r="A44" s="18" t="s">
        <v>35</v>
      </c>
      <c r="B44" s="19" t="str">
        <f>IF($F$41&lt;Input!D12,"N/A",IF(Input!D12&lt;=$B$41,$B$5,IF(Input!D12&lt;=$D$41,$D$5,IF(Input!D12&lt;=$F$41,$F$5,))))</f>
        <v>HS8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>
      <c r="A45" s="17" t="s">
        <v>132</v>
      </c>
      <c r="B45" s="17">
        <f>Input!$D$30</f>
        <v>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49" thickBot="1">
      <c r="A47" s="17"/>
      <c r="B47" s="32" t="s">
        <v>36</v>
      </c>
      <c r="C47" s="32" t="s">
        <v>37</v>
      </c>
      <c r="D47" s="33" t="s">
        <v>38</v>
      </c>
      <c r="E47" s="32" t="s">
        <v>120</v>
      </c>
      <c r="F47" s="32" t="s">
        <v>39</v>
      </c>
      <c r="G47" s="32" t="s">
        <v>40</v>
      </c>
      <c r="H47" s="32" t="s">
        <v>41</v>
      </c>
      <c r="I47" s="34" t="s">
        <v>42</v>
      </c>
      <c r="J47" s="34" t="s">
        <v>43</v>
      </c>
      <c r="K47" s="32" t="s">
        <v>44</v>
      </c>
      <c r="L47" s="32" t="s">
        <v>45</v>
      </c>
      <c r="M47" s="32" t="s">
        <v>145</v>
      </c>
      <c r="N47" s="124" t="s">
        <v>250</v>
      </c>
      <c r="O47" s="17"/>
      <c r="P47" s="17"/>
      <c r="V47" s="17"/>
      <c r="W47" s="17"/>
      <c r="X47" s="17"/>
      <c r="Y47" s="17"/>
      <c r="Z47" s="17"/>
      <c r="AA47" s="17"/>
      <c r="AB47" s="17"/>
    </row>
    <row r="48" spans="1:28" ht="16" thickBot="1">
      <c r="A48" s="17"/>
      <c r="B48" s="3" t="s">
        <v>30</v>
      </c>
      <c r="C48" s="35">
        <v>3900</v>
      </c>
      <c r="D48" s="93">
        <v>66</v>
      </c>
      <c r="E48" s="3">
        <v>0.8</v>
      </c>
      <c r="F48" s="3">
        <f>IF($B$44=$B48,Input!$D$14,IF($B$45=$B48,Input!$D$14,1000))</f>
        <v>1000</v>
      </c>
      <c r="G48" s="3">
        <f>IF($B$44=$B48,Input!$D$12,50)</f>
        <v>50</v>
      </c>
      <c r="H48" s="42">
        <f>$E48*$F48*($C48/60)^3*($D48/1000)^5</f>
        <v>275.1374669472001</v>
      </c>
      <c r="I48" s="38">
        <v>1.1000000000000001</v>
      </c>
      <c r="J48" s="39">
        <f t="shared" ref="J48:J53" si="0">9549*H48/C48/1000</f>
        <v>0.67366350560995225</v>
      </c>
      <c r="K48" s="102">
        <f t="shared" ref="K48:K53" si="1">H48/G48</f>
        <v>5.5027493389440023</v>
      </c>
      <c r="L48" s="104">
        <f>3.14*$D48/1000*$C$48/60</f>
        <v>13.470599999999999</v>
      </c>
      <c r="M48" s="17">
        <v>80</v>
      </c>
      <c r="N48" s="198">
        <v>0.25</v>
      </c>
      <c r="O48" s="17"/>
      <c r="P48" s="17"/>
      <c r="V48" s="237" t="s">
        <v>283</v>
      </c>
      <c r="W48" s="134"/>
      <c r="X48" s="130" t="s">
        <v>268</v>
      </c>
      <c r="Y48" s="138" t="s">
        <v>277</v>
      </c>
      <c r="Z48" s="130" t="s">
        <v>273</v>
      </c>
      <c r="AA48" s="138" t="s">
        <v>277</v>
      </c>
      <c r="AB48" s="17"/>
    </row>
    <row r="49" spans="1:28">
      <c r="A49" s="141" t="s">
        <v>46</v>
      </c>
      <c r="B49" s="174" t="s">
        <v>30</v>
      </c>
      <c r="C49" s="142">
        <v>3900</v>
      </c>
      <c r="D49" s="175">
        <v>66</v>
      </c>
      <c r="E49" s="142">
        <v>0.8</v>
      </c>
      <c r="F49" s="142">
        <f>1000</f>
        <v>1000</v>
      </c>
      <c r="G49" s="142">
        <v>50</v>
      </c>
      <c r="H49" s="148">
        <f t="shared" ref="H49:H53" si="2">$E49*$F49*($C49/60)^3*($D49/1000)^5</f>
        <v>275.1374669472001</v>
      </c>
      <c r="I49" s="172">
        <v>1.1000000000000001</v>
      </c>
      <c r="J49" s="146">
        <f t="shared" si="0"/>
        <v>0.67366350560995225</v>
      </c>
      <c r="K49" s="144">
        <f t="shared" si="1"/>
        <v>5.5027493389440023</v>
      </c>
      <c r="L49" s="146">
        <f t="shared" ref="L49:L53" si="3">3.14*$D49/1000*$C$48/60</f>
        <v>13.470599999999999</v>
      </c>
      <c r="M49" s="141">
        <v>80</v>
      </c>
      <c r="N49" s="198">
        <v>0.25</v>
      </c>
      <c r="O49" s="17"/>
      <c r="P49" s="17"/>
      <c r="V49" s="237"/>
      <c r="W49" s="131" t="s">
        <v>47</v>
      </c>
      <c r="X49" s="150" cm="1">
        <f t="array" ref="X49">IF($B$45=0,
IF($B$44="N/A","N/A",IF(Input!D13&lt;=1000,VLOOKUP($B$44,$B$48:$N$53,2,FALSE),ROUNDDOWN((SQRT((213500000000000000*(INDEX($B$48:$N$53,(MATCH($B$44,$B$48:$B$53,0)+1),9)))/(9.549*(INDEX($B$48:$N$53,(MATCH($B$44,$B$48:$B$53,0)),4))*((INDEX($B$48:$N$53,(MATCH($B$44,$B$48:$B$53,0)),5))/1000)*((INDEX($B$48:$N53,(MATCH($B$44,$B$48:$B$53,0)),3))^5)))),0))),
IF(Input!D13&lt;=1000,VLOOKUP($B$45,$B$48:$N$53,2,FALSE),ROUNDDOWN((SQRT((213500000000000000*(INDEX($B$48:$N$53,(MATCH($B$45,$B$48:$B$53,0)+1),9)))/(9.549*(INDEX($B$48:$N$53,(MATCH($B$45,$B$48:$B$53,0)),4))*((INDEX($B$48:$N$53,(MATCH($B$45,$B$48:$B$53,0)),5))/1000)*((INDEX($B$48:$N$53,(MATCH($B$45,$B$48:$B$53,0)),3))^5)))),0)))</f>
        <v>2460</v>
      </c>
      <c r="Y49" s="49" t="s">
        <v>274</v>
      </c>
      <c r="Z49" s="150">
        <f>$X$49</f>
        <v>2460</v>
      </c>
      <c r="AA49" s="153" t="s">
        <v>274</v>
      </c>
      <c r="AB49" s="17"/>
    </row>
    <row r="50" spans="1:28">
      <c r="B50" s="3" t="s">
        <v>31</v>
      </c>
      <c r="C50" s="35">
        <v>3900</v>
      </c>
      <c r="D50" s="93">
        <v>105</v>
      </c>
      <c r="E50" s="3">
        <v>0.5</v>
      </c>
      <c r="F50" s="3">
        <f>IF($B$44=$B50,Input!$D$14,IF($B$45=$B50,Input!$D$14,1000))</f>
        <v>1000</v>
      </c>
      <c r="G50" s="3">
        <f>IF($B$44=$B50,Input!$D$12,850)</f>
        <v>850</v>
      </c>
      <c r="H50" s="42">
        <f t="shared" si="2"/>
        <v>1752.4941205078119</v>
      </c>
      <c r="I50" s="41">
        <v>7.8</v>
      </c>
      <c r="J50" s="42">
        <f t="shared" si="0"/>
        <v>4.2909144504433581</v>
      </c>
      <c r="K50" s="102">
        <f t="shared" si="1"/>
        <v>2.0617577888327197</v>
      </c>
      <c r="L50" s="104">
        <f t="shared" si="3"/>
        <v>21.430499999999999</v>
      </c>
      <c r="M50" s="17">
        <v>114</v>
      </c>
      <c r="N50" s="198">
        <v>0.25</v>
      </c>
      <c r="O50" s="17"/>
      <c r="P50" s="17"/>
      <c r="V50" s="237"/>
      <c r="W50" s="132" t="s">
        <v>8</v>
      </c>
      <c r="X50" s="156">
        <f>IF($B$45=0,
IF($X$49=$B$44,"N/A",(VLOOKUP($B$44,$B$48:$N$53,4,FALSE)*Input!$D$14*($X$49/60)^3*((VLOOKUP($B$44,$B$48:$N$53,3,FALSE))/1000)^5)/Input!$D$12),
(VLOOKUP($B$45,$B$48:$N$53,4,FALSE)*Input!$D$14*($X$49/60)^3*((VLOOKUP($B$45,$B$48:$N$53,3,FALSE))/1000)^5)/Input!$D$12)</f>
        <v>5.563026101888549</v>
      </c>
      <c r="Y50" s="85" t="s">
        <v>9</v>
      </c>
      <c r="Z50" s="151">
        <f>IF($X$50="N/A",
           "N/A",
             $X$50/0.264172)</f>
        <v>21.05834873449324</v>
      </c>
      <c r="AA50" s="136" t="s">
        <v>275</v>
      </c>
      <c r="AB50" s="17"/>
    </row>
    <row r="51" spans="1:28">
      <c r="A51" s="141" t="s">
        <v>46</v>
      </c>
      <c r="B51" s="174" t="s">
        <v>31</v>
      </c>
      <c r="C51" s="142">
        <v>3900</v>
      </c>
      <c r="D51" s="175">
        <v>105</v>
      </c>
      <c r="E51" s="142">
        <v>0.5</v>
      </c>
      <c r="F51" s="142">
        <f>1000</f>
        <v>1000</v>
      </c>
      <c r="G51" s="142">
        <v>850</v>
      </c>
      <c r="H51" s="148">
        <f t="shared" si="2"/>
        <v>1752.4941205078119</v>
      </c>
      <c r="I51" s="145">
        <v>7.8</v>
      </c>
      <c r="J51" s="148">
        <f t="shared" si="0"/>
        <v>4.2909144504433581</v>
      </c>
      <c r="K51" s="144">
        <f t="shared" si="1"/>
        <v>2.0617577888327197</v>
      </c>
      <c r="L51" s="146">
        <f t="shared" si="3"/>
        <v>21.430499999999999</v>
      </c>
      <c r="M51" s="141">
        <v>114</v>
      </c>
      <c r="N51" s="198">
        <v>0.25</v>
      </c>
      <c r="O51" s="17"/>
      <c r="P51" s="17"/>
      <c r="V51" s="237"/>
      <c r="W51" s="132" t="s">
        <v>10</v>
      </c>
      <c r="X51" s="155">
        <f>IF($B$45=0,
IF($X$49=$B$44,"N/A",3.14*VLOOKUP($B$44,$B$48:$N$53,3,FALSE)/1000*$X$49/60),
3.14*VLOOKUP($B$45,$B$48:$N$53,3,FALSE)/1000*$X$49/60)</f>
        <v>17.894860000000001</v>
      </c>
      <c r="Y51" s="136" t="s">
        <v>11</v>
      </c>
      <c r="Z51" s="152">
        <f>IF($X$51="N/A",
           "N/A",
             $X$51*196.85)</f>
        <v>3522.6031910000002</v>
      </c>
      <c r="AA51" s="136" t="s">
        <v>276</v>
      </c>
      <c r="AB51" s="17"/>
    </row>
    <row r="52" spans="1:28" ht="33" thickBot="1">
      <c r="B52" s="3" t="s">
        <v>32</v>
      </c>
      <c r="C52" s="35">
        <v>3500</v>
      </c>
      <c r="D52" s="93">
        <v>139</v>
      </c>
      <c r="E52" s="3">
        <v>0.7</v>
      </c>
      <c r="F52" s="3">
        <f>IF($B$44=$B52,Input!$D$14,IF($B$45=$B52,Input!$D$14,1000))</f>
        <v>2000</v>
      </c>
      <c r="G52" s="3">
        <f>IF($B$44=$B52,Input!$D$12,2000)</f>
        <v>900</v>
      </c>
      <c r="H52" s="42">
        <f t="shared" si="2"/>
        <v>14419.573625266099</v>
      </c>
      <c r="I52" s="41">
        <v>26</v>
      </c>
      <c r="J52" s="42">
        <f t="shared" si="0"/>
        <v>39.340716727904571</v>
      </c>
      <c r="K52" s="102">
        <f t="shared" si="1"/>
        <v>16.021748472517888</v>
      </c>
      <c r="L52" s="104">
        <f t="shared" si="3"/>
        <v>28.369899999999998</v>
      </c>
      <c r="M52" s="17">
        <v>160</v>
      </c>
      <c r="N52" s="198">
        <v>0.25</v>
      </c>
      <c r="O52" s="17"/>
      <c r="P52" s="17"/>
      <c r="V52" s="237"/>
      <c r="W52" s="154" t="s">
        <v>289</v>
      </c>
      <c r="X52" s="158">
        <f>IF(OR($X$58=0,$X$58="N/A"),
         "N/A",
         IF(Input!$D$12/$X$58*4&lt;0.25,
              0.5,
              MROUND(Input!$D$12/$X$58*4,0.5)))</f>
        <v>2</v>
      </c>
      <c r="Y52" s="29" t="s">
        <v>301</v>
      </c>
      <c r="Z52" s="157">
        <f>$X$52</f>
        <v>2</v>
      </c>
      <c r="AA52" s="29" t="s">
        <v>301</v>
      </c>
      <c r="AB52" s="17"/>
    </row>
    <row r="53" spans="1:28">
      <c r="A53" s="141" t="s">
        <v>46</v>
      </c>
      <c r="B53" s="174" t="s">
        <v>32</v>
      </c>
      <c r="C53" s="167">
        <v>3500</v>
      </c>
      <c r="D53" s="175">
        <v>139</v>
      </c>
      <c r="E53" s="141">
        <v>0.7</v>
      </c>
      <c r="F53" s="167">
        <f>1000</f>
        <v>1000</v>
      </c>
      <c r="G53" s="167">
        <v>2000</v>
      </c>
      <c r="H53" s="148">
        <f t="shared" si="2"/>
        <v>7209.7868126330495</v>
      </c>
      <c r="I53" s="169">
        <v>26</v>
      </c>
      <c r="J53" s="170">
        <f t="shared" si="0"/>
        <v>19.670358363952285</v>
      </c>
      <c r="K53" s="171">
        <f t="shared" si="1"/>
        <v>3.6048934063165246</v>
      </c>
      <c r="L53" s="146">
        <f t="shared" si="3"/>
        <v>28.369899999999998</v>
      </c>
      <c r="M53" s="141">
        <v>160</v>
      </c>
      <c r="N53" s="198">
        <v>0.25</v>
      </c>
      <c r="O53" s="17"/>
      <c r="P53" s="17"/>
      <c r="V53" s="237" t="s">
        <v>281</v>
      </c>
      <c r="W53" s="131" t="s">
        <v>284</v>
      </c>
      <c r="X53" s="187">
        <f>IF(Input!$E$30=0,$X$49,Input!$E$30)</f>
        <v>2460</v>
      </c>
      <c r="Y53" s="85" t="s">
        <v>274</v>
      </c>
      <c r="Z53" s="188">
        <f>$X$53</f>
        <v>2460</v>
      </c>
      <c r="AA53" s="136" t="s">
        <v>274</v>
      </c>
      <c r="AB53" s="17"/>
    </row>
    <row r="54" spans="1:28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V54" s="237"/>
      <c r="W54" s="132" t="s">
        <v>8</v>
      </c>
      <c r="X54" s="181">
        <f>IF($B$45=0,
IF($B$44=$X$49,"N/A",(VLOOKUP($B$44,$B$48:$N$53,4,FALSE)*Input!$D$14*($X$53/60)^3*(((VLOOKUP($B$44,$B$48:$N$53,3,FALSE))/1000)^5)/Input!$D$12)),
(VLOOKUP($B$45,$B$48:$N$53,4,FALSE)*Input!$D$14*($X$53/60)^3*(((VLOOKUP($B$45,$B$48:$N$53,3,FALSE))/1000)^5)/Input!$D$12))</f>
        <v>5.563026101888549</v>
      </c>
      <c r="Y54" s="85" t="s">
        <v>9</v>
      </c>
      <c r="Z54" s="184">
        <f>IF($X$54="N/A",
           "N/A",
             $X$54/0.264172)</f>
        <v>21.05834873449324</v>
      </c>
      <c r="AA54" s="136" t="s">
        <v>275</v>
      </c>
      <c r="AB54" s="17"/>
    </row>
    <row r="55" spans="1:28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V55" s="237"/>
      <c r="W55" s="132" t="s">
        <v>285</v>
      </c>
      <c r="X55" s="182">
        <f>IF($B$45=0,
IF($X$49=$B$44,"N/A",3.14*VLOOKUP($B$44,$B$48:$N$53,3,FALSE)/1000*$X$53/60),
3.14*VLOOKUP($B$45,$B$48:$N$53,3,FALSE)/1000*$X$53/60)</f>
        <v>17.894860000000001</v>
      </c>
      <c r="Y55" s="136" t="s">
        <v>11</v>
      </c>
      <c r="Z55" s="185">
        <f>IF($X$55="N/A",
           "N/A",
            $X$55*196.85)</f>
        <v>3522.6031910000002</v>
      </c>
      <c r="AA55" s="136" t="s">
        <v>276</v>
      </c>
      <c r="AB55" s="17"/>
    </row>
    <row r="56" spans="1:28" ht="49" thickBo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V56" s="237"/>
      <c r="W56" s="154" t="s">
        <v>290</v>
      </c>
      <c r="X56" s="183">
        <f>IF(OR($X$59=0,$X$59="N/A"),
         "N/A",
         IF(Input!$D$12/$X$59*4&lt;0.25,
              0.5,
              MROUND(Input!$D$12/$X$59*4,0.5)))</f>
        <v>2</v>
      </c>
      <c r="Y56" s="137" t="s">
        <v>301</v>
      </c>
      <c r="Z56" s="186">
        <f>$X$56</f>
        <v>2</v>
      </c>
      <c r="AA56" s="94" t="s">
        <v>301</v>
      </c>
      <c r="AB56" s="17"/>
    </row>
    <row r="57" spans="1:28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V57" s="17"/>
      <c r="W57" s="159" t="s">
        <v>249</v>
      </c>
      <c r="X57" s="159">
        <v>0.5</v>
      </c>
      <c r="Y57" s="159"/>
      <c r="Z57" s="159"/>
      <c r="AA57" s="159"/>
      <c r="AB57" s="17"/>
    </row>
    <row r="58" spans="1:2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V58" s="17"/>
      <c r="W58" s="159" t="s">
        <v>287</v>
      </c>
      <c r="X58" s="159">
        <f>IF(AND($B$45=0,$B$44="N/A"),
          "N/A",
             IF($B$45=0,
IF($X$57*(10.74*(VLOOKUP($B$44,$B$48:$N$55,3,FALSE)/25.4)^2*$X$49*(Input!$D$14/1000)/Input!$D$15)&gt;=20000,1,IF($X$57*(10.74*(VLOOKUP($B$44,$B$48:$N$55,3,FALSE)/25.4)^2*$X$49*(Input!$D$14/1000)/Input!$D$15)&gt;=300,EXP(-5.328+1.683*LN($X$57*(10.74*(VLOOKUP($B$44,$B$48:$N$55,3,FALSE)/25.4)^2*$X$49*(Input!$D$14/1000)/Input!$D$15))-0.179*LN($X$57*(10.74*(VLOOKUP($B$44,$B$48:$N$55,3,FALSE)/25.4)^2*$X$49*(Input!$D$14/1000)/Input!$D$15))^2+0.0064*LN($X$57*(10.74*(VLOOKUP($B$44,$B$48:$N$55,3,FALSE)/25.4)^2*$X$49*(Input!$D$14/1000)/Input!$D$15))^3),IF($X$57*(10.74*(VLOOKUP($B$44,$B$48:$N$55,3,FALSE)/25.4)^2*$X$49*(Input!$D$14/1000)/Input!$D$15)&gt;25,EXP(-0.563-0.231*LN($X$57*(10.74*(VLOOKUP($B$44,$B$48:$N$55,3,FALSE)/25.4)^2*$X$49*(Input!$D$14/1000)/Input!$D$15))+0.0466*LN($X$57*(10.74*(VLOOKUP($B$44,$B$48:$N$55,3,FALSE)/25.4)^2*$X$49*(Input!$D$14/1000)/Input!$D$15))^2),0.439)))*VLOOKUP($B$44,$B$48:$N$55,13,FALSE)*$X$49*(VLOOKUP($B$44,$B$48:$N$55,3,FALSE)^3/1000000),
IF($X$57*(10.74*(VLOOKUP($B$45,$B$48:$N$55,3,FALSE)/25.4)^2*$X$49*(Input!$D$14/1000)/Input!$D$15)&gt;=20000,1,IF($X$57*(10.74*(VLOOKUP($B$45,$B$48:$N$55,3,FALSE)/25.4)^2*$X$49*(Input!$D$14/1000)/Input!$D$15)&gt;=300,EXP(-5.328+1.683*LN($X$57*(10.74*(VLOOKUP($B$45,$B$48:$N$55,3,FALSE)/25.4)^2*$X$49*(Input!$D$14/1000)/Input!$D$15))-0.179*LN($X$57*(10.74*(VLOOKUP($B$45,$B$48:$N$55,3,FALSE)/25.4)^2*$X$49*(Input!$D$14/1000)/Input!$D$15))^2+0.0064*LN($X$57*(10.74*(VLOOKUP($B$45,$B$48:$N$55,3,FALSE)/25.4)^2*$X$49*(Input!$D$14/1000)/Input!$D$15))^3),IF($X$57*(10.74*(VLOOKUP($B$45,$B$48:$N$55,3,FALSE)/25.4)^2*$X$49*(Input!$D$14/1000)/Input!$D$15)&gt;25,EXP(-0.563-0.231*LN($X$57*(10.74*(VLOOKUP($B$45,$B$48:$N$55,3,FALSE)/25.4)^2*$X$49*(Input!$D$14/1000)/Input!$D$15))+0.0466*LN($X$57*(10.74*(VLOOKUP($B$45,$B$48:$N$55,3,FALSE)/25.4)^2*$X$49*(Input!$D$14/1000)/Input!$D$15))^2),0.439)))*VLOOKUP($B$45,$B$48:$N$55,13,FALSE)*$X$49*(VLOOKUP($B$45,$B$48:$N$55,3,FALSE)^3/1000000)))</f>
        <v>1651.6556849999999</v>
      </c>
      <c r="Y58" s="159"/>
      <c r="Z58" s="159"/>
      <c r="AA58" s="159"/>
      <c r="AB58" s="17"/>
    </row>
    <row r="59" spans="1:28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V59" s="17"/>
      <c r="W59" s="159" t="s">
        <v>288</v>
      </c>
      <c r="X59" s="159">
        <f>IF(AND($B$45=0,$B$44="N/A"),
          "N/A",
             IF($B$45=0,
IF($X$57*(10.74*(VLOOKUP($B$44,$B$48:$N$55,3,FALSE)/25.4)^2*$X$53*(Input!$D$14/1000)/Input!$D$15)&gt;=20000,1,IF($X$57*(10.74*(VLOOKUP($B$44,$B$48:$N$55,3,FALSE)/25.4)^2*$X$53*(Input!$D$14/1000)/Input!$D$15)&gt;=300,EXP(-5.328+1.683*LN($X$57*(10.74*(VLOOKUP($B$44,$B$48:$N$55,3,FALSE)/25.4)^2*$X$53*(Input!$D$14/1000)/Input!$D$15))-0.179*LN($X$57*(10.74*(VLOOKUP($B$44,$B$48:$N$55,3,FALSE)/25.4)^2*$X$53*(Input!$D$14/1000)/Input!$D$15))^2+0.0064*LN($X$57*(10.74*(VLOOKUP($B$44,$B$48:$N$55,3,FALSE)/25.4)^2*$X$53*(Input!$D$14/1000)/Input!$D$15))^3),IF($X$57*(10.74*(VLOOKUP($B$44,$B$48:$N$55,3,FALSE)/25.4)^2*$X$53*(Input!$D$14/1000)/Input!$D$15)&gt;25,EXP(-0.563-0.231*LN($X$57*(10.74*(VLOOKUP($B$44,$B$48:$N$55,3,FALSE)/25.4)^2*$X$53*(Input!$D$14/1000)/Input!$D$15))+0.0466*LN($X$57*(10.74*(VLOOKUP($B$44,$B$48:$N$55,3,FALSE)/25.4)^2*$X$53*(Input!$D$14/1000)/Input!$D$15))^2),0.439)))*VLOOKUP($B$44,$B$48:$N$55,13,FALSE)*$X$53*(VLOOKUP($B$44,$B$48:$N$55,3,FALSE)^3/1000000),
IF($X$57*(10.74*(VLOOKUP($B$45,$B$48:$N$55,3,FALSE)/25.4)^2*$X$53*(Input!$D$14/1000)/Input!$D$15)&gt;=20000,1,IF($X$57*(10.74*(VLOOKUP($B$45,$B$48:$N$55,3,FALSE)/25.4)^2*$X$53*(Input!$D$14/1000)/Input!$D$15)&gt;=300,EXP(-5.328+1.683*LN($X$57*(10.74*(VLOOKUP($B$45,$B$48:$N$55,3,FALSE)/25.4)^2*$X$53*(Input!$D$14/1000)/Input!$D$15))-0.179*LN($X$57*(10.74*(VLOOKUP($B$45,$B$48:$N$55,3,FALSE)/25.4)^2*$X$53*(Input!$D$14/1000)/Input!$D$15))^2+0.0064*LN($X$57*(10.74*(VLOOKUP($B$45,$B$48:$N$55,3,FALSE)/25.4)^2*$X$53*(Input!$D$14/1000)/Input!$D$15))^3),IF($X$57*(10.74*(VLOOKUP($B$45,$B$48:$N$55,3,FALSE)/25.4)^2*$X$53*(Input!$D$14/1000)/Input!$D$15)&gt;25,EXP(-0.563-0.231*LN($X$57*(10.74*(VLOOKUP($B$45,$B$48:$N$55,3,FALSE)/25.4)^2*$X$53*(Input!$D$14/1000)/Input!$D$15))+0.0466*LN($X$57*(10.74*(VLOOKUP($B$45,$B$48:$N$55,3,FALSE)/25.4)^2*$X$53*(Input!$D$14/1000)/Input!$D$15))^2),0.439)))*VLOOKUP($B$45,$B$48:$N$55,13,FALSE)*$X$53*(VLOOKUP($B$45,$B$48:$N$55,3,FALSE)^3/1000000)))</f>
        <v>1651.6556849999999</v>
      </c>
      <c r="Y59" s="159"/>
      <c r="Z59" s="159"/>
      <c r="AA59" s="159"/>
      <c r="AB59" s="17"/>
    </row>
    <row r="60" spans="1:28">
      <c r="A60" s="17"/>
      <c r="B60" s="17"/>
      <c r="C60" s="17"/>
      <c r="D60" s="17"/>
      <c r="E60" s="17"/>
      <c r="F60" s="17"/>
      <c r="G60" s="17"/>
      <c r="H60" s="17"/>
      <c r="I60" s="17"/>
      <c r="J60" s="87"/>
      <c r="K60" s="17"/>
      <c r="L60" s="88"/>
      <c r="M60" s="17"/>
      <c r="N60" s="17"/>
      <c r="O60" s="17"/>
      <c r="P60" s="17"/>
      <c r="V60" s="17"/>
      <c r="W60" s="17"/>
      <c r="X60" s="17"/>
      <c r="Y60" s="17"/>
      <c r="Z60" s="17"/>
      <c r="AA60" s="17"/>
      <c r="AB60" s="17"/>
    </row>
    <row r="61" spans="1:28">
      <c r="A61" s="17"/>
      <c r="B61" s="17"/>
      <c r="C61" s="17"/>
      <c r="D61" s="17"/>
      <c r="E61" s="17"/>
      <c r="F61" s="17"/>
      <c r="G61" s="17"/>
      <c r="H61" s="17"/>
      <c r="I61" s="17"/>
      <c r="J61" s="86"/>
      <c r="K61" s="17"/>
      <c r="L61" s="46"/>
      <c r="M61" s="17"/>
      <c r="N61" s="17"/>
      <c r="O61" s="17"/>
      <c r="P61" s="17"/>
      <c r="V61" s="17"/>
      <c r="W61" s="85"/>
      <c r="X61" s="238" t="s">
        <v>279</v>
      </c>
      <c r="Y61" s="238"/>
      <c r="Z61" s="17"/>
      <c r="AA61" s="17"/>
      <c r="AB61" s="17"/>
    </row>
    <row r="62" spans="1:28" ht="33" thickBo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V62" s="17"/>
      <c r="W62" s="160" t="str">
        <f>CONCATENATE("Tank Turnovers at ",Input!D15,"cP")</f>
        <v>Tank Turnovers at 10cP</v>
      </c>
      <c r="X62" s="133" t="s">
        <v>286</v>
      </c>
      <c r="Y62" s="135" t="s">
        <v>281</v>
      </c>
      <c r="Z62" s="135"/>
      <c r="AA62" s="17"/>
      <c r="AB62" s="17"/>
    </row>
    <row r="63" spans="1:28">
      <c r="A63" s="17"/>
      <c r="B63" s="17"/>
      <c r="C63" s="17"/>
      <c r="D63" s="17"/>
      <c r="E63" s="17"/>
      <c r="F63" s="17"/>
      <c r="G63" s="17"/>
      <c r="H63" s="17"/>
      <c r="I63" s="17"/>
      <c r="J63" s="87"/>
      <c r="K63" s="17"/>
      <c r="L63" s="165"/>
      <c r="M63" s="17"/>
      <c r="N63" s="17"/>
      <c r="O63" s="17"/>
      <c r="P63" s="17"/>
      <c r="V63" s="17"/>
      <c r="W63" s="161">
        <v>0</v>
      </c>
      <c r="X63" s="162">
        <f>IF(OR($X$58=0,$X$58="N/A"),
           "N/A",
             Input!$D$12/$X$58*$W63)</f>
        <v>0</v>
      </c>
      <c r="Y63" s="189">
        <f>IF(OR($X$59=0,$X$59="N/A"),
           "N/A",
             Input!$D$12/$X$59*$W63)</f>
        <v>0</v>
      </c>
      <c r="Z63" s="88"/>
      <c r="AA63" s="17"/>
      <c r="AB63" s="17"/>
    </row>
    <row r="64" spans="1:28">
      <c r="A64" s="17"/>
      <c r="B64" s="17"/>
      <c r="C64" s="17"/>
      <c r="D64" s="17"/>
      <c r="E64" s="17"/>
      <c r="F64" s="17"/>
      <c r="G64" s="17"/>
      <c r="H64" s="17"/>
      <c r="I64" s="17"/>
      <c r="J64" s="86"/>
      <c r="K64" s="17"/>
      <c r="L64" s="46"/>
      <c r="M64" s="17"/>
      <c r="N64" s="17"/>
      <c r="O64" s="17"/>
      <c r="P64" s="17"/>
      <c r="V64" s="17"/>
      <c r="W64" s="161">
        <v>1</v>
      </c>
      <c r="X64" s="162">
        <f>IF(OR($X$58=0,$X$58="N/A"),
           "N/A",
             Input!$D$12/$X$58*$W64)</f>
        <v>0.5449077602393867</v>
      </c>
      <c r="Y64" s="189">
        <f>IF(OR($X$59=0,$X$59="N/A"),
           "N/A",
             Input!$D$12/$X$59*$W64)</f>
        <v>0.5449077602393867</v>
      </c>
      <c r="Z64" s="46"/>
      <c r="AA64" s="17"/>
      <c r="AB64" s="17"/>
    </row>
    <row r="65" spans="1:28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V65" s="17"/>
      <c r="W65" s="161">
        <v>2</v>
      </c>
      <c r="X65" s="162">
        <f>IF(OR($X$58=0,$X$58="N/A"),
           "N/A",
             Input!$D$12/$X$58*$W65)</f>
        <v>1.0898155204787734</v>
      </c>
      <c r="Y65" s="189">
        <f>IF(OR($X$59=0,$X$59="N/A"),
           "N/A",
             Input!$D$12/$X$59*$W65)</f>
        <v>1.0898155204787734</v>
      </c>
      <c r="Z65" s="17"/>
      <c r="AA65" s="17"/>
      <c r="AB65" s="17"/>
    </row>
    <row r="66" spans="1:28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V66" s="17"/>
      <c r="W66" s="161">
        <v>3</v>
      </c>
      <c r="X66" s="162">
        <f>IF(OR($X$58=0,$X$58="N/A"),
           "N/A",
             Input!$D$12/$X$58*$W66)</f>
        <v>1.63472328071816</v>
      </c>
      <c r="Y66" s="189">
        <f>IF(OR($X$59=0,$X$59="N/A"),
           "N/A",
             Input!$D$12/$X$59*$W66)</f>
        <v>1.63472328071816</v>
      </c>
      <c r="Z66" s="88"/>
      <c r="AA66" s="17"/>
      <c r="AB66" s="17"/>
    </row>
    <row r="67" spans="1:28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V67" s="17"/>
      <c r="W67" s="161">
        <v>4</v>
      </c>
      <c r="X67" s="162">
        <f>IF(OR($X$58=0,$X$58="N/A"),
           "N/A",
             Input!$D$12/$X$58*$W67)</f>
        <v>2.1796310409575468</v>
      </c>
      <c r="Y67" s="189">
        <f>IF(OR($X$59=0,$X$59="N/A"),
           "N/A",
             Input!$D$12/$X$59*$W67)</f>
        <v>2.1796310409575468</v>
      </c>
      <c r="Z67" s="46"/>
      <c r="AA67" s="17"/>
      <c r="AB67" s="17"/>
    </row>
    <row r="68" spans="1:28">
      <c r="A68" s="17"/>
      <c r="B68" s="17"/>
      <c r="C68" s="17"/>
      <c r="D68" s="17"/>
      <c r="E68" s="17"/>
      <c r="F68" s="17"/>
      <c r="G68" s="17"/>
      <c r="H68" s="17"/>
      <c r="I68" s="17"/>
      <c r="J68" s="87"/>
      <c r="K68" s="17"/>
      <c r="L68" s="88"/>
      <c r="M68" s="17"/>
      <c r="N68" s="17"/>
      <c r="O68" s="17"/>
      <c r="P68" s="17"/>
      <c r="V68" s="17"/>
      <c r="W68" s="161">
        <v>5</v>
      </c>
      <c r="X68" s="162">
        <f>IF(OR($X$58=0,$X$58="N/A"),
           "N/A",
             Input!$D$12/$X$58*$W68)</f>
        <v>2.7245388011969336</v>
      </c>
      <c r="Y68" s="189">
        <f>IF(OR($X$59=0,$X$59="N/A"),
           "N/A",
             Input!$D$12/$X$59*$W68)</f>
        <v>2.7245388011969336</v>
      </c>
      <c r="Z68" s="17"/>
      <c r="AA68" s="17"/>
      <c r="AB68" s="17"/>
    </row>
    <row r="69" spans="1:28">
      <c r="A69" s="17"/>
      <c r="B69" s="17"/>
      <c r="C69" s="17"/>
      <c r="D69" s="17"/>
      <c r="E69" s="17"/>
      <c r="F69" s="17"/>
      <c r="G69" s="17"/>
      <c r="H69" s="17"/>
      <c r="I69" s="17"/>
      <c r="J69" s="86"/>
      <c r="K69" s="17"/>
      <c r="L69" s="46"/>
      <c r="M69" s="17"/>
      <c r="N69" s="17"/>
      <c r="O69" s="17"/>
      <c r="P69" s="17"/>
      <c r="V69" s="17"/>
      <c r="W69" s="161">
        <v>6</v>
      </c>
      <c r="X69" s="162">
        <f>IF(OR($X$58=0,$X$58="N/A"),
           "N/A",
             Input!$D$12/$X$58*$W69)</f>
        <v>3.26944656143632</v>
      </c>
      <c r="Y69" s="189">
        <f>IF(OR($X$59=0,$X$59="N/A"),
           "N/A",
             Input!$D$12/$X$59*$W69)</f>
        <v>3.26944656143632</v>
      </c>
      <c r="Z69" s="17"/>
      <c r="AA69" s="17"/>
      <c r="AB69" s="17"/>
    </row>
    <row r="70" spans="1:28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V70" s="17"/>
      <c r="W70" s="161">
        <v>7</v>
      </c>
      <c r="X70" s="162">
        <f>IF(OR($X$58=0,$X$58="N/A"),
           "N/A",
             Input!$D$12/$X$58*$W70)</f>
        <v>3.8143543216757068</v>
      </c>
      <c r="Y70" s="189">
        <f>IF(OR($X$59=0,$X$59="N/A"),
           "N/A",
             Input!$D$12/$X$59*$W70)</f>
        <v>3.8143543216757068</v>
      </c>
      <c r="Z70" s="17"/>
      <c r="AA70" s="17"/>
      <c r="AB70" s="17"/>
    </row>
    <row r="71" spans="1:28">
      <c r="A71" s="17"/>
      <c r="B71" s="17"/>
      <c r="C71" s="17"/>
      <c r="D71" s="17"/>
      <c r="E71" s="17"/>
      <c r="F71" s="17"/>
      <c r="G71" s="17"/>
      <c r="H71" s="17"/>
      <c r="I71" s="17"/>
      <c r="J71" s="88"/>
      <c r="K71" s="17"/>
      <c r="L71" s="88"/>
      <c r="M71" s="17"/>
      <c r="N71" s="17"/>
      <c r="O71" s="17"/>
      <c r="P71" s="17"/>
      <c r="V71" s="17"/>
      <c r="W71" s="161">
        <v>8</v>
      </c>
      <c r="X71" s="162">
        <f>IF(OR($X$58=0,$X$58="N/A"),
           "N/A",
             Input!$D$12/$X$58*$W71)</f>
        <v>4.3592620819150936</v>
      </c>
      <c r="Y71" s="189">
        <f>IF(OR($X$59=0,$X$59="N/A"),
           "N/A",
             Input!$D$12/$X$59*$W71)</f>
        <v>4.3592620819150936</v>
      </c>
      <c r="Z71" s="17"/>
      <c r="AA71" s="17"/>
      <c r="AB71" s="17"/>
    </row>
    <row r="72" spans="1:28">
      <c r="A72" s="17"/>
      <c r="B72" s="17"/>
      <c r="C72" s="17"/>
      <c r="D72" s="17"/>
      <c r="E72" s="17"/>
      <c r="F72" s="17"/>
      <c r="G72" s="17"/>
      <c r="H72" s="17"/>
      <c r="I72" s="17"/>
      <c r="J72" s="86"/>
      <c r="K72" s="17"/>
      <c r="L72" s="46"/>
      <c r="M72" s="17"/>
      <c r="N72" s="17"/>
      <c r="O72" s="17"/>
      <c r="P72" s="17"/>
      <c r="V72" s="17"/>
      <c r="W72" s="161">
        <v>9</v>
      </c>
      <c r="X72" s="162">
        <f>IF(OR($X$58=0,$X$58="N/A"),
           "N/A",
             Input!$D$12/$X$58*$W72)</f>
        <v>4.9041698421544799</v>
      </c>
      <c r="Y72" s="189">
        <f>IF(OR($X$59=0,$X$59="N/A"),
           "N/A",
             Input!$D$12/$X$59*$W72)</f>
        <v>4.9041698421544799</v>
      </c>
      <c r="Z72" s="17"/>
      <c r="AA72" s="17"/>
      <c r="AB72" s="17"/>
    </row>
    <row r="73" spans="1:28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V73" s="17"/>
      <c r="W73" s="161">
        <v>10</v>
      </c>
      <c r="X73" s="162">
        <f>IF(OR($X$58=0,$X$58="N/A"),
           "N/A",
             Input!$D$12/$X$58*$W73)</f>
        <v>5.4490776023938672</v>
      </c>
      <c r="Y73" s="189">
        <f>IF(OR($X$59=0,$X$59="N/A"),
           "N/A",
             Input!$D$12/$X$59*$W73)</f>
        <v>5.4490776023938672</v>
      </c>
      <c r="Z73" s="17"/>
      <c r="AA73" s="17"/>
      <c r="AB73" s="17"/>
    </row>
    <row r="74" spans="1:28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spans="1:28">
      <c r="I75" s="17"/>
      <c r="J75" s="17"/>
      <c r="K75" s="17"/>
      <c r="L75" s="17"/>
      <c r="M75" s="17"/>
    </row>
    <row r="76" spans="1:28">
      <c r="J76" s="166"/>
      <c r="L76" s="82"/>
    </row>
    <row r="77" spans="1:28">
      <c r="J77" s="79"/>
      <c r="L77" s="83"/>
    </row>
    <row r="79" spans="1:28">
      <c r="J79" s="83"/>
      <c r="L79" s="83"/>
    </row>
  </sheetData>
  <sortState xmlns:xlrd2="http://schemas.microsoft.com/office/spreadsheetml/2017/richdata2" ref="F6:F40">
    <sortCondition descending="1" ref="F6:F40"/>
  </sortState>
  <mergeCells count="6">
    <mergeCell ref="X61:Y61"/>
    <mergeCell ref="B2:C2"/>
    <mergeCell ref="D2:E2"/>
    <mergeCell ref="F2:G2"/>
    <mergeCell ref="V48:V52"/>
    <mergeCell ref="V53:V56"/>
  </mergeCells>
  <conditionalFormatting sqref="B55">
    <cfRule type="expression" dxfId="19" priority="1">
      <formula>$B$23=$B$2</formula>
    </cfRule>
  </conditionalFormatting>
  <conditionalFormatting sqref="C48 H48:J48 H49:H53">
    <cfRule type="expression" dxfId="18" priority="9">
      <formula>$B$13=$B$2</formula>
    </cfRule>
  </conditionalFormatting>
  <conditionalFormatting sqref="C50 I50:J50">
    <cfRule type="expression" dxfId="17" priority="6">
      <formula>$B$17=$B$2</formula>
    </cfRule>
  </conditionalFormatting>
  <conditionalFormatting sqref="C52 I52:J52">
    <cfRule type="expression" dxfId="16" priority="3">
      <formula>$B$21=$B$2</formula>
    </cfRule>
  </conditionalFormatting>
  <conditionalFormatting sqref="F48">
    <cfRule type="expression" dxfId="15" priority="8">
      <formula>$B$11=$B$2</formula>
    </cfRule>
  </conditionalFormatting>
  <conditionalFormatting sqref="F50">
    <cfRule type="expression" dxfId="14" priority="5">
      <formula>$B$11=$B$2</formula>
    </cfRule>
  </conditionalFormatting>
  <conditionalFormatting sqref="F52">
    <cfRule type="expression" dxfId="13" priority="2">
      <formula>$B$11=$B$2</formula>
    </cfRule>
  </conditionalFormatting>
  <conditionalFormatting sqref="J48">
    <cfRule type="expression" dxfId="12" priority="10">
      <formula>$J$14&lt;$J$13</formula>
    </cfRule>
  </conditionalFormatting>
  <conditionalFormatting sqref="J50">
    <cfRule type="expression" dxfId="11" priority="7">
      <formula>$J$18&lt;$J$17</formula>
    </cfRule>
  </conditionalFormatting>
  <conditionalFormatting sqref="J52">
    <cfRule type="expression" dxfId="10" priority="4">
      <formula>$J$22&lt;$J$21</formula>
    </cfRule>
  </conditionalFormatting>
  <dataValidations count="1">
    <dataValidation type="list" allowBlank="1" showInputMessage="1" showErrorMessage="1" sqref="B2:G2" xr:uid="{15EE7101-448C-4ABE-B344-D4E58538DE5F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C9A3-8E08-4C80-A3E4-1E72CE63E123}">
  <sheetPr>
    <tabColor rgb="FF00B0F0"/>
  </sheetPr>
  <dimension ref="A1:AB82"/>
  <sheetViews>
    <sheetView topLeftCell="A35" workbookViewId="0">
      <selection activeCell="P55" sqref="P55"/>
    </sheetView>
  </sheetViews>
  <sheetFormatPr baseColWidth="10" defaultColWidth="8.83203125" defaultRowHeight="15"/>
  <cols>
    <col min="1" max="1" width="20.33203125" bestFit="1" customWidth="1"/>
    <col min="12" max="12" width="15" bestFit="1" customWidth="1"/>
    <col min="14" max="14" width="13.5" customWidth="1"/>
    <col min="17" max="17" width="0" hidden="1" customWidth="1"/>
    <col min="18" max="18" width="18.83203125" hidden="1" customWidth="1"/>
    <col min="19" max="21" width="0" hidden="1" customWidth="1"/>
    <col min="23" max="23" width="20.1640625" customWidth="1"/>
    <col min="24" max="24" width="9.83203125" bestFit="1" customWidth="1"/>
    <col min="25" max="25" width="10.83203125" customWidth="1"/>
    <col min="29" max="29" width="9.83203125" bestFit="1" customWidth="1"/>
  </cols>
  <sheetData>
    <row r="1" spans="1:28" ht="16" thickBo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</row>
    <row r="2" spans="1:28" ht="16" thickBot="1">
      <c r="A2" s="18" t="s">
        <v>5</v>
      </c>
      <c r="B2" s="239">
        <f>IF(Input!$D$13="Gentle",1.2,IF(Input!$D$13="Vigorous", 0.8,1))</f>
        <v>0.8</v>
      </c>
      <c r="C2" s="240"/>
      <c r="D2" s="239">
        <f>IF(Input!$D$13="Gentle",1.2,IF(Input!$D$13="Vigorous", 0.8,1))</f>
        <v>0.8</v>
      </c>
      <c r="E2" s="240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3" spans="1:28" ht="16" thickBot="1">
      <c r="A3" s="51" t="s">
        <v>17</v>
      </c>
      <c r="B3" s="51">
        <v>250</v>
      </c>
      <c r="C3" s="94"/>
      <c r="D3" s="51">
        <v>3000</v>
      </c>
      <c r="E3" s="94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</row>
    <row r="4" spans="1:28">
      <c r="A4" s="17"/>
      <c r="B4" s="50" t="s">
        <v>13</v>
      </c>
      <c r="C4" s="85" t="s">
        <v>3</v>
      </c>
      <c r="D4" s="50" t="s">
        <v>13</v>
      </c>
      <c r="E4" s="85" t="s">
        <v>3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>
      <c r="A5" s="17"/>
      <c r="B5" s="50" t="s">
        <v>33</v>
      </c>
      <c r="C5" s="85" t="s">
        <v>33</v>
      </c>
      <c r="D5" s="50" t="s">
        <v>34</v>
      </c>
      <c r="E5" s="85" t="s">
        <v>34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</row>
    <row r="6" spans="1:28">
      <c r="A6" s="17"/>
      <c r="B6" s="22">
        <f>(B$2)*250</f>
        <v>200</v>
      </c>
      <c r="C6" s="85">
        <v>1</v>
      </c>
      <c r="D6" s="50">
        <f>(D$2)*3000</f>
        <v>2400</v>
      </c>
      <c r="E6" s="85">
        <v>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</row>
    <row r="7" spans="1:28">
      <c r="A7" s="17"/>
      <c r="B7" s="22">
        <f>(B$2)*227.5</f>
        <v>182</v>
      </c>
      <c r="C7" s="85">
        <v>5</v>
      </c>
      <c r="D7" s="50">
        <f>(D$2)*2730</f>
        <v>2184</v>
      </c>
      <c r="E7" s="85">
        <v>5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</row>
    <row r="8" spans="1:28">
      <c r="A8" s="17"/>
      <c r="B8" s="22">
        <f>(B$2)*207.5</f>
        <v>166</v>
      </c>
      <c r="C8" s="85">
        <v>10</v>
      </c>
      <c r="D8" s="50">
        <f>(D$2)*2490</f>
        <v>1992</v>
      </c>
      <c r="E8" s="85">
        <v>10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</row>
    <row r="9" spans="1:28">
      <c r="A9" s="17"/>
      <c r="B9" s="22">
        <f>(B$2)*192.5</f>
        <v>154</v>
      </c>
      <c r="C9" s="85">
        <v>15</v>
      </c>
      <c r="D9" s="50">
        <f>(D$2)*2310</f>
        <v>1848</v>
      </c>
      <c r="E9" s="85">
        <v>15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</row>
    <row r="10" spans="1:28">
      <c r="A10" s="17"/>
      <c r="B10" s="22">
        <f>(B$2)*180</f>
        <v>144</v>
      </c>
      <c r="C10" s="85">
        <v>20</v>
      </c>
      <c r="D10" s="50">
        <f>(D$2)*2160</f>
        <v>1728</v>
      </c>
      <c r="E10" s="85">
        <v>20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</row>
    <row r="11" spans="1:28">
      <c r="A11" s="17"/>
      <c r="B11" s="22">
        <f>(B$2)*170</f>
        <v>136</v>
      </c>
      <c r="C11" s="85">
        <v>25</v>
      </c>
      <c r="D11" s="50">
        <f>(D$2)*2040</f>
        <v>1632</v>
      </c>
      <c r="E11" s="85">
        <v>25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</row>
    <row r="12" spans="1:28">
      <c r="A12" s="17"/>
      <c r="B12" s="22">
        <f>(B$2)*163.75</f>
        <v>131</v>
      </c>
      <c r="C12" s="85">
        <v>30</v>
      </c>
      <c r="D12" s="50">
        <f>(D$2)*1965</f>
        <v>1572</v>
      </c>
      <c r="E12" s="85">
        <v>30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</row>
    <row r="13" spans="1:28">
      <c r="A13" s="17"/>
      <c r="B13" s="22">
        <f>(B$2)*157.5</f>
        <v>126</v>
      </c>
      <c r="C13" s="85">
        <v>35</v>
      </c>
      <c r="D13" s="50">
        <f>(D$2)*1890</f>
        <v>1512</v>
      </c>
      <c r="E13" s="85">
        <v>35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</row>
    <row r="14" spans="1:28">
      <c r="A14" s="17"/>
      <c r="B14" s="22">
        <f>(B$2)*153.75</f>
        <v>123</v>
      </c>
      <c r="C14" s="85">
        <v>40</v>
      </c>
      <c r="D14" s="50">
        <f>(D$2)*1845</f>
        <v>1476</v>
      </c>
      <c r="E14" s="85">
        <v>40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</row>
    <row r="15" spans="1:28">
      <c r="A15" s="17"/>
      <c r="B15" s="22">
        <f>(B$2)*150</f>
        <v>120</v>
      </c>
      <c r="C15" s="85">
        <v>45</v>
      </c>
      <c r="D15" s="50">
        <f>(D$2)*1800</f>
        <v>1440</v>
      </c>
      <c r="E15" s="85">
        <v>45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>
      <c r="A16" s="17"/>
      <c r="B16" s="22">
        <f>(B$2)*146.5</f>
        <v>117.2</v>
      </c>
      <c r="C16" s="85">
        <v>50</v>
      </c>
      <c r="D16" s="50">
        <f>(D$2)*1758</f>
        <v>1406.4</v>
      </c>
      <c r="E16" s="85">
        <v>50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</row>
    <row r="17" spans="1:28">
      <c r="A17" s="17"/>
      <c r="B17" s="22">
        <f>(B$2)*142.5</f>
        <v>114</v>
      </c>
      <c r="C17" s="85">
        <v>55</v>
      </c>
      <c r="D17" s="50">
        <f>(D$2)*1710</f>
        <v>1368</v>
      </c>
      <c r="E17" s="85">
        <v>55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>
      <c r="A18" s="17"/>
      <c r="B18" s="22">
        <f>(B$2)*140</f>
        <v>112</v>
      </c>
      <c r="C18" s="85">
        <v>60</v>
      </c>
      <c r="D18" s="50">
        <f>(D$2)*1680</f>
        <v>1344</v>
      </c>
      <c r="E18" s="85">
        <v>60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</row>
    <row r="19" spans="1:28">
      <c r="A19" s="17"/>
      <c r="B19" s="22">
        <f>(B$2)*137.5</f>
        <v>110</v>
      </c>
      <c r="C19" s="85">
        <v>65</v>
      </c>
      <c r="D19" s="50">
        <f>(D$2)*1650</f>
        <v>1320</v>
      </c>
      <c r="E19" s="85">
        <v>65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spans="1:28">
      <c r="A20" s="17"/>
      <c r="B20" s="22">
        <f>(B$2)*135</f>
        <v>108</v>
      </c>
      <c r="C20" s="85">
        <v>70</v>
      </c>
      <c r="D20" s="50">
        <f>(D$2)*1620</f>
        <v>1296</v>
      </c>
      <c r="E20" s="85">
        <v>70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</row>
    <row r="21" spans="1:28">
      <c r="A21" s="17"/>
      <c r="B21" s="22">
        <f>(B$2)*132.5</f>
        <v>106</v>
      </c>
      <c r="C21" s="85">
        <v>75</v>
      </c>
      <c r="D21" s="50">
        <f>(D$2)*1590</f>
        <v>1272</v>
      </c>
      <c r="E21" s="85">
        <v>75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</row>
    <row r="22" spans="1:28">
      <c r="A22" s="17"/>
      <c r="B22" s="22">
        <f>(B$2)*130</f>
        <v>104</v>
      </c>
      <c r="C22" s="85">
        <v>80</v>
      </c>
      <c r="D22" s="50">
        <f>(D$2)*1560</f>
        <v>1248</v>
      </c>
      <c r="E22" s="85">
        <v>80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</row>
    <row r="23" spans="1:28">
      <c r="A23" s="17"/>
      <c r="B23" s="22">
        <f>(B$2)*127.5</f>
        <v>102</v>
      </c>
      <c r="C23" s="85">
        <v>85</v>
      </c>
      <c r="D23" s="50">
        <f>(D$2)*1530</f>
        <v>1224</v>
      </c>
      <c r="E23" s="85">
        <v>85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</row>
    <row r="24" spans="1:28">
      <c r="A24" s="17"/>
      <c r="B24" s="22">
        <f>(B$2)*125</f>
        <v>100</v>
      </c>
      <c r="C24" s="85">
        <v>90</v>
      </c>
      <c r="D24" s="50">
        <f>(D$2)*1500</f>
        <v>1200</v>
      </c>
      <c r="E24" s="85">
        <v>90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</row>
    <row r="25" spans="1:28">
      <c r="A25" s="17"/>
      <c r="B25" s="22">
        <f>(B$2)*122.5</f>
        <v>98</v>
      </c>
      <c r="C25" s="85">
        <v>95</v>
      </c>
      <c r="D25" s="50">
        <f>(D$2)*1470</f>
        <v>1176</v>
      </c>
      <c r="E25" s="85">
        <v>95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</row>
    <row r="26" spans="1:28">
      <c r="A26" s="17"/>
      <c r="B26" s="22">
        <f>(B$2)*121.25</f>
        <v>97</v>
      </c>
      <c r="C26" s="85">
        <v>100</v>
      </c>
      <c r="D26" s="50">
        <f>(D$2)*1455</f>
        <v>1164</v>
      </c>
      <c r="E26" s="85">
        <v>100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</row>
    <row r="27" spans="1:28">
      <c r="A27" s="17"/>
      <c r="B27" s="22">
        <f>(B$2)*107.5</f>
        <v>86</v>
      </c>
      <c r="C27" s="85">
        <v>150</v>
      </c>
      <c r="D27" s="50">
        <f>(D$2)*1290</f>
        <v>1032</v>
      </c>
      <c r="E27" s="85">
        <v>150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28" spans="1:28">
      <c r="A28" s="17"/>
      <c r="B28" s="22">
        <f>(B$2)*97.5</f>
        <v>78</v>
      </c>
      <c r="C28" s="85">
        <v>200</v>
      </c>
      <c r="D28" s="50">
        <f>(D$2)*1170</f>
        <v>936</v>
      </c>
      <c r="E28" s="85">
        <v>200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</row>
    <row r="29" spans="1:28">
      <c r="A29" s="17"/>
      <c r="B29" s="22">
        <f>(B$2)*88.75</f>
        <v>71</v>
      </c>
      <c r="C29" s="85">
        <v>250</v>
      </c>
      <c r="D29" s="50">
        <f>(D$2)*1065</f>
        <v>852</v>
      </c>
      <c r="E29" s="85">
        <v>250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 spans="1:28">
      <c r="A30" s="17"/>
      <c r="B30" s="22">
        <f>(B$2)*80</f>
        <v>64</v>
      </c>
      <c r="C30" s="85">
        <v>300</v>
      </c>
      <c r="D30" s="50">
        <f>(D$2)*960</f>
        <v>768</v>
      </c>
      <c r="E30" s="85">
        <v>300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</row>
    <row r="31" spans="1:28">
      <c r="A31" s="17"/>
      <c r="B31" s="22">
        <f>(B$2)*72.5</f>
        <v>58</v>
      </c>
      <c r="C31" s="85">
        <v>350</v>
      </c>
      <c r="D31" s="50">
        <f>(D$2)*870</f>
        <v>696</v>
      </c>
      <c r="E31" s="85">
        <v>350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</row>
    <row r="32" spans="1:28">
      <c r="A32" s="17"/>
      <c r="B32" s="22">
        <f>(B$2)*65</f>
        <v>52</v>
      </c>
      <c r="C32" s="85">
        <v>400</v>
      </c>
      <c r="D32" s="50">
        <f>(D$2)*780</f>
        <v>624</v>
      </c>
      <c r="E32" s="85">
        <v>400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spans="1:28">
      <c r="A33" s="17"/>
      <c r="B33" s="22">
        <f>(B$2)*58.75</f>
        <v>47</v>
      </c>
      <c r="C33" s="85">
        <v>450</v>
      </c>
      <c r="D33" s="50">
        <f>(D$2)*705</f>
        <v>564</v>
      </c>
      <c r="E33" s="85">
        <v>450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>
      <c r="A34" s="17"/>
      <c r="B34" s="22">
        <f>(B$2)*52.5</f>
        <v>42</v>
      </c>
      <c r="C34" s="85">
        <v>500</v>
      </c>
      <c r="D34" s="50">
        <f>(D$2)*630</f>
        <v>504</v>
      </c>
      <c r="E34" s="85">
        <v>500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>
      <c r="A35" s="17"/>
      <c r="B35" s="22">
        <f>(B$2)*47.5</f>
        <v>38</v>
      </c>
      <c r="C35" s="85">
        <v>550</v>
      </c>
      <c r="D35" s="50">
        <f>(D$2)*570</f>
        <v>456</v>
      </c>
      <c r="E35" s="85">
        <v>550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spans="1:28">
      <c r="A36" s="17"/>
      <c r="B36" s="22">
        <f>(B$2)*42.5</f>
        <v>34</v>
      </c>
      <c r="C36" s="85">
        <v>600</v>
      </c>
      <c r="D36" s="50">
        <f>(D$2)*510</f>
        <v>408</v>
      </c>
      <c r="E36" s="85">
        <v>600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>
      <c r="A37" s="17"/>
      <c r="B37" s="22">
        <f>(B$2)*37.5</f>
        <v>30</v>
      </c>
      <c r="C37" s="85">
        <v>650</v>
      </c>
      <c r="D37" s="50">
        <f>(D$2)*450</f>
        <v>360</v>
      </c>
      <c r="E37" s="85">
        <v>650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spans="1:28">
      <c r="A38" s="17"/>
      <c r="B38" s="22">
        <f>(B$2)*33</f>
        <v>26.400000000000002</v>
      </c>
      <c r="C38" s="85">
        <v>700</v>
      </c>
      <c r="D38" s="50">
        <f>(D$2)*396</f>
        <v>316.8</v>
      </c>
      <c r="E38" s="85">
        <v>700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>
      <c r="A39" s="17"/>
      <c r="B39" s="22">
        <f>(B$2)*28.75</f>
        <v>23</v>
      </c>
      <c r="C39" s="85">
        <v>750</v>
      </c>
      <c r="D39" s="50">
        <f>(D$2)*345</f>
        <v>276</v>
      </c>
      <c r="E39" s="85">
        <v>750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spans="1:28" ht="16" thickBot="1">
      <c r="A40" s="17"/>
      <c r="B40" s="24">
        <f>(B$2)*25</f>
        <v>20</v>
      </c>
      <c r="C40" s="94">
        <v>800</v>
      </c>
      <c r="D40" s="51">
        <f>(D$2)*300</f>
        <v>240</v>
      </c>
      <c r="E40" s="94">
        <v>800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spans="1:28">
      <c r="A41" s="17" t="s">
        <v>282</v>
      </c>
      <c r="B41" s="45" cm="1">
        <f t="array" ref="B41">IF(VLOOKUP(Input!$D$15,C$6:C$40,1,TRUE)=Input!$D$15,INDEX(B$6:B$40,MATCH(VLOOKUP(Input!$D$15,C$6:C$40,1,TRUE),C$6:C$40)),INDEX(B$6:B$40,MATCH(VLOOKUP(Input!$D$15,C$6:C$40,1,TRUE),C$6:C$40)+1))</f>
        <v>166</v>
      </c>
      <c r="C41" s="46"/>
      <c r="D41" s="45" cm="1">
        <f t="array" ref="D41">IF(VLOOKUP(Input!$D$15,E$6:E$40,1,TRUE)=Input!$D$15,INDEX(D$6:D$40,MATCH(VLOOKUP(Input!$D$15,E$6:E$40,1,TRUE),E$6:E$40)),INDEX(D$6:D$40,MATCH(VLOOKUP(Input!$D$15,E$6:E$40,1,TRUE),E$6:E$40)+1))</f>
        <v>1992</v>
      </c>
      <c r="E41" s="46"/>
      <c r="F41" s="45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spans="1:28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spans="1:28" ht="16" thickBo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spans="1:28" ht="16" thickBot="1">
      <c r="A44" s="18" t="s">
        <v>35</v>
      </c>
      <c r="B44" s="19" t="str">
        <f>IF($D$41&lt;Input!D12,"N/A",IF(Input!D12&lt;=$B$41,$B$5,IF(Input!D12&lt;=$D$41,$D$5,)))</f>
        <v>ZF160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spans="1:28">
      <c r="A45" s="17" t="s">
        <v>132</v>
      </c>
      <c r="B45" s="17">
        <f>Input!$D$31</f>
        <v>0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spans="1:28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spans="1:28" ht="33" thickBot="1">
      <c r="A47" s="17"/>
      <c r="B47" s="178" t="s">
        <v>36</v>
      </c>
      <c r="C47" s="178" t="s">
        <v>37</v>
      </c>
      <c r="D47" s="101" t="s">
        <v>38</v>
      </c>
      <c r="E47" s="178" t="s">
        <v>120</v>
      </c>
      <c r="F47" s="178" t="s">
        <v>39</v>
      </c>
      <c r="G47" s="178" t="s">
        <v>40</v>
      </c>
      <c r="H47" s="178" t="s">
        <v>41</v>
      </c>
      <c r="I47" s="179" t="s">
        <v>42</v>
      </c>
      <c r="J47" s="179" t="s">
        <v>43</v>
      </c>
      <c r="K47" s="178" t="s">
        <v>44</v>
      </c>
      <c r="L47" s="178" t="s">
        <v>45</v>
      </c>
      <c r="M47" s="178" t="s">
        <v>145</v>
      </c>
      <c r="N47" s="124" t="s">
        <v>250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spans="1:28" ht="16" thickBot="1">
      <c r="B48" s="3" t="s">
        <v>33</v>
      </c>
      <c r="C48" s="35">
        <v>350</v>
      </c>
      <c r="D48" s="93">
        <v>140</v>
      </c>
      <c r="E48" s="3">
        <v>2.4</v>
      </c>
      <c r="F48" s="3">
        <f>IF($B$44=$B48,Input!$D$14,IF($B$45=$B48,Input!$D$14,1000))</f>
        <v>1000</v>
      </c>
      <c r="G48" s="3">
        <f>IF($B$44=$B48,Input!$D$12,250)</f>
        <v>250</v>
      </c>
      <c r="H48" s="42">
        <f>$E48*$F48*($C48/60)^3*($D48/1000)^5</f>
        <v>25.621337777777779</v>
      </c>
      <c r="I48" s="38">
        <v>1.5</v>
      </c>
      <c r="J48" s="39">
        <f t="shared" ref="J48:J51" si="0">9549*H48/C48/1000</f>
        <v>0.69902329839999999</v>
      </c>
      <c r="K48" s="102">
        <f t="shared" ref="K48:K51" si="1">H48/G48</f>
        <v>0.10248535111111111</v>
      </c>
      <c r="L48" s="104">
        <f>3.14*$D48/1000*$C$48/60</f>
        <v>2.5643333333333334</v>
      </c>
      <c r="M48">
        <v>109.5</v>
      </c>
      <c r="N48" s="35">
        <v>0.65</v>
      </c>
      <c r="O48" s="17"/>
      <c r="P48" s="17"/>
      <c r="V48" s="237" t="s">
        <v>283</v>
      </c>
      <c r="W48" s="134"/>
      <c r="X48" s="130" t="s">
        <v>268</v>
      </c>
      <c r="Y48" s="138" t="s">
        <v>277</v>
      </c>
      <c r="Z48" s="130" t="s">
        <v>273</v>
      </c>
      <c r="AA48" s="138" t="s">
        <v>277</v>
      </c>
      <c r="AB48" s="17"/>
    </row>
    <row r="49" spans="1:28">
      <c r="A49" s="141" t="s">
        <v>46</v>
      </c>
      <c r="B49" s="142" t="s">
        <v>33</v>
      </c>
      <c r="C49" s="142">
        <v>350</v>
      </c>
      <c r="D49" s="143">
        <v>140</v>
      </c>
      <c r="E49" s="142">
        <v>2.4</v>
      </c>
      <c r="F49" s="142">
        <f>1000</f>
        <v>1000</v>
      </c>
      <c r="G49" s="142">
        <v>250</v>
      </c>
      <c r="H49" s="148">
        <f t="shared" ref="H49:H51" si="2">$E49*$F49*($C49/60)^3*($D49/1000)^5</f>
        <v>25.621337777777779</v>
      </c>
      <c r="I49" s="172">
        <v>1.5</v>
      </c>
      <c r="J49" s="146">
        <f t="shared" si="0"/>
        <v>0.69902329839999999</v>
      </c>
      <c r="K49" s="144">
        <f t="shared" si="1"/>
        <v>0.10248535111111111</v>
      </c>
      <c r="L49" s="146">
        <f t="shared" ref="L49:L51" si="3">3.14*$D49/1000*$C$48/60</f>
        <v>2.5643333333333334</v>
      </c>
      <c r="M49" s="141">
        <v>109.5</v>
      </c>
      <c r="N49" s="142">
        <v>0.65</v>
      </c>
      <c r="O49" s="17"/>
      <c r="P49" s="17"/>
      <c r="V49" s="237"/>
      <c r="W49" s="131" t="s">
        <v>47</v>
      </c>
      <c r="X49" s="150" cm="1">
        <f t="array" ref="X49">IF($B$45=0,
IF($B$44="N/A","N/A",IF(Input!D13&lt;=1000,VLOOKUP($B$44,$B$48:$N$51,2,FALSE),ROUNDDOWN((SQRT((213500000000000000*(INDEX($B$48:$N$51,(MATCH($B$44,$B$48:$B$51,0)+1),9)))/(9.549*(INDEX($B$48:$N$51,(MATCH($B$44,$B$48:$B$51,0)),4))*((INDEX($B$48:$N$51,(MATCH($B$44,$B$48:$B$51,0)),5))/1000)*((INDEX($B$48:$N51,(MATCH($B$44,$B$48:$B$51,0)),3))^5)))),0))),
IF(Input!D13&lt;=1000,VLOOKUP($B$45,$B$48:$N$51,2,FALSE),ROUNDDOWN((SQRT((213500000000000000*(INDEX($B$48:$N$51,(MATCH($B$45,$B$48:$B$51,0)+1),9)))/(9.549*(INDEX($B$48:$N$51,(MATCH($B$45,$B$48:$B$51,0)),4))*((INDEX($B$48:$N$51,(MATCH($B$45,$B$48:$B$51,0)),5))/1000)*((INDEX($B$48:$N$51,(MATCH($B$45,$B$48:$B$51,0)),3))^5)))),0)))</f>
        <v>246</v>
      </c>
      <c r="Y49" s="49" t="s">
        <v>274</v>
      </c>
      <c r="Z49" s="150">
        <f>$X$49</f>
        <v>246</v>
      </c>
      <c r="AA49" s="153" t="s">
        <v>274</v>
      </c>
      <c r="AB49" s="17"/>
    </row>
    <row r="50" spans="1:28">
      <c r="B50" s="3" t="s">
        <v>34</v>
      </c>
      <c r="C50" s="35">
        <v>350</v>
      </c>
      <c r="D50" s="93">
        <v>220</v>
      </c>
      <c r="E50" s="3">
        <v>2.2000000000000002</v>
      </c>
      <c r="F50" s="3">
        <f>IF($B$44=$B50,Input!$D$14,IF($B$45=$B50,Input!$D$14,1000))</f>
        <v>2000</v>
      </c>
      <c r="G50" s="3">
        <f>IF($B$44=$B50,Input!$D$12,3000)</f>
        <v>900</v>
      </c>
      <c r="H50" s="42">
        <f t="shared" si="2"/>
        <v>450.1077207407406</v>
      </c>
      <c r="I50" s="41">
        <v>10</v>
      </c>
      <c r="J50" s="42">
        <f t="shared" si="0"/>
        <v>12.280224643866662</v>
      </c>
      <c r="K50" s="102">
        <f t="shared" si="1"/>
        <v>0.50011968971193399</v>
      </c>
      <c r="L50" s="104">
        <f t="shared" si="3"/>
        <v>4.0296666666666674</v>
      </c>
      <c r="M50">
        <v>168</v>
      </c>
      <c r="N50" s="35">
        <v>0.65</v>
      </c>
      <c r="O50" s="17"/>
      <c r="P50" s="17"/>
      <c r="V50" s="237"/>
      <c r="W50" s="132" t="s">
        <v>8</v>
      </c>
      <c r="X50" s="156">
        <f>IF($B$45=0,
IF($X$49=$B$44,"N/A",(VLOOKUP($B$44,$B$48:$N$51,4,FALSE)*Input!$D$14*($X$49/60)^3*((VLOOKUP($B$44,$B$48:$N$51,3,FALSE))/1000)^5)/Input!$D$12),
(VLOOKUP($B$45,$B$48:$N$51,4,FALSE)*Input!$D$14*($X$49/60)^3*((VLOOKUP($B$45,$B$48:$N$51,3,FALSE))/1000)^5)/Input!$D$12)</f>
        <v>0.17365014141297777</v>
      </c>
      <c r="Y50" s="85" t="s">
        <v>9</v>
      </c>
      <c r="Z50" s="151">
        <f>IF($X$50="N/A",
           "N/A",
            $X$50/0.264172)</f>
        <v>0.65733742188035738</v>
      </c>
      <c r="AA50" s="136" t="s">
        <v>275</v>
      </c>
      <c r="AB50" s="17"/>
    </row>
    <row r="51" spans="1:28">
      <c r="A51" s="141" t="s">
        <v>46</v>
      </c>
      <c r="B51" s="176" t="s">
        <v>34</v>
      </c>
      <c r="C51" s="167">
        <v>350</v>
      </c>
      <c r="D51" s="177">
        <v>220</v>
      </c>
      <c r="E51" s="167">
        <v>2.2000000000000002</v>
      </c>
      <c r="F51" s="167">
        <f>1000</f>
        <v>1000</v>
      </c>
      <c r="G51" s="167">
        <v>3000</v>
      </c>
      <c r="H51" s="148">
        <f t="shared" si="2"/>
        <v>225.0538603703703</v>
      </c>
      <c r="I51" s="169">
        <v>10</v>
      </c>
      <c r="J51" s="170">
        <f t="shared" si="0"/>
        <v>6.1401123219333309</v>
      </c>
      <c r="K51" s="171">
        <f t="shared" si="1"/>
        <v>7.5017953456790104E-2</v>
      </c>
      <c r="L51" s="146">
        <f t="shared" si="3"/>
        <v>4.0296666666666674</v>
      </c>
      <c r="M51" s="141">
        <v>168</v>
      </c>
      <c r="N51" s="142">
        <v>0.65</v>
      </c>
      <c r="O51" s="17"/>
      <c r="P51" s="17"/>
      <c r="V51" s="237"/>
      <c r="W51" s="132" t="s">
        <v>10</v>
      </c>
      <c r="X51" s="155">
        <f>IF($B$45=0,
IF($X$49=$B$44,"N/A",3.14*VLOOKUP($B$44,$B$48:$N$51,3,FALSE)/1000*$X$49/60),
3.14*VLOOKUP($B$45,$B$48:$N$51,3,FALSE)/1000*$X$49/60)</f>
        <v>2.8322800000000004</v>
      </c>
      <c r="Y51" s="136" t="s">
        <v>11</v>
      </c>
      <c r="Z51" s="152">
        <f>IF($X$51="N/A",
           "N/A",
            $X$51*196.85)</f>
        <v>557.5343180000001</v>
      </c>
      <c r="AA51" s="136" t="s">
        <v>276</v>
      </c>
      <c r="AB51" s="17"/>
    </row>
    <row r="52" spans="1:28" ht="33" thickBot="1">
      <c r="A52" s="17"/>
      <c r="B52" s="17"/>
      <c r="C52" s="17"/>
      <c r="D52" s="46"/>
      <c r="E52" s="17"/>
      <c r="F52" s="17"/>
      <c r="G52" s="17"/>
      <c r="H52" s="89"/>
      <c r="I52" s="90"/>
      <c r="J52" s="89"/>
      <c r="K52" s="88"/>
      <c r="L52" s="86"/>
      <c r="M52" s="17"/>
      <c r="N52" s="17"/>
      <c r="O52" s="17"/>
      <c r="P52" s="17"/>
      <c r="V52" s="237"/>
      <c r="W52" s="154" t="s">
        <v>289</v>
      </c>
      <c r="X52" s="158">
        <f>IF(OR($X$58=0,$X$58="N/A"),
         "N/A",
         IF(Input!$D$12/$X$58*4&lt;0.25,
              0.5,
              MROUND(Input!$D$12/$X$58*4,0.5)))</f>
        <v>2</v>
      </c>
      <c r="Y52" s="29" t="s">
        <v>301</v>
      </c>
      <c r="Z52" s="157">
        <f>$X$52</f>
        <v>2</v>
      </c>
      <c r="AA52" s="29" t="s">
        <v>301</v>
      </c>
      <c r="AB52" s="17"/>
    </row>
    <row r="53" spans="1:28">
      <c r="A53" s="17"/>
      <c r="B53" s="17"/>
      <c r="C53" s="17"/>
      <c r="D53" s="100"/>
      <c r="E53" s="17"/>
      <c r="F53" s="17"/>
      <c r="G53" s="17"/>
      <c r="H53" s="89"/>
      <c r="I53" s="90"/>
      <c r="J53" s="89"/>
      <c r="K53" s="88"/>
      <c r="L53" s="86"/>
      <c r="M53" s="17"/>
      <c r="N53" s="17"/>
      <c r="O53" s="17"/>
      <c r="P53" s="17"/>
      <c r="V53" s="237" t="s">
        <v>281</v>
      </c>
      <c r="W53" s="131" t="s">
        <v>284</v>
      </c>
      <c r="X53" s="187">
        <f>IF(Input!$E$31=0,$X$49,Input!$E$31)</f>
        <v>246</v>
      </c>
      <c r="Y53" s="85" t="s">
        <v>274</v>
      </c>
      <c r="Z53" s="188">
        <f>$X$53</f>
        <v>246</v>
      </c>
      <c r="AA53" s="136" t="s">
        <v>274</v>
      </c>
      <c r="AB53" s="17"/>
    </row>
    <row r="54" spans="1:28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V54" s="237"/>
      <c r="W54" s="132" t="s">
        <v>8</v>
      </c>
      <c r="X54" s="181">
        <f>IF($B$45=0,
IF($B$44=$X$49,"N/A",(VLOOKUP($B$44,$B$48:$N$51,4,FALSE)*Input!$D$14*($X$53/60)^3*(((VLOOKUP($B$44,$B$48:$N$51,3,FALSE))/1000)^5)/Input!$D$12)),
(VLOOKUP($B$45,$B$48:$N$51,4,FALSE)*Input!$D$14*($X$53/60)^3*(((VLOOKUP($B$45,$B$48:$N$51,3,FALSE))/1000)^5)/Input!$D$12))</f>
        <v>0.17365014141297777</v>
      </c>
      <c r="Y54" s="85" t="s">
        <v>9</v>
      </c>
      <c r="Z54" s="184">
        <f>IF($X$54="N/A",
           "N/A",
             $X$54/0.264172)</f>
        <v>0.65733742188035738</v>
      </c>
      <c r="AA54" s="136" t="s">
        <v>275</v>
      </c>
      <c r="AB54" s="17"/>
    </row>
    <row r="55" spans="1:28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V55" s="237"/>
      <c r="W55" s="132" t="s">
        <v>285</v>
      </c>
      <c r="X55" s="182">
        <f>IF($B$45=0,
IF($X$49=$B$44,"N/A",3.14*VLOOKUP($B$44,$B$48:$N$51,3,FALSE)/1000*$X$53/60),
3.14*VLOOKUP($B$45,$B$48:$N$51,3,FALSE)/1000*$X$53/60)</f>
        <v>2.8322800000000004</v>
      </c>
      <c r="Y55" s="136" t="s">
        <v>11</v>
      </c>
      <c r="Z55" s="185">
        <f>IF($X$55="N/A",
           "N/A",
             $X$55*196.85)</f>
        <v>557.5343180000001</v>
      </c>
      <c r="AA55" s="136" t="s">
        <v>276</v>
      </c>
      <c r="AB55" s="17"/>
    </row>
    <row r="56" spans="1:28" ht="33" thickBo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V56" s="237"/>
      <c r="W56" s="154" t="s">
        <v>290</v>
      </c>
      <c r="X56" s="183">
        <f>IF(OR($X$59=0,$X$59="N/A"),
         "N/A",
         IF(Input!$D$12/$X$59*4&lt;0.25,
              0.5,
              MROUND(Input!$D$12/$X$59*4,0.5)))</f>
        <v>2</v>
      </c>
      <c r="Y56" s="137" t="s">
        <v>301</v>
      </c>
      <c r="Z56" s="186">
        <f>$X$56</f>
        <v>2</v>
      </c>
      <c r="AA56" s="94" t="s">
        <v>301</v>
      </c>
      <c r="AB56" s="17"/>
    </row>
    <row r="57" spans="1:28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V57" s="17"/>
      <c r="W57" s="159" t="s">
        <v>249</v>
      </c>
      <c r="X57" s="159">
        <v>0.5</v>
      </c>
      <c r="Y57" s="159"/>
      <c r="Z57" s="159"/>
      <c r="AA57" s="159"/>
      <c r="AB57" s="17"/>
    </row>
    <row r="58" spans="1:2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V58" s="17"/>
      <c r="W58" s="159" t="s">
        <v>287</v>
      </c>
      <c r="X58" s="159">
        <f>IF(AND($B$45=0,$B$44="N/A"),
          "N/A",
             IF($B$45=0,
IF($X$57*(10.74*(VLOOKUP($B$44,$B$48:$N$55,3,FALSE)/25.4)^2*$X$49*(Input!$D$14/1000)/Input!$D$15)&gt;=20000,1,IF($X$57*(10.74*(VLOOKUP($B$44,$B$48:$N$55,3,FALSE)/25.4)^2*$X$49*(Input!$D$14/1000)/Input!$D$15)&gt;=300,EXP(-5.328+1.683*LN($X$57*(10.74*(VLOOKUP($B$44,$B$48:$N$55,3,FALSE)/25.4)^2*$X$49*(Input!$D$14/1000)/Input!$D$15))-0.179*LN($X$57*(10.74*(VLOOKUP($B$44,$B$48:$N$55,3,FALSE)/25.4)^2*$X$49*(Input!$D$14/1000)/Input!$D$15))^2+0.0064*LN($X$57*(10.74*(VLOOKUP($B$44,$B$48:$N$55,3,FALSE)/25.4)^2*$X$49*(Input!$D$14/1000)/Input!$D$15))^3),IF($X$57*(10.74*(VLOOKUP($B$44,$B$48:$N$55,3,FALSE)/25.4)^2*$X$49*(Input!$D$14/1000)/Input!$D$15)&gt;25,EXP(-0.563-0.231*LN($X$57*(10.74*(VLOOKUP($B$44,$B$48:$N$55,3,FALSE)/25.4)^2*$X$49*(Input!$D$14/1000)/Input!$D$15))+0.0466*LN($X$57*(10.74*(VLOOKUP($B$44,$B$48:$N$55,3,FALSE)/25.4)^2*$X$49*(Input!$D$14/1000)/Input!$D$15))^2),0.439)))*VLOOKUP($B$44,$B$48:$N$55,13,FALSE)*$X$49*(VLOOKUP($B$44,$B$48:$N$55,3,FALSE)^3/1000000),
IF($X$57*(10.74*(VLOOKUP($B$45,$B$48:$N$55,3,FALSE)/25.4)^2*$X$49*(Input!$D$14/1000)/Input!$D$15)&gt;=20000,1,IF($X$57*(10.74*(VLOOKUP($B$45,$B$48:$N$55,3,FALSE)/25.4)^2*$X$49*(Input!$D$14/1000)/Input!$D$15)&gt;=300,EXP(-5.328+1.683*LN($X$57*(10.74*(VLOOKUP($B$45,$B$48:$N$55,3,FALSE)/25.4)^2*$X$49*(Input!$D$14/1000)/Input!$D$15))-0.179*LN($X$57*(10.74*(VLOOKUP($B$45,$B$48:$N$55,3,FALSE)/25.4)^2*$X$49*(Input!$D$14/1000)/Input!$D$15))^2+0.0064*LN($X$57*(10.74*(VLOOKUP($B$45,$B$48:$N$55,3,FALSE)/25.4)^2*$X$49*(Input!$D$14/1000)/Input!$D$15))^3),IF($X$57*(10.74*(VLOOKUP($B$45,$B$48:$N$55,3,FALSE)/25.4)^2*$X$49*(Input!$D$14/1000)/Input!$D$15)&gt;25,EXP(-0.563-0.231*LN($X$57*(10.74*(VLOOKUP($B$45,$B$48:$N$55,3,FALSE)/25.4)^2*$X$49*(Input!$D$14/1000)/Input!$D$15))+0.0466*LN($X$57*(10.74*(VLOOKUP($B$45,$B$48:$N$55,3,FALSE)/25.4)^2*$X$49*(Input!$D$14/1000)/Input!$D$15))^2),0.439)))*VLOOKUP($B$45,$B$48:$N$55,13,FALSE)*$X$49*(VLOOKUP($B$45,$B$48:$N$55,3,FALSE)^3/1000000)))</f>
        <v>1702.121910487072</v>
      </c>
      <c r="Y58" s="159"/>
      <c r="Z58" s="159"/>
      <c r="AA58" s="159"/>
      <c r="AB58" s="17"/>
    </row>
    <row r="59" spans="1:28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V59" s="17"/>
      <c r="W59" s="159" t="s">
        <v>288</v>
      </c>
      <c r="X59" s="159">
        <f>IF(AND($B$45=0,$B$44="N/A"),
          "N/A",
             IF($B$45=0,
IF($X$57*(10.74*(VLOOKUP($B$44,$B$48:$N$55,3,FALSE)/25.4)^2*$X$53*(Input!$D$14/1000)/Input!$D$15)&gt;=20000,1,IF($X$57*(10.74*(VLOOKUP($B$44,$B$48:$N$55,3,FALSE)/25.4)^2*$X$53*(Input!$D$14/1000)/Input!$D$15)&gt;=300,EXP(-5.328+1.683*LN($X$57*(10.74*(VLOOKUP($B$44,$B$48:$N$55,3,FALSE)/25.4)^2*$X$53*(Input!$D$14/1000)/Input!$D$15))-0.179*LN($X$57*(10.74*(VLOOKUP($B$44,$B$48:$N$55,3,FALSE)/25.4)^2*$X$53*(Input!$D$14/1000)/Input!$D$15))^2+0.0064*LN($X$57*(10.74*(VLOOKUP($B$44,$B$48:$N$55,3,FALSE)/25.4)^2*$X$53*(Input!$D$14/1000)/Input!$D$15))^3),IF($X$57*(10.74*(VLOOKUP($B$44,$B$48:$N$55,3,FALSE)/25.4)^2*$X$53*(Input!$D$14/1000)/Input!$D$15)&gt;25,EXP(-0.563-0.231*LN($X$57*(10.74*(VLOOKUP($B$44,$B$48:$N$55,3,FALSE)/25.4)^2*$X$53*(Input!$D$14/1000)/Input!$D$15))+0.0466*LN($X$57*(10.74*(VLOOKUP($B$44,$B$48:$N$55,3,FALSE)/25.4)^2*$X$53*(Input!$D$14/1000)/Input!$D$15))^2),0.439)))*VLOOKUP($B$44,$B$48:$N$55,13,FALSE)*$X$53*(VLOOKUP($B$44,$B$48:$N$55,3,FALSE)^3/1000000),
IF($X$57*(10.74*(VLOOKUP($B$45,$B$48:$N$55,3,FALSE)/25.4)^2*$X$53*(Input!$D$14/1000)/Input!$D$15)&gt;=20000,1,IF($X$57*(10.74*(VLOOKUP($B$45,$B$48:$N$55,3,FALSE)/25.4)^2*$X$53*(Input!$D$14/1000)/Input!$D$15)&gt;=300,EXP(-5.328+1.683*LN($X$57*(10.74*(VLOOKUP($B$45,$B$48:$N$55,3,FALSE)/25.4)^2*$X$53*(Input!$D$14/1000)/Input!$D$15))-0.179*LN($X$57*(10.74*(VLOOKUP($B$45,$B$48:$N$55,3,FALSE)/25.4)^2*$X$53*(Input!$D$14/1000)/Input!$D$15))^2+0.0064*LN($X$57*(10.74*(VLOOKUP($B$45,$B$48:$N$55,3,FALSE)/25.4)^2*$X$53*(Input!$D$14/1000)/Input!$D$15))^3),IF($X$57*(10.74*(VLOOKUP($B$45,$B$48:$N$55,3,FALSE)/25.4)^2*$X$53*(Input!$D$14/1000)/Input!$D$15)&gt;25,EXP(-0.563-0.231*LN($X$57*(10.74*(VLOOKUP($B$45,$B$48:$N$55,3,FALSE)/25.4)^2*$X$53*(Input!$D$14/1000)/Input!$D$15))+0.0466*LN($X$57*(10.74*(VLOOKUP($B$45,$B$48:$N$55,3,FALSE)/25.4)^2*$X$53*(Input!$D$14/1000)/Input!$D$15))^2),0.439)))*VLOOKUP($B$45,$B$48:$N$55,13,FALSE)*$X$53*(VLOOKUP($B$45,$B$48:$N$55,3,FALSE)^3/1000000)))</f>
        <v>1702.121910487072</v>
      </c>
      <c r="Y59" s="159"/>
      <c r="Z59" s="159"/>
      <c r="AA59" s="159"/>
      <c r="AB59" s="17"/>
    </row>
    <row r="60" spans="1:28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V60" s="17"/>
      <c r="W60" s="17"/>
      <c r="X60" s="17"/>
      <c r="Y60" s="17"/>
      <c r="Z60" s="17"/>
      <c r="AA60" s="17"/>
      <c r="AB60" s="17"/>
    </row>
    <row r="61" spans="1:28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V61" s="17"/>
      <c r="W61" s="85"/>
      <c r="X61" s="238" t="s">
        <v>279</v>
      </c>
      <c r="Y61" s="238"/>
      <c r="Z61" s="17"/>
      <c r="AA61" s="17"/>
      <c r="AB61" s="17"/>
    </row>
    <row r="62" spans="1:28" ht="17" thickBo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V62" s="17"/>
      <c r="W62" s="160" t="str">
        <f>CONCATENATE("Tank Turnovers at ",Input!D15,"cP")</f>
        <v>Tank Turnovers at 10cP</v>
      </c>
      <c r="X62" s="133" t="s">
        <v>286</v>
      </c>
      <c r="Y62" s="135" t="s">
        <v>281</v>
      </c>
      <c r="Z62" s="135"/>
      <c r="AA62" s="17"/>
      <c r="AB62" s="17"/>
    </row>
    <row r="63" spans="1:28">
      <c r="A63" s="17"/>
      <c r="B63" s="17"/>
      <c r="C63" s="17"/>
      <c r="D63" s="17"/>
      <c r="E63" s="17"/>
      <c r="F63" s="17"/>
      <c r="G63" s="17"/>
      <c r="H63" s="17"/>
      <c r="I63" s="87"/>
      <c r="J63" s="17"/>
      <c r="K63" s="88"/>
      <c r="L63" s="17"/>
      <c r="M63" s="17"/>
      <c r="N63" s="17"/>
      <c r="O63" s="17"/>
      <c r="P63" s="17"/>
      <c r="V63" s="17"/>
      <c r="W63" s="161">
        <v>0</v>
      </c>
      <c r="X63" s="162">
        <f>IF(OR($X$58=0,$X$58="N/A"),
           "N/A",
             Input!$D$12/$X$58*$W63)</f>
        <v>0</v>
      </c>
      <c r="Y63" s="189">
        <f>IF(OR($X$59=0,$X$59="N/A"),
           "N/A",
              Input!$D$12/$X$59*$W63)</f>
        <v>0</v>
      </c>
      <c r="Z63" s="88"/>
      <c r="AA63" s="17"/>
      <c r="AB63" s="17"/>
    </row>
    <row r="64" spans="1:28">
      <c r="A64" s="17"/>
      <c r="B64" s="17"/>
      <c r="C64" s="17"/>
      <c r="D64" s="17"/>
      <c r="E64" s="17"/>
      <c r="F64" s="17"/>
      <c r="G64" s="17"/>
      <c r="H64" s="17"/>
      <c r="I64" s="86"/>
      <c r="J64" s="17"/>
      <c r="K64" s="46"/>
      <c r="L64" s="17"/>
      <c r="M64" s="17"/>
      <c r="N64" s="17"/>
      <c r="O64" s="17"/>
      <c r="P64" s="17"/>
      <c r="V64" s="17"/>
      <c r="W64" s="161">
        <v>1</v>
      </c>
      <c r="X64" s="162">
        <f>IF(OR($X$58=0,$X$58="N/A"),
           "N/A",
             Input!$D$12/$X$58*$W64)</f>
        <v>0.52875178590613392</v>
      </c>
      <c r="Y64" s="189">
        <f>IF(OR($X$59=0,$X$59="N/A"),
           "N/A",
              Input!$D$12/$X$59*$W64)</f>
        <v>0.52875178590613392</v>
      </c>
      <c r="Z64" s="46"/>
      <c r="AA64" s="17"/>
      <c r="AB64" s="17"/>
    </row>
    <row r="65" spans="1:28">
      <c r="A65" s="17"/>
      <c r="B65" s="17"/>
      <c r="C65" s="17"/>
      <c r="D65" s="17"/>
      <c r="E65" s="17"/>
      <c r="F65" s="17"/>
      <c r="G65" s="17"/>
      <c r="H65" s="17"/>
      <c r="I65" s="46"/>
      <c r="J65" s="17"/>
      <c r="K65" s="17"/>
      <c r="L65" s="17"/>
      <c r="M65" s="17"/>
      <c r="N65" s="17"/>
      <c r="O65" s="17"/>
      <c r="P65" s="17"/>
      <c r="V65" s="17"/>
      <c r="W65" s="161">
        <v>2</v>
      </c>
      <c r="X65" s="162">
        <f>IF(OR($X$58=0,$X$58="N/A"),
           "N/A",
             Input!$D$12/$X$58*$W65)</f>
        <v>1.0575035718122678</v>
      </c>
      <c r="Y65" s="189">
        <f>IF(OR($X$59=0,$X$59="N/A"),
           "N/A",
              Input!$D$12/$X$59*$W65)</f>
        <v>1.0575035718122678</v>
      </c>
      <c r="Z65" s="17"/>
      <c r="AA65" s="17"/>
      <c r="AB65" s="17"/>
    </row>
    <row r="66" spans="1:28">
      <c r="A66" s="17"/>
      <c r="B66" s="17"/>
      <c r="C66" s="17"/>
      <c r="D66" s="17"/>
      <c r="E66" s="17"/>
      <c r="F66" s="17"/>
      <c r="G66" s="17"/>
      <c r="H66" s="17"/>
      <c r="I66" s="87"/>
      <c r="J66" s="17"/>
      <c r="K66" s="165"/>
      <c r="L66" s="17"/>
      <c r="M66" s="17"/>
      <c r="N66" s="17"/>
      <c r="O66" s="17"/>
      <c r="P66" s="17"/>
      <c r="V66" s="17"/>
      <c r="W66" s="161">
        <v>3</v>
      </c>
      <c r="X66" s="162">
        <f>IF(OR($X$58=0,$X$58="N/A"),
           "N/A",
             Input!$D$12/$X$58*$W66)</f>
        <v>1.5862553577184018</v>
      </c>
      <c r="Y66" s="189">
        <f>IF(OR($X$59=0,$X$59="N/A"),
           "N/A",
              Input!$D$12/$X$59*$W66)</f>
        <v>1.5862553577184018</v>
      </c>
      <c r="Z66" s="88"/>
      <c r="AA66" s="17"/>
      <c r="AB66" s="17"/>
    </row>
    <row r="67" spans="1:28">
      <c r="A67" s="17"/>
      <c r="B67" s="17"/>
      <c r="C67" s="17"/>
      <c r="D67" s="17"/>
      <c r="E67" s="17"/>
      <c r="F67" s="17"/>
      <c r="G67" s="17"/>
      <c r="H67" s="17"/>
      <c r="I67" s="86"/>
      <c r="J67" s="17"/>
      <c r="K67" s="46"/>
      <c r="L67" s="17"/>
      <c r="M67" s="17"/>
      <c r="N67" s="17"/>
      <c r="O67" s="17"/>
      <c r="P67" s="17"/>
      <c r="V67" s="17"/>
      <c r="W67" s="161">
        <v>4</v>
      </c>
      <c r="X67" s="162">
        <f>IF(OR($X$58=0,$X$58="N/A"),
           "N/A",
             Input!$D$12/$X$58*$W67)</f>
        <v>2.1150071436245357</v>
      </c>
      <c r="Y67" s="189">
        <f>IF(OR($X$59=0,$X$59="N/A"),
           "N/A",
              Input!$D$12/$X$59*$W67)</f>
        <v>2.1150071436245357</v>
      </c>
      <c r="Z67" s="46"/>
      <c r="AA67" s="17"/>
      <c r="AB67" s="17"/>
    </row>
    <row r="68" spans="1:2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V68" s="17"/>
      <c r="W68" s="161">
        <v>5</v>
      </c>
      <c r="X68" s="162">
        <f>IF(OR($X$58=0,$X$58="N/A"),
           "N/A",
             Input!$D$12/$X$58*$W68)</f>
        <v>2.6437589295306694</v>
      </c>
      <c r="Y68" s="189">
        <f>IF(OR($X$59=0,$X$59="N/A"),
           "N/A",
              Input!$D$12/$X$59*$W68)</f>
        <v>2.6437589295306694</v>
      </c>
      <c r="Z68" s="17"/>
      <c r="AA68" s="17"/>
      <c r="AB68" s="17"/>
    </row>
    <row r="69" spans="1:28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V69" s="17"/>
      <c r="W69" s="161">
        <v>6</v>
      </c>
      <c r="X69" s="162">
        <f>IF(OR($X$58=0,$X$58="N/A"),
           "N/A",
             Input!$D$12/$X$58*$W69)</f>
        <v>3.1725107154368035</v>
      </c>
      <c r="Y69" s="189">
        <f>IF(OR($X$59=0,$X$59="N/A"),
           "N/A",
              Input!$D$12/$X$59*$W69)</f>
        <v>3.1725107154368035</v>
      </c>
      <c r="Z69" s="17"/>
      <c r="AA69" s="17"/>
      <c r="AB69" s="17"/>
    </row>
    <row r="70" spans="1:28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V70" s="17"/>
      <c r="W70" s="161">
        <v>7</v>
      </c>
      <c r="X70" s="162">
        <f>IF(OR($X$58=0,$X$58="N/A"),
           "N/A",
             Input!$D$12/$X$58*$W70)</f>
        <v>3.7012625013429377</v>
      </c>
      <c r="Y70" s="189">
        <f>IF(OR($X$59=0,$X$59="N/A"),
           "N/A",
              Input!$D$12/$X$59*$W70)</f>
        <v>3.7012625013429377</v>
      </c>
      <c r="Z70" s="17"/>
      <c r="AA70" s="17"/>
      <c r="AB70" s="17"/>
    </row>
    <row r="71" spans="1:28">
      <c r="A71" s="17"/>
      <c r="B71" s="17"/>
      <c r="C71" s="17"/>
      <c r="D71" s="17"/>
      <c r="E71" s="17"/>
      <c r="F71" s="17"/>
      <c r="G71" s="17"/>
      <c r="H71" s="17"/>
      <c r="I71" s="87"/>
      <c r="J71" s="17"/>
      <c r="K71" s="88"/>
      <c r="L71" s="17"/>
      <c r="M71" s="17"/>
      <c r="N71" s="17"/>
      <c r="O71" s="17"/>
      <c r="P71" s="17"/>
      <c r="V71" s="17"/>
      <c r="W71" s="161">
        <v>8</v>
      </c>
      <c r="X71" s="162">
        <f>IF(OR($X$58=0,$X$58="N/A"),
           "N/A",
             Input!$D$12/$X$58*$W71)</f>
        <v>4.2300142872490714</v>
      </c>
      <c r="Y71" s="189">
        <f>IF(OR($X$59=0,$X$59="N/A"),
           "N/A",
              Input!$D$12/$X$59*$W71)</f>
        <v>4.2300142872490714</v>
      </c>
      <c r="Z71" s="17"/>
      <c r="AA71" s="17"/>
      <c r="AB71" s="17"/>
    </row>
    <row r="72" spans="1:28">
      <c r="A72" s="17"/>
      <c r="B72" s="17"/>
      <c r="C72" s="17"/>
      <c r="D72" s="17"/>
      <c r="E72" s="17"/>
      <c r="F72" s="17"/>
      <c r="G72" s="17"/>
      <c r="H72" s="17"/>
      <c r="I72" s="86"/>
      <c r="J72" s="17"/>
      <c r="K72" s="46"/>
      <c r="L72" s="17"/>
      <c r="M72" s="17"/>
      <c r="N72" s="17"/>
      <c r="O72" s="17"/>
      <c r="P72" s="17"/>
      <c r="V72" s="17"/>
      <c r="W72" s="161">
        <v>9</v>
      </c>
      <c r="X72" s="162">
        <f>IF(OR($X$58=0,$X$58="N/A"),
           "N/A",
             Input!$D$12/$X$58*$W72)</f>
        <v>4.7587660731552051</v>
      </c>
      <c r="Y72" s="189">
        <f>IF(OR($X$59=0,$X$59="N/A"),
           "N/A",
              Input!$D$12/$X$59*$W72)</f>
        <v>4.7587660731552051</v>
      </c>
      <c r="Z72" s="17"/>
      <c r="AA72" s="17"/>
      <c r="AB72" s="17"/>
    </row>
    <row r="73" spans="1:28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V73" s="17"/>
      <c r="W73" s="161">
        <v>10</v>
      </c>
      <c r="X73" s="162">
        <f>IF(OR($X$58=0,$X$58="N/A"),
           "N/A",
             Input!$D$12/$X$58*$W73)</f>
        <v>5.2875178590613388</v>
      </c>
      <c r="Y73" s="189">
        <f>IF(OR($X$59=0,$X$59="N/A"),
           "N/A",
              Input!$D$12/$X$59*$W73)</f>
        <v>5.2875178590613388</v>
      </c>
      <c r="Z73" s="17"/>
      <c r="AA73" s="17"/>
      <c r="AB73" s="17"/>
    </row>
    <row r="74" spans="1:28">
      <c r="A74" s="17"/>
      <c r="B74" s="17"/>
      <c r="C74" s="17"/>
      <c r="D74" s="17"/>
      <c r="E74" s="17"/>
      <c r="F74" s="17"/>
      <c r="G74" s="17"/>
      <c r="H74" s="17"/>
      <c r="I74" s="88"/>
      <c r="J74" s="17"/>
      <c r="K74" s="88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spans="1:28">
      <c r="I75" s="83"/>
      <c r="K75" s="82"/>
    </row>
    <row r="79" spans="1:28">
      <c r="I79" s="166"/>
      <c r="K79" s="82"/>
    </row>
    <row r="80" spans="1:28">
      <c r="I80" s="79"/>
      <c r="K80" s="83"/>
    </row>
    <row r="82" spans="9:11">
      <c r="I82" s="83"/>
      <c r="K82" s="83"/>
    </row>
  </sheetData>
  <sortState xmlns:xlrd2="http://schemas.microsoft.com/office/spreadsheetml/2017/richdata2" ref="D6:D40">
    <sortCondition descending="1" ref="D6:D40"/>
  </sortState>
  <mergeCells count="5">
    <mergeCell ref="B2:C2"/>
    <mergeCell ref="D2:E2"/>
    <mergeCell ref="V48:V52"/>
    <mergeCell ref="V53:V56"/>
    <mergeCell ref="X61:Y61"/>
  </mergeCells>
  <conditionalFormatting sqref="B52">
    <cfRule type="expression" dxfId="9" priority="1">
      <formula>$B$23=$B$2</formula>
    </cfRule>
  </conditionalFormatting>
  <conditionalFormatting sqref="C48 H48:J48 H49:H53">
    <cfRule type="expression" dxfId="8" priority="9">
      <formula>$B$13=$B$2</formula>
    </cfRule>
  </conditionalFormatting>
  <conditionalFormatting sqref="C50 I50:J50">
    <cfRule type="expression" dxfId="7" priority="6">
      <formula>$B$17=$B$2</formula>
    </cfRule>
  </conditionalFormatting>
  <conditionalFormatting sqref="C52 I52:J52">
    <cfRule type="expression" dxfId="6" priority="3">
      <formula>$B$21=$B$2</formula>
    </cfRule>
  </conditionalFormatting>
  <conditionalFormatting sqref="F48">
    <cfRule type="expression" dxfId="5" priority="8">
      <formula>$B$11=$B$2</formula>
    </cfRule>
  </conditionalFormatting>
  <conditionalFormatting sqref="F50">
    <cfRule type="expression" dxfId="4" priority="5">
      <formula>$B$11=$B$2</formula>
    </cfRule>
  </conditionalFormatting>
  <conditionalFormatting sqref="F52">
    <cfRule type="expression" dxfId="3" priority="2">
      <formula>$B$11=$B$2</formula>
    </cfRule>
  </conditionalFormatting>
  <conditionalFormatting sqref="J48">
    <cfRule type="expression" dxfId="2" priority="10">
      <formula>$J$14&lt;$J$13</formula>
    </cfRule>
  </conditionalFormatting>
  <conditionalFormatting sqref="J50">
    <cfRule type="expression" dxfId="1" priority="7">
      <formula>$J$18&lt;$J$17</formula>
    </cfRule>
  </conditionalFormatting>
  <conditionalFormatting sqref="J52">
    <cfRule type="expression" dxfId="0" priority="4">
      <formula>$J$22&lt;$J$21</formula>
    </cfRule>
  </conditionalFormatting>
  <dataValidations count="1">
    <dataValidation type="list" allowBlank="1" showInputMessage="1" showErrorMessage="1" sqref="B2:E2" xr:uid="{031B44D5-F858-41BA-B828-A236963FDC25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A202-F8E5-4FA8-B9F1-B532074FA162}">
  <sheetPr>
    <tabColor theme="7" tint="0.39997558519241921"/>
  </sheetPr>
  <dimension ref="A1:U43"/>
  <sheetViews>
    <sheetView topLeftCell="A3" workbookViewId="0">
      <selection activeCell="B15" sqref="B15"/>
    </sheetView>
  </sheetViews>
  <sheetFormatPr baseColWidth="10" defaultColWidth="8.83203125" defaultRowHeight="15"/>
  <cols>
    <col min="1" max="1" width="17" customWidth="1"/>
    <col min="2" max="2" width="25.1640625" customWidth="1"/>
    <col min="3" max="3" width="13.5" customWidth="1"/>
    <col min="4" max="4" width="9.5" customWidth="1"/>
    <col min="5" max="5" width="107.1640625" customWidth="1"/>
    <col min="6" max="6" width="13.33203125" customWidth="1"/>
    <col min="7" max="7" width="19.1640625" customWidth="1"/>
    <col min="9" max="9" width="9.6640625" customWidth="1"/>
  </cols>
  <sheetData>
    <row r="1" spans="1:21" ht="19">
      <c r="A1" s="109" t="s">
        <v>166</v>
      </c>
      <c r="B1" s="109"/>
      <c r="C1" s="109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</row>
    <row r="2" spans="1:21" ht="16">
      <c r="A2" s="107" t="s">
        <v>16</v>
      </c>
      <c r="B2" s="107"/>
      <c r="C2" s="107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</row>
    <row r="3" spans="1:21" ht="32">
      <c r="A3" t="s">
        <v>378</v>
      </c>
      <c r="B3" s="53" t="str">
        <f>'Vessel Dish Type List'!B2</f>
        <v>Torispherical acc. to DIN 28011 (SMS2634, Kloepper)</v>
      </c>
      <c r="D3" s="7"/>
      <c r="E3" s="7"/>
      <c r="F3" s="211" t="s">
        <v>321</v>
      </c>
      <c r="G3" s="211"/>
      <c r="H3" s="7"/>
      <c r="J3" t="s">
        <v>380</v>
      </c>
      <c r="K3" t="s">
        <v>326</v>
      </c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33">
      <c r="A4" s="4" t="s">
        <v>13</v>
      </c>
      <c r="B4" s="5">
        <f>Input!$D$12</f>
        <v>900</v>
      </c>
      <c r="C4" s="6" t="s">
        <v>12</v>
      </c>
      <c r="D4" s="7"/>
      <c r="E4" s="7"/>
      <c r="F4" s="196" t="s">
        <v>315</v>
      </c>
      <c r="G4" s="3">
        <f>IF(Input!$D$10=0,5,Input!$D$10)</f>
        <v>5</v>
      </c>
      <c r="H4" s="7"/>
      <c r="I4" s="3" t="s">
        <v>376</v>
      </c>
      <c r="J4" s="93">
        <f>Tabell2[[#This Row],[Vol dish]]</f>
        <v>5.1152913019600001</v>
      </c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33">
      <c r="A5" s="8" t="s">
        <v>1</v>
      </c>
      <c r="B5" s="9">
        <f>Input!$D$9</f>
        <v>406</v>
      </c>
      <c r="C5" s="10" t="s">
        <v>7</v>
      </c>
      <c r="D5" s="11"/>
      <c r="E5" s="11"/>
      <c r="F5" s="196" t="s">
        <v>318</v>
      </c>
      <c r="G5" s="3">
        <f>'Vessel Dish Type List'!$D$2</f>
        <v>406</v>
      </c>
      <c r="H5" s="11"/>
      <c r="I5" s="3" t="s">
        <v>331</v>
      </c>
      <c r="J5" s="93" t="e">
        <f>$B$7-SQRT(($B$7)^2-($B$11)^2)</f>
        <v>#VALUE!</v>
      </c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ht="19">
      <c r="A6" s="8" t="s">
        <v>382</v>
      </c>
      <c r="B6" s="9">
        <f>$B$5/2</f>
        <v>203</v>
      </c>
      <c r="C6" s="10" t="s">
        <v>7</v>
      </c>
      <c r="D6" s="11"/>
      <c r="E6" s="11"/>
      <c r="F6" s="196"/>
      <c r="G6" s="3"/>
      <c r="H6" s="11"/>
      <c r="I6" s="3"/>
      <c r="J6" s="93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ht="19">
      <c r="A7" s="8" t="s">
        <v>15</v>
      </c>
      <c r="B7" s="9">
        <f>IF(Input!$D$10=0,5,Input!$D$10)</f>
        <v>5</v>
      </c>
      <c r="C7" s="1" t="s">
        <v>7</v>
      </c>
      <c r="F7" s="196" t="s">
        <v>330</v>
      </c>
      <c r="G7" s="3" t="e">
        <f>$B$3/2</f>
        <v>#VALUE!</v>
      </c>
      <c r="I7" s="3" t="s">
        <v>339</v>
      </c>
      <c r="J7" s="37" t="e">
        <f>ASIN(($B$11/2)/$B$7)*(180/PI())</f>
        <v>#VALUE!</v>
      </c>
      <c r="N7" s="82"/>
      <c r="O7" s="83"/>
      <c r="Q7" s="12"/>
      <c r="R7" s="13"/>
      <c r="S7" s="111"/>
      <c r="U7" s="12"/>
    </row>
    <row r="8" spans="1:21" ht="19">
      <c r="A8" s="8" t="s">
        <v>383</v>
      </c>
      <c r="B8" s="9">
        <f>VLOOKUP($B$3,Tabell2[[Dish Head Type]:[Vol dish]],3,FALSE)</f>
        <v>406</v>
      </c>
      <c r="C8" s="1" t="s">
        <v>7</v>
      </c>
      <c r="F8" s="196"/>
      <c r="G8" s="3"/>
      <c r="I8" s="3"/>
      <c r="J8" s="37"/>
      <c r="N8" s="82"/>
      <c r="O8" s="83"/>
      <c r="Q8" s="12"/>
      <c r="R8" s="13"/>
      <c r="S8" s="111"/>
      <c r="U8" s="12"/>
    </row>
    <row r="9" spans="1:21" ht="33">
      <c r="A9" s="8"/>
      <c r="B9" s="14"/>
      <c r="C9" s="1"/>
      <c r="F9" s="196" t="s">
        <v>317</v>
      </c>
      <c r="G9" s="3">
        <f>'Vessel Dish Type List'!$C$2</f>
        <v>416</v>
      </c>
      <c r="I9" s="3" t="s">
        <v>343</v>
      </c>
      <c r="J9" s="37" t="e">
        <f>ASIN($B$16/$B$7)*(180/PI())</f>
        <v>#NUM!</v>
      </c>
      <c r="N9" s="12"/>
      <c r="O9" s="12"/>
      <c r="Q9" s="12"/>
      <c r="R9" s="13"/>
      <c r="S9" s="12"/>
      <c r="U9" s="12"/>
    </row>
    <row r="10" spans="1:21" ht="33">
      <c r="A10" s="96" t="s">
        <v>121</v>
      </c>
      <c r="B10" s="14" t="str">
        <f>IF($B$5&lt;1000,
CONCATENATE(ROUNDUP(0.22167*$B$5,0),"mm"),
CONCATENATE(ROUNDUP(0.133002*$B$5,0), "mm - ",ROUNDUP(0.22167*$B$5,0),"mm"))</f>
        <v>90mm</v>
      </c>
      <c r="C10" s="1"/>
      <c r="D10" s="14"/>
      <c r="F10" s="196" t="s">
        <v>305</v>
      </c>
      <c r="G10" s="3">
        <f>'Vessel Dish Type List'!$E$2</f>
        <v>416</v>
      </c>
      <c r="I10" s="3" t="s">
        <v>340</v>
      </c>
      <c r="J10" s="37">
        <f>$B$7*(1-COS($E$5*PI()/180))</f>
        <v>0</v>
      </c>
      <c r="N10" s="12"/>
      <c r="O10" s="12"/>
      <c r="Q10" s="12"/>
      <c r="R10" s="13"/>
      <c r="S10" s="12"/>
      <c r="U10" s="12"/>
    </row>
    <row r="11" spans="1:21" ht="49">
      <c r="A11" s="96" t="s">
        <v>291</v>
      </c>
      <c r="B11" s="14" t="str">
        <f>IF($B$5&lt;1000,
CONCATENATE(ROUNDUP(0.22167*$B$5/25.4,1)," in"),
CONCATENATE(SUBSTITUTE(ROUNDUP(0.133002*$B$5/25.4,1),",",".",1), " in - ",SUBSTITUTE(ROUNDUP(0.22167*$B$5/25.4,1),",",".",1)," in"))</f>
        <v>3,6 in</v>
      </c>
      <c r="C11" s="1"/>
      <c r="F11" s="196" t="s">
        <v>319</v>
      </c>
      <c r="G11" s="3">
        <f>'Vessel Dish Type List'!$F$2</f>
        <v>41.6</v>
      </c>
      <c r="I11" s="3" t="s">
        <v>332</v>
      </c>
      <c r="J11" s="3">
        <f>ATAN($B$17/($B$7-$E$7-$B$18))*(180/PI())</f>
        <v>0</v>
      </c>
      <c r="K11" s="3">
        <f>ATAN($B$21/($B$7-$E$7-$B$20))*(180/PI())</f>
        <v>-20.343584393230763</v>
      </c>
      <c r="N11" s="12"/>
      <c r="O11" s="12"/>
      <c r="Q11" s="12"/>
      <c r="R11" s="13"/>
      <c r="S11" s="12"/>
      <c r="U11" s="12"/>
    </row>
    <row r="12" spans="1:21" ht="33">
      <c r="A12" s="96" t="s">
        <v>159</v>
      </c>
      <c r="B12" s="108">
        <f>VLOOKUP($B$3,Tabell2[[Dish Head Type]:[Vol dish]],7,FALSE)</f>
        <v>6.6242804859279998</v>
      </c>
      <c r="C12" s="1" t="s">
        <v>12</v>
      </c>
      <c r="F12" s="196" t="s">
        <v>320</v>
      </c>
      <c r="G12" s="93">
        <f>'Vessel Dish Type List'!$G$2</f>
        <v>78.221000000000004</v>
      </c>
      <c r="I12" s="3" t="s">
        <v>333</v>
      </c>
      <c r="J12" s="3">
        <f>SQRT(($B$7-$E$7-$B$18)^2+($B$17)^2)</f>
        <v>5</v>
      </c>
      <c r="K12" s="3">
        <f>SQRT(($B$7-$E$7-$B$20)^2+($B$21)^2)</f>
        <v>1167.8445958260029</v>
      </c>
      <c r="N12" s="12"/>
      <c r="O12" s="12"/>
      <c r="Q12" s="12"/>
      <c r="R12" s="13"/>
      <c r="S12" s="12"/>
      <c r="U12" s="12"/>
    </row>
    <row r="13" spans="1:21" ht="19">
      <c r="A13" s="96" t="s">
        <v>6</v>
      </c>
      <c r="B13" s="97">
        <f>VLOOKUP($B$3,Tabell2[[Dish Head Type]:[Vol dish]],6,FALSE)</f>
        <v>78.221000000000004</v>
      </c>
      <c r="C13" s="1" t="s">
        <v>7</v>
      </c>
      <c r="F13" s="196" t="s">
        <v>329</v>
      </c>
      <c r="G13" s="93">
        <f>($B$4-$B$9)*$B$7/($B$7-$B$9)</f>
        <v>900</v>
      </c>
      <c r="I13" s="3" t="s">
        <v>334</v>
      </c>
      <c r="J13" s="3">
        <f>$E$10*SIN(($E$4+$E$9)*(PI()/180))</f>
        <v>0</v>
      </c>
      <c r="K13" s="3" t="e">
        <f>$F$10*SIN(($E$4+$F$9)*(PI()/180))</f>
        <v>#VALUE!</v>
      </c>
      <c r="N13" s="12"/>
      <c r="O13" s="12"/>
      <c r="Q13" s="12"/>
      <c r="R13" s="13"/>
      <c r="S13" s="12"/>
      <c r="U13" s="12"/>
    </row>
    <row r="14" spans="1:21" ht="19">
      <c r="A14" s="96" t="s">
        <v>160</v>
      </c>
      <c r="B14" s="97">
        <f>$B$4-$B$12</f>
        <v>893.37571951407199</v>
      </c>
      <c r="C14" s="1" t="s">
        <v>12</v>
      </c>
      <c r="F14" s="53"/>
      <c r="I14" s="3" t="s">
        <v>335</v>
      </c>
      <c r="J14" s="3">
        <f>$B$7-SQRT($E$10^2-$E$11^2)</f>
        <v>5</v>
      </c>
      <c r="K14" s="3" t="e">
        <f>$B$7-SQRT($F$10^2-$F$11^2)</f>
        <v>#VALUE!</v>
      </c>
      <c r="N14" s="12"/>
      <c r="O14" s="12"/>
      <c r="Q14" s="12"/>
      <c r="R14" s="13"/>
      <c r="S14" s="12"/>
      <c r="U14" s="12"/>
    </row>
    <row r="15" spans="1:21" ht="20" thickBot="1">
      <c r="A15" s="96" t="s">
        <v>164</v>
      </c>
      <c r="B15" s="97">
        <f>($B$4-(0.1*($B$5/100)^3))/(PI()*(($B$5)/200)^2)*100</f>
        <v>6900.1591660174381</v>
      </c>
      <c r="C15" s="1" t="s">
        <v>7</v>
      </c>
      <c r="F15" s="53"/>
      <c r="N15" s="12"/>
      <c r="O15" s="12"/>
      <c r="Q15" s="12"/>
      <c r="R15" s="13"/>
      <c r="S15" s="12"/>
      <c r="U15" s="12"/>
    </row>
    <row r="16" spans="1:21" ht="33">
      <c r="A16" s="15" t="s">
        <v>14</v>
      </c>
      <c r="B16" s="95">
        <f>($B$13+$B$15)/$B$5</f>
        <v>17.188128487727678</v>
      </c>
      <c r="C16" s="2"/>
      <c r="F16" s="196" t="s">
        <v>322</v>
      </c>
      <c r="G16" s="3"/>
      <c r="I16" s="202" t="s">
        <v>345</v>
      </c>
      <c r="J16" s="202" t="s">
        <v>379</v>
      </c>
    </row>
    <row r="17" spans="1:21" ht="17" thickBot="1">
      <c r="F17" s="196" t="s">
        <v>180</v>
      </c>
      <c r="G17" s="3" t="str">
        <f>Input!$C$33</f>
        <v>ZG10</v>
      </c>
      <c r="I17" s="203" t="e">
        <f>IF($E$12&lt;$E$3,(1/3*PI()*$E$12^2*(3*$B$7-$E$12)/1000000),IF($E$12&lt;$B$10,(1/3*PI()*$E$3^2*(3*$B$7-$E$3)/1000000)+(((PI()*(SQRT($B$9^2-($E$12-$B$10)^2)+$B$4-$B$9)^2*($E$12-$E$3)-$B$11^2*PI()*($E$12-$E$3))/1.4+$B$11^2*PI()*($E$12-$E$3))/1000000),$E$2+(($E$12-$B$10)*PI()*$B$4^2/1000000)))</f>
        <v>#VALUE!</v>
      </c>
      <c r="J17" s="203" t="e">
        <f>IF($F$12&lt;$E$3,(1/3*PI()*$F$12^2*(3*$B$7-$F$12)/1000000),IF($F$12&lt;$B$10,(1/3*PI()*$E$3^2*(3*$B$7-$E$3)/1000000)+(((PI()*(SQRT($B$9^2-($F$12-$B$10)^2)+$B$4-$B$9)^2*($F$12-$E$3)-$B$11^2*PI()*($F$12-$E$3))/1.4+$B$11^2*PI()*($F$12-$E$3))/1000000),$E$2+(($F$12-$B$10)*PI()*$B$4^2/1000000)))</f>
        <v>#VALUE!</v>
      </c>
    </row>
    <row r="18" spans="1:21" ht="16">
      <c r="F18" s="196" t="s">
        <v>337</v>
      </c>
      <c r="G18" s="3" t="e">
        <f>VLOOKUP($B$15,Tabell3[],3,FALSE)</f>
        <v>#N/A</v>
      </c>
    </row>
    <row r="19" spans="1:21" ht="32">
      <c r="A19" s="110" t="s">
        <v>165</v>
      </c>
      <c r="B19" s="110"/>
      <c r="C19" s="110"/>
      <c r="D19" s="110"/>
      <c r="E19" s="110"/>
      <c r="F19" s="196" t="s">
        <v>341</v>
      </c>
      <c r="G19" s="3" t="e">
        <f>VLOOKUP($B$15,Tabell3[],4,FALSE)</f>
        <v>#N/A</v>
      </c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</row>
    <row r="20" spans="1:21" ht="33">
      <c r="A20" s="4" t="s">
        <v>157</v>
      </c>
      <c r="B20" s="5">
        <f>Input!$D$11-$B$4</f>
        <v>1100</v>
      </c>
      <c r="C20" s="6" t="s">
        <v>12</v>
      </c>
      <c r="D20" s="7"/>
      <c r="E20" s="7"/>
      <c r="F20" s="196" t="s">
        <v>342</v>
      </c>
      <c r="G20" s="3" t="e">
        <f>VLOOKUP($B$15,Tabell3[],5,FALSE)</f>
        <v>#N/A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ht="19">
      <c r="A21" s="8" t="s">
        <v>1</v>
      </c>
      <c r="B21" s="9">
        <f>$B$5</f>
        <v>406</v>
      </c>
      <c r="C21" s="10" t="s">
        <v>7</v>
      </c>
      <c r="D21" s="11"/>
      <c r="E21" s="11"/>
      <c r="F21" s="196" t="s">
        <v>325</v>
      </c>
      <c r="G21" s="3" t="e">
        <f>VLOOKUP($B$15,Tabell3[],6,FALSE)</f>
        <v>#N/A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9">
      <c r="A22" s="8" t="s">
        <v>15</v>
      </c>
      <c r="B22" s="9">
        <f>$B$7</f>
        <v>5</v>
      </c>
      <c r="C22" s="1" t="s">
        <v>7</v>
      </c>
      <c r="F22" s="196" t="s">
        <v>328</v>
      </c>
      <c r="G22" s="3" t="e">
        <f>VLOOKUP($B$15,Tabell3[],7,FALSE)</f>
        <v>#N/A</v>
      </c>
      <c r="N22" s="12"/>
      <c r="O22" s="58"/>
      <c r="Q22" s="12"/>
      <c r="R22" s="13"/>
      <c r="S22" s="111"/>
      <c r="U22" s="12"/>
    </row>
    <row r="23" spans="1:21" ht="19">
      <c r="A23" s="8"/>
      <c r="B23" s="14"/>
      <c r="C23" s="1"/>
      <c r="F23" s="53" t="s">
        <v>381</v>
      </c>
      <c r="G23" s="3" t="e">
        <f>VLOOKUP($B$15,Tabell3[],2,FALSE)</f>
        <v>#N/A</v>
      </c>
      <c r="N23" s="12"/>
      <c r="O23" s="12"/>
      <c r="Q23" s="12"/>
      <c r="R23" s="13"/>
      <c r="S23" s="12"/>
      <c r="U23" s="12"/>
    </row>
    <row r="24" spans="1:21" ht="19">
      <c r="A24" s="96" t="s">
        <v>122</v>
      </c>
      <c r="B24" s="97">
        <f>$B$13</f>
        <v>78.221000000000004</v>
      </c>
      <c r="C24" s="1" t="s">
        <v>7</v>
      </c>
      <c r="G24" s="12"/>
      <c r="N24" s="12"/>
      <c r="O24" s="12"/>
      <c r="Q24" s="12"/>
      <c r="R24" s="13"/>
      <c r="S24" s="12"/>
      <c r="U24" s="12"/>
    </row>
    <row r="25" spans="1:21" ht="33">
      <c r="A25" s="96" t="s">
        <v>154</v>
      </c>
      <c r="B25" s="97">
        <f>(Input!$D$11-$B$4)/(PI()*($B$5/200)^2)*100</f>
        <v>8496.7088452078387</v>
      </c>
      <c r="C25" s="1" t="s">
        <v>7</v>
      </c>
      <c r="G25" s="12"/>
      <c r="N25" s="12"/>
      <c r="O25" s="12"/>
      <c r="Q25" s="12"/>
      <c r="R25" s="13"/>
      <c r="S25" s="12"/>
      <c r="U25" s="12"/>
    </row>
    <row r="26" spans="1:21" ht="33">
      <c r="A26" s="96" t="s">
        <v>123</v>
      </c>
      <c r="B26" s="97">
        <f>SUM($B$13,$B$15,$B$24,$B$25)</f>
        <v>15553.310011225276</v>
      </c>
      <c r="C26" s="1" t="s">
        <v>7</v>
      </c>
      <c r="G26" s="12"/>
      <c r="N26" s="12"/>
      <c r="O26" s="12"/>
      <c r="Q26" s="12"/>
      <c r="R26" s="13"/>
      <c r="S26" s="12"/>
      <c r="U26" s="12"/>
    </row>
    <row r="27" spans="1:21" ht="19">
      <c r="A27" s="15"/>
      <c r="B27" s="16"/>
      <c r="C27" s="2"/>
      <c r="E27" s="12"/>
    </row>
    <row r="29" spans="1:21" ht="16">
      <c r="A29" s="110" t="s">
        <v>163</v>
      </c>
      <c r="B29" s="110"/>
      <c r="C29" s="110"/>
      <c r="K29" s="12"/>
    </row>
    <row r="30" spans="1:21" ht="32">
      <c r="A30" s="33" t="s">
        <v>158</v>
      </c>
      <c r="B30" s="42">
        <f>($B$4+$B$20+$B$12)*8</f>
        <v>16052.994243887424</v>
      </c>
      <c r="C30" s="33" t="s">
        <v>162</v>
      </c>
      <c r="F30" s="53"/>
    </row>
    <row r="31" spans="1:21" ht="16">
      <c r="A31" s="33" t="s">
        <v>156</v>
      </c>
      <c r="B31" s="42">
        <f>(PI()*(($B$5+2*$B$7)/200)^2*((($B$26+2*$B$7)-2*(0.1935*($B$5+4*$B$7)-0.455*$B$7))/100)+2*(0.1*(($B$5+2*$B$7)/100)^3))*8</f>
        <v>16863.52685426622</v>
      </c>
      <c r="C31" s="32" t="s">
        <v>162</v>
      </c>
      <c r="F31" s="53"/>
    </row>
    <row r="32" spans="1:21" ht="32">
      <c r="A32" s="33" t="s">
        <v>161</v>
      </c>
      <c r="B32" s="42">
        <f>ROUNDUP($B$31-$B$30,-1)</f>
        <v>820</v>
      </c>
      <c r="C32" s="3" t="s">
        <v>162</v>
      </c>
      <c r="F32" s="53"/>
    </row>
    <row r="33" spans="1:13">
      <c r="F33" s="53"/>
    </row>
    <row r="34" spans="1:13">
      <c r="A34" s="7"/>
      <c r="F34" s="53"/>
      <c r="G34" s="44"/>
      <c r="J34" s="12"/>
      <c r="M34" s="12"/>
    </row>
    <row r="35" spans="1:13">
      <c r="A35" s="7"/>
      <c r="B35" s="12"/>
      <c r="F35" s="53"/>
      <c r="M35" s="83"/>
    </row>
    <row r="37" spans="1:13">
      <c r="F37" s="53"/>
      <c r="G37" s="44"/>
    </row>
    <row r="38" spans="1:13">
      <c r="F38" s="53"/>
    </row>
    <row r="39" spans="1:13">
      <c r="F39" s="53"/>
      <c r="G39" s="44"/>
    </row>
    <row r="43" spans="1:13">
      <c r="B43" s="12"/>
    </row>
  </sheetData>
  <mergeCells count="1">
    <mergeCell ref="F3:G3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DFED-FABF-46E7-AA79-CBBDBC2D0427}">
  <sheetPr>
    <tabColor theme="0" tint="-0.249977111117893"/>
  </sheetPr>
  <dimension ref="A1:R2049"/>
  <sheetViews>
    <sheetView topLeftCell="A29" workbookViewId="0">
      <selection activeCell="O37" sqref="O37"/>
    </sheetView>
  </sheetViews>
  <sheetFormatPr baseColWidth="10" defaultColWidth="8.83203125" defaultRowHeight="15"/>
  <cols>
    <col min="1" max="1" width="22.1640625" customWidth="1"/>
    <col min="2" max="3" width="14.1640625" bestFit="1" customWidth="1"/>
    <col min="5" max="5" width="18.5" customWidth="1"/>
    <col min="6" max="6" width="18.83203125" customWidth="1"/>
    <col min="7" max="7" width="12.6640625" bestFit="1" customWidth="1"/>
    <col min="14" max="14" width="12.1640625" customWidth="1"/>
    <col min="15" max="15" width="13.5" customWidth="1"/>
    <col min="17" max="17" width="15.83203125" customWidth="1"/>
    <col min="18" max="18" width="12.6640625" bestFit="1" customWidth="1"/>
  </cols>
  <sheetData>
    <row r="1" spans="1:18" ht="16" thickBot="1"/>
    <row r="2" spans="1:18" ht="16" thickBot="1">
      <c r="A2" t="s">
        <v>83</v>
      </c>
      <c r="B2" t="str">
        <f>ZG!$B$44</f>
        <v>ZG7</v>
      </c>
      <c r="M2" s="246" t="s">
        <v>82</v>
      </c>
      <c r="N2" s="247"/>
      <c r="O2" s="247"/>
      <c r="P2" s="247"/>
      <c r="Q2" s="247"/>
      <c r="R2" s="248"/>
    </row>
    <row r="3" spans="1:18" ht="32">
      <c r="A3" s="249" t="s">
        <v>54</v>
      </c>
      <c r="B3" s="250"/>
      <c r="C3" s="250"/>
      <c r="D3" s="250"/>
      <c r="E3" s="250"/>
      <c r="F3" s="251"/>
      <c r="M3" s="66"/>
      <c r="N3" s="53" t="s">
        <v>74</v>
      </c>
      <c r="O3" s="53" t="s">
        <v>75</v>
      </c>
      <c r="P3" s="53" t="s">
        <v>76</v>
      </c>
      <c r="Q3" s="53" t="s">
        <v>77</v>
      </c>
      <c r="R3" s="98" t="s">
        <v>78</v>
      </c>
    </row>
    <row r="4" spans="1:18">
      <c r="A4" s="26"/>
      <c r="B4" t="s">
        <v>49</v>
      </c>
      <c r="C4" t="s">
        <v>50</v>
      </c>
      <c r="D4" t="s">
        <v>51</v>
      </c>
      <c r="E4" t="s">
        <v>52</v>
      </c>
      <c r="F4" s="27" t="s">
        <v>53</v>
      </c>
      <c r="M4" s="26" t="s">
        <v>18</v>
      </c>
      <c r="N4">
        <v>55</v>
      </c>
      <c r="O4" s="40">
        <v>6.21</v>
      </c>
      <c r="P4">
        <v>70</v>
      </c>
      <c r="Q4">
        <v>71.5</v>
      </c>
      <c r="R4" s="27">
        <v>18</v>
      </c>
    </row>
    <row r="5" spans="1:18">
      <c r="A5" s="26" t="s">
        <v>48</v>
      </c>
      <c r="B5">
        <v>1</v>
      </c>
      <c r="C5">
        <v>1</v>
      </c>
      <c r="D5" s="83">
        <v>0.1</v>
      </c>
      <c r="E5" s="83">
        <v>0.1</v>
      </c>
      <c r="F5" s="84">
        <v>0.2</v>
      </c>
      <c r="M5" s="26" t="s">
        <v>19</v>
      </c>
      <c r="N5">
        <v>55</v>
      </c>
      <c r="O5" s="40">
        <v>10.1</v>
      </c>
      <c r="P5">
        <v>96</v>
      </c>
      <c r="Q5">
        <v>71.5</v>
      </c>
      <c r="R5" s="27">
        <v>18</v>
      </c>
    </row>
    <row r="6" spans="1:18">
      <c r="A6" s="26"/>
      <c r="F6" s="27"/>
      <c r="M6" s="26" t="s">
        <v>20</v>
      </c>
      <c r="N6">
        <v>94</v>
      </c>
      <c r="O6" s="40">
        <v>6.63</v>
      </c>
      <c r="P6">
        <v>117</v>
      </c>
      <c r="Q6">
        <v>112</v>
      </c>
      <c r="R6" s="27">
        <v>32</v>
      </c>
    </row>
    <row r="7" spans="1:18">
      <c r="A7" s="252" t="s">
        <v>55</v>
      </c>
      <c r="B7" s="204"/>
      <c r="C7" s="204"/>
      <c r="D7" s="204"/>
      <c r="E7" s="204"/>
      <c r="F7" s="253"/>
      <c r="M7" s="26" t="s">
        <v>21</v>
      </c>
      <c r="N7">
        <v>94</v>
      </c>
      <c r="O7" s="40">
        <v>7.92</v>
      </c>
      <c r="P7">
        <v>148</v>
      </c>
      <c r="Q7">
        <v>122</v>
      </c>
      <c r="R7" s="27">
        <v>32</v>
      </c>
    </row>
    <row r="8" spans="1:18">
      <c r="A8" s="26" t="s">
        <v>71</v>
      </c>
      <c r="B8" s="56" t="s">
        <v>60</v>
      </c>
      <c r="C8" s="57">
        <v>0</v>
      </c>
      <c r="D8" s="54"/>
      <c r="E8" s="54"/>
      <c r="F8" s="55"/>
      <c r="M8" s="26" t="s">
        <v>22</v>
      </c>
      <c r="N8">
        <v>104</v>
      </c>
      <c r="O8" s="40">
        <v>9.49</v>
      </c>
      <c r="P8">
        <v>160</v>
      </c>
      <c r="Q8">
        <v>123.5</v>
      </c>
      <c r="R8" s="27">
        <v>32</v>
      </c>
    </row>
    <row r="9" spans="1:18">
      <c r="A9" s="26" t="s">
        <v>68</v>
      </c>
      <c r="B9" t="s">
        <v>56</v>
      </c>
      <c r="C9">
        <f>Input!$D$9+(2*$C$8)</f>
        <v>406</v>
      </c>
      <c r="F9" s="27"/>
      <c r="M9" s="26" t="s">
        <v>23</v>
      </c>
      <c r="N9">
        <v>129.5</v>
      </c>
      <c r="O9" s="40">
        <v>8.33</v>
      </c>
      <c r="P9">
        <v>177</v>
      </c>
      <c r="Q9">
        <v>127</v>
      </c>
      <c r="R9" s="27">
        <v>32</v>
      </c>
    </row>
    <row r="10" spans="1:18">
      <c r="A10" s="26" t="s">
        <v>69</v>
      </c>
      <c r="B10" t="s">
        <v>50</v>
      </c>
      <c r="C10">
        <f>$C$9</f>
        <v>406</v>
      </c>
      <c r="F10" s="27"/>
      <c r="M10" s="26" t="s">
        <v>24</v>
      </c>
      <c r="N10">
        <v>159.5</v>
      </c>
      <c r="O10" s="40">
        <v>25.01</v>
      </c>
      <c r="P10">
        <v>236</v>
      </c>
      <c r="Q10">
        <v>135</v>
      </c>
      <c r="R10" s="27">
        <v>40</v>
      </c>
    </row>
    <row r="11" spans="1:18">
      <c r="A11" s="26" t="s">
        <v>70</v>
      </c>
      <c r="B11" t="s">
        <v>51</v>
      </c>
      <c r="C11">
        <f>0.1*$C$10</f>
        <v>40.6</v>
      </c>
      <c r="F11" s="27"/>
      <c r="M11" s="26" t="s">
        <v>25</v>
      </c>
      <c r="N11">
        <v>199.5</v>
      </c>
      <c r="O11" s="40">
        <v>23.39</v>
      </c>
      <c r="P11">
        <v>300</v>
      </c>
      <c r="Q11">
        <v>147</v>
      </c>
      <c r="R11" s="27">
        <v>40</v>
      </c>
    </row>
    <row r="12" spans="1:18">
      <c r="A12" s="26"/>
      <c r="B12" t="s">
        <v>12</v>
      </c>
      <c r="C12" s="58">
        <f>($C$9/2-$C$11)*$C$10/($C$10-$C$11)</f>
        <v>180.44444444444449</v>
      </c>
      <c r="F12" s="27"/>
      <c r="M12" s="26" t="s">
        <v>26</v>
      </c>
      <c r="N12">
        <v>229.5</v>
      </c>
      <c r="O12" s="40">
        <v>25.44</v>
      </c>
      <c r="P12">
        <v>350</v>
      </c>
      <c r="Q12">
        <v>152</v>
      </c>
      <c r="R12" s="27">
        <v>40</v>
      </c>
    </row>
    <row r="13" spans="1:18" ht="32">
      <c r="A13" s="66" t="s">
        <v>93</v>
      </c>
      <c r="B13" t="s">
        <v>57</v>
      </c>
      <c r="C13" s="58">
        <f>$C$10-((($C$10-$C$11)^2)-(($C$9/2-$C$11)^2))^(0.5)</f>
        <v>78.672335419078934</v>
      </c>
      <c r="F13" s="27"/>
      <c r="M13" s="26" t="s">
        <v>27</v>
      </c>
      <c r="N13">
        <v>55</v>
      </c>
      <c r="O13" s="40">
        <v>4.82</v>
      </c>
      <c r="P13">
        <v>66</v>
      </c>
      <c r="Q13">
        <v>71.27</v>
      </c>
      <c r="R13" s="27">
        <v>18</v>
      </c>
    </row>
    <row r="14" spans="1:18" ht="32">
      <c r="A14" s="66" t="s">
        <v>94</v>
      </c>
      <c r="B14" t="s">
        <v>58</v>
      </c>
      <c r="C14" s="58">
        <f>$C$10*(1-(($C$10-$C$13)/($C$10-$C$11)))</f>
        <v>42.302594910087706</v>
      </c>
      <c r="F14" s="27"/>
      <c r="M14" s="26" t="s">
        <v>28</v>
      </c>
      <c r="N14">
        <v>94</v>
      </c>
      <c r="O14" s="40">
        <v>7</v>
      </c>
      <c r="P14">
        <v>103</v>
      </c>
      <c r="Q14">
        <v>122</v>
      </c>
      <c r="R14" s="27">
        <v>32</v>
      </c>
    </row>
    <row r="15" spans="1:18" ht="32">
      <c r="A15" s="66" t="s">
        <v>95</v>
      </c>
      <c r="B15" t="s">
        <v>59</v>
      </c>
      <c r="C15" s="58">
        <f>$C$13-$C$14</f>
        <v>36.369740508991228</v>
      </c>
      <c r="F15" s="27"/>
      <c r="M15" s="26" t="s">
        <v>29</v>
      </c>
      <c r="N15">
        <v>159.5</v>
      </c>
      <c r="O15" s="40"/>
      <c r="P15">
        <v>136</v>
      </c>
      <c r="Q15" s="40"/>
      <c r="R15" s="27">
        <v>40</v>
      </c>
    </row>
    <row r="16" spans="1:18" ht="16" thickBot="1">
      <c r="A16" s="78"/>
      <c r="B16" s="59" t="s">
        <v>115</v>
      </c>
      <c r="C16" s="60">
        <f>($C$9/2-$C$11)</f>
        <v>162.4</v>
      </c>
      <c r="D16" s="59" t="s">
        <v>116</v>
      </c>
      <c r="E16" s="59"/>
      <c r="F16" s="29"/>
      <c r="M16" s="26" t="s">
        <v>30</v>
      </c>
      <c r="N16">
        <v>80</v>
      </c>
      <c r="O16" s="40"/>
      <c r="P16">
        <v>77.2</v>
      </c>
      <c r="Q16" s="40"/>
      <c r="R16" s="27">
        <v>18</v>
      </c>
    </row>
    <row r="17" spans="1:18" ht="16" thickBot="1">
      <c r="M17" s="26" t="s">
        <v>31</v>
      </c>
      <c r="N17">
        <v>114</v>
      </c>
      <c r="O17" s="40"/>
      <c r="P17">
        <v>119</v>
      </c>
      <c r="Q17" s="40"/>
      <c r="R17" s="27">
        <v>32</v>
      </c>
    </row>
    <row r="18" spans="1:18" ht="16" thickBot="1">
      <c r="A18" s="246" t="s">
        <v>61</v>
      </c>
      <c r="B18" s="247"/>
      <c r="C18" s="247"/>
      <c r="D18" s="247"/>
      <c r="E18" s="247"/>
      <c r="F18" s="247"/>
      <c r="G18" s="30"/>
      <c r="M18" s="26" t="s">
        <v>32</v>
      </c>
      <c r="N18">
        <v>160</v>
      </c>
      <c r="O18" s="40"/>
      <c r="P18">
        <v>153.19999999999999</v>
      </c>
      <c r="Q18" s="40"/>
      <c r="R18" s="27">
        <v>40</v>
      </c>
    </row>
    <row r="19" spans="1:18">
      <c r="A19" s="26" t="s">
        <v>73</v>
      </c>
      <c r="B19" s="54" t="s">
        <v>72</v>
      </c>
      <c r="C19" s="62">
        <f>IF($C$9&lt;1000,$C$12/2,$C$12*0.4)</f>
        <v>90.222222222222243</v>
      </c>
      <c r="E19" s="54"/>
      <c r="F19" s="54"/>
      <c r="G19" s="27"/>
      <c r="M19" s="26" t="s">
        <v>79</v>
      </c>
      <c r="O19" s="40"/>
      <c r="Q19" s="40"/>
      <c r="R19" s="27">
        <v>18</v>
      </c>
    </row>
    <row r="20" spans="1:18" ht="16">
      <c r="A20" s="66" t="s">
        <v>62</v>
      </c>
      <c r="B20" t="s">
        <v>65</v>
      </c>
      <c r="C20" s="63">
        <f>ASIN($C$19/$C$10)</f>
        <v>0.22409309230137089</v>
      </c>
      <c r="G20" s="27"/>
      <c r="M20" s="26" t="s">
        <v>80</v>
      </c>
      <c r="N20">
        <v>94</v>
      </c>
      <c r="O20" s="40"/>
      <c r="P20">
        <v>150</v>
      </c>
      <c r="Q20" s="40"/>
      <c r="R20" s="27">
        <v>32</v>
      </c>
    </row>
    <row r="21" spans="1:18" ht="32">
      <c r="A21" s="66" t="s">
        <v>63</v>
      </c>
      <c r="B21" t="s">
        <v>66</v>
      </c>
      <c r="C21" s="64">
        <f>$C$10-(($C$10^2)-(VLOOKUP($B$2,$M$4:$R$23,2,FALSE)/2)^2)^0.5</f>
        <v>5.1965101199841115</v>
      </c>
      <c r="G21" s="27"/>
      <c r="M21" s="26" t="s">
        <v>81</v>
      </c>
      <c r="O21" s="40"/>
      <c r="Q21" s="40"/>
      <c r="R21" s="27">
        <v>40</v>
      </c>
    </row>
    <row r="22" spans="1:18" ht="33" thickBot="1">
      <c r="A22" s="66" t="s">
        <v>64</v>
      </c>
      <c r="B22" t="s">
        <v>67</v>
      </c>
      <c r="C22" s="65">
        <f>$C$10-(($C$10^2-$C$19^2)^0.5)</f>
        <v>10.151606524310978</v>
      </c>
      <c r="G22" s="27"/>
      <c r="M22" s="26" t="s">
        <v>33</v>
      </c>
      <c r="N22">
        <v>109.5</v>
      </c>
      <c r="O22" s="40"/>
      <c r="Q22" s="40"/>
      <c r="R22" s="27"/>
    </row>
    <row r="23" spans="1:18" ht="16" thickBot="1">
      <c r="A23" s="26"/>
      <c r="G23" s="27"/>
      <c r="M23" s="28" t="s">
        <v>34</v>
      </c>
      <c r="N23" s="59">
        <v>168</v>
      </c>
      <c r="O23" s="99"/>
      <c r="P23" s="59"/>
      <c r="Q23" s="99"/>
      <c r="R23" s="29"/>
    </row>
    <row r="24" spans="1:18" ht="29.25" customHeight="1" thickBot="1">
      <c r="A24" s="254" t="s">
        <v>85</v>
      </c>
      <c r="B24" s="242"/>
      <c r="C24" s="242"/>
      <c r="E24" s="243" t="s">
        <v>86</v>
      </c>
      <c r="F24" s="243"/>
      <c r="G24" s="244"/>
      <c r="H24" s="61"/>
      <c r="I24" s="61"/>
      <c r="J24" s="61"/>
      <c r="K24" s="61"/>
    </row>
    <row r="25" spans="1:18" ht="32">
      <c r="A25" s="66" t="s">
        <v>84</v>
      </c>
      <c r="B25" t="s">
        <v>87</v>
      </c>
      <c r="C25" s="67">
        <f>VLOOKUP($B$2,$M$4:$R$23,3,FALSE)</f>
        <v>8.33</v>
      </c>
      <c r="E25" s="53" t="s">
        <v>96</v>
      </c>
      <c r="F25" t="s">
        <v>90</v>
      </c>
      <c r="G25" s="67">
        <f>VLOOKUP($B$2,$M$4:$R$23,5,FALSE)</f>
        <v>127</v>
      </c>
    </row>
    <row r="26" spans="1:18" ht="32">
      <c r="A26" s="26"/>
      <c r="B26" s="53" t="s">
        <v>88</v>
      </c>
      <c r="C26" s="68">
        <f>VLOOKUP($B$2,$M$4:$R$23,4,FALSE)*SIN($C$20)/2</f>
        <v>19.666666666666671</v>
      </c>
      <c r="F26" s="53" t="s">
        <v>91</v>
      </c>
      <c r="G26" s="68">
        <f>VLOOKUP($B$2,$M$4:$R$23,6,FALSE)*SIN($C$20)/2</f>
        <v>3.5555555555555562</v>
      </c>
    </row>
    <row r="27" spans="1:18" ht="16" thickBot="1">
      <c r="A27" s="26" t="s">
        <v>85</v>
      </c>
      <c r="B27" s="44" t="s">
        <v>89</v>
      </c>
      <c r="C27" s="65">
        <f>($C$22+$C$21)*COS($C$20)+$C$25+$C$26</f>
        <v>42.961019663025525</v>
      </c>
      <c r="E27" t="s">
        <v>86</v>
      </c>
      <c r="F27" t="s">
        <v>92</v>
      </c>
      <c r="G27" s="71">
        <f>($C$22+$C$21)*COS($C$20)+G25+G26</f>
        <v>145.5199085519144</v>
      </c>
    </row>
    <row r="28" spans="1:18">
      <c r="B28" s="44" t="s">
        <v>117</v>
      </c>
      <c r="C28" s="79">
        <f>$C$10-$C$27</f>
        <v>363.03898033697448</v>
      </c>
      <c r="F28" t="s">
        <v>118</v>
      </c>
      <c r="G28" s="27">
        <f>$C$10-$G$27</f>
        <v>260.4800914480856</v>
      </c>
    </row>
    <row r="29" spans="1:18" ht="27" customHeight="1" thickBot="1">
      <c r="B29" s="242" t="s">
        <v>107</v>
      </c>
      <c r="C29" s="242"/>
      <c r="F29" s="243" t="s">
        <v>86</v>
      </c>
      <c r="G29" s="244"/>
      <c r="H29" s="44"/>
      <c r="I29" s="44"/>
      <c r="J29" s="44"/>
      <c r="K29" s="44"/>
    </row>
    <row r="30" spans="1:18">
      <c r="A30" s="26" t="s">
        <v>97</v>
      </c>
      <c r="B30" t="s">
        <v>98</v>
      </c>
      <c r="C30" s="67">
        <f>-$C$10</f>
        <v>-406</v>
      </c>
      <c r="F30" t="s">
        <v>98</v>
      </c>
      <c r="G30" s="67">
        <f>-$C$10</f>
        <v>-406</v>
      </c>
      <c r="L30" s="44"/>
    </row>
    <row r="31" spans="1:18">
      <c r="A31" s="26"/>
      <c r="B31" s="44" t="s">
        <v>99</v>
      </c>
      <c r="C31" s="70">
        <f>-$C$10+IF($C$27&lt;$C$14,$C$27,$C$14)</f>
        <v>-363.69740508991231</v>
      </c>
      <c r="F31" t="s">
        <v>99</v>
      </c>
      <c r="G31" s="70">
        <f>-$C$10+IF($G$27&lt;$C$14,$G$27,$C$14)</f>
        <v>-363.69740508991231</v>
      </c>
      <c r="L31" s="44"/>
    </row>
    <row r="32" spans="1:18">
      <c r="A32" s="26"/>
      <c r="B32" s="44" t="s">
        <v>100</v>
      </c>
      <c r="C32" s="70">
        <f>($C$10^2)*($C$30)-(($C$30)^3)/3</f>
        <v>-44615610.666666672</v>
      </c>
      <c r="F32" t="s">
        <v>100</v>
      </c>
      <c r="G32" s="70">
        <f>($C$10^2)*($G$30)-(($G$30)^3)/3</f>
        <v>-44615610.666666672</v>
      </c>
      <c r="L32" s="44"/>
    </row>
    <row r="33" spans="1:15">
      <c r="A33" s="26"/>
      <c r="B33" t="s">
        <v>101</v>
      </c>
      <c r="C33" s="70">
        <f>($C$10^2)*($C$31)-(($C$31)^3)/3</f>
        <v>-43914303.427330621</v>
      </c>
      <c r="F33" t="s">
        <v>101</v>
      </c>
      <c r="G33" s="70">
        <f>($C$10^2)*($G$31)-(($G$31)^3)/3</f>
        <v>-43914303.427330621</v>
      </c>
      <c r="L33" s="44"/>
    </row>
    <row r="34" spans="1:15" ht="16" thickBot="1">
      <c r="A34" s="26"/>
      <c r="B34" t="s">
        <v>13</v>
      </c>
      <c r="C34" s="71">
        <f>($C$33-$C$32)*PI()</f>
        <v>2203221.6710074767</v>
      </c>
      <c r="F34" t="s">
        <v>13</v>
      </c>
      <c r="G34" s="71">
        <f>($G$33-$G$32)*PI()</f>
        <v>2203221.6710074767</v>
      </c>
      <c r="L34" s="44"/>
    </row>
    <row r="35" spans="1:15" ht="16" thickBot="1">
      <c r="A35" s="26"/>
      <c r="G35" s="27"/>
    </row>
    <row r="36" spans="1:15">
      <c r="A36" s="26" t="s">
        <v>55</v>
      </c>
      <c r="B36" t="s">
        <v>98</v>
      </c>
      <c r="C36" s="67">
        <f>IF($C$27&gt;$C$14,$C$14,0)</f>
        <v>42.302594910087706</v>
      </c>
      <c r="F36" t="s">
        <v>98</v>
      </c>
      <c r="G36" s="67">
        <f>IF($G$27&gt;$C$14,$C$14,0)</f>
        <v>42.302594910087706</v>
      </c>
      <c r="L36" s="44"/>
    </row>
    <row r="37" spans="1:15">
      <c r="A37" s="26"/>
      <c r="B37" t="s">
        <v>99</v>
      </c>
      <c r="C37" s="70">
        <f>IF($C$27&gt;$C$14,IF($C$13&gt;$C$27,$C$27,$C$13),0)</f>
        <v>42.961019663025525</v>
      </c>
      <c r="F37" t="s">
        <v>99</v>
      </c>
      <c r="G37" s="75">
        <f>IF($G$27&gt;$C$14,IF($C$13&gt;$G$27,$G$27,$C$13),0)</f>
        <v>78.672335419078934</v>
      </c>
      <c r="O37" s="44"/>
    </row>
    <row r="38" spans="1:15" ht="16" thickBot="1">
      <c r="A38" s="26"/>
      <c r="B38" t="s">
        <v>13</v>
      </c>
      <c r="C38" s="69">
        <f>SUM($E$50:$E$2049)*PI()</f>
        <v>67798.813164796666</v>
      </c>
      <c r="F38" t="s">
        <v>13</v>
      </c>
      <c r="G38" s="69" t="e">
        <f>SUM($K$50:$K$2048)*PI()</f>
        <v>#NUM!</v>
      </c>
      <c r="L38" s="44"/>
    </row>
    <row r="39" spans="1:15" ht="16" thickBot="1">
      <c r="A39" s="26"/>
      <c r="G39" s="27"/>
    </row>
    <row r="40" spans="1:15">
      <c r="A40" s="26" t="s">
        <v>102</v>
      </c>
      <c r="B40" t="s">
        <v>98</v>
      </c>
      <c r="C40" s="67">
        <f>IF($C$33&gt;$G$25,0,0)</f>
        <v>0</v>
      </c>
      <c r="F40" t="s">
        <v>98</v>
      </c>
      <c r="G40" s="67">
        <f>IF($G$33&gt;$G$25,0,0)</f>
        <v>0</v>
      </c>
      <c r="O40" s="44"/>
    </row>
    <row r="41" spans="1:15">
      <c r="A41" s="26"/>
      <c r="B41" t="s">
        <v>99</v>
      </c>
      <c r="C41" s="70">
        <f>IF($C$27&gt;$C$13,$C$27-$C$13,D41)</f>
        <v>0</v>
      </c>
      <c r="F41" t="s">
        <v>99</v>
      </c>
      <c r="G41" s="70">
        <f>IF($G$27&gt;$C$13,$G$27-$C$13,0)</f>
        <v>66.847573132835464</v>
      </c>
      <c r="L41" s="44"/>
      <c r="O41" s="44"/>
    </row>
    <row r="42" spans="1:15" ht="16" thickBot="1">
      <c r="A42" s="26"/>
      <c r="B42" t="s">
        <v>13</v>
      </c>
      <c r="C42" s="71">
        <f>PI()*($C$9^2)*$C$41/4</f>
        <v>0</v>
      </c>
      <c r="F42" t="s">
        <v>13</v>
      </c>
      <c r="G42" s="69">
        <f>PI()*($C$9^2)*$G$41/4</f>
        <v>8654213.2707761806</v>
      </c>
      <c r="L42" s="44"/>
      <c r="O42" s="44"/>
    </row>
    <row r="43" spans="1:15" ht="16" thickBot="1">
      <c r="A43" s="26"/>
      <c r="G43" s="27"/>
    </row>
    <row r="44" spans="1:15" ht="32">
      <c r="A44" s="72" t="s">
        <v>103</v>
      </c>
      <c r="C44" s="67">
        <f>$C$34+$C$38+$C$42</f>
        <v>2271020.4841722734</v>
      </c>
      <c r="F44" s="7" t="s">
        <v>105</v>
      </c>
      <c r="G44" s="67" t="e">
        <f>$G$34+$G$38+$G$42</f>
        <v>#NUM!</v>
      </c>
    </row>
    <row r="45" spans="1:15" ht="33" thickBot="1">
      <c r="A45" s="73" t="s">
        <v>104</v>
      </c>
      <c r="B45" s="59"/>
      <c r="C45" s="76">
        <f>$C$44/10^6</f>
        <v>2.2710204841722734</v>
      </c>
      <c r="D45" s="59"/>
      <c r="E45" s="59"/>
      <c r="F45" s="74" t="s">
        <v>106</v>
      </c>
      <c r="G45" s="76" t="e">
        <f>$G$44/10^6</f>
        <v>#NUM!</v>
      </c>
    </row>
    <row r="46" spans="1:15">
      <c r="A46" s="31"/>
      <c r="B46" s="77"/>
      <c r="C46" s="77"/>
      <c r="D46" s="77"/>
      <c r="E46" s="77"/>
      <c r="F46" s="77"/>
      <c r="G46" s="77"/>
      <c r="H46" s="77"/>
      <c r="I46" s="77"/>
      <c r="J46" s="77"/>
      <c r="K46" s="30"/>
    </row>
    <row r="47" spans="1:15" ht="24" customHeight="1">
      <c r="A47" s="245" t="s">
        <v>108</v>
      </c>
      <c r="B47" s="243"/>
      <c r="C47" s="243"/>
      <c r="D47" s="243"/>
      <c r="E47" s="243"/>
      <c r="F47" s="243"/>
      <c r="G47" s="243"/>
      <c r="H47" s="243"/>
      <c r="I47" s="243"/>
      <c r="J47" s="243"/>
      <c r="K47" s="244"/>
    </row>
    <row r="48" spans="1:15">
      <c r="A48" s="245" t="s">
        <v>109</v>
      </c>
      <c r="B48" s="243"/>
      <c r="C48" s="243"/>
      <c r="D48" s="243"/>
      <c r="E48" s="243"/>
      <c r="G48" s="243" t="s">
        <v>114</v>
      </c>
      <c r="H48" s="243"/>
      <c r="I48" s="243"/>
      <c r="J48" s="243"/>
      <c r="K48" s="244"/>
    </row>
    <row r="49" spans="1:14">
      <c r="A49" s="26"/>
      <c r="B49" t="s">
        <v>110</v>
      </c>
      <c r="C49" t="s">
        <v>111</v>
      </c>
      <c r="D49" t="s">
        <v>112</v>
      </c>
      <c r="E49" t="s">
        <v>113</v>
      </c>
      <c r="H49" t="s">
        <v>110</v>
      </c>
      <c r="I49" t="s">
        <v>111</v>
      </c>
      <c r="J49" t="s">
        <v>112</v>
      </c>
      <c r="K49" s="27" t="s">
        <v>113</v>
      </c>
    </row>
    <row r="50" spans="1:14">
      <c r="A50" s="26">
        <v>0</v>
      </c>
      <c r="B50" s="82">
        <v>0</v>
      </c>
      <c r="C50" s="58">
        <f>$C$14</f>
        <v>42.302594910087706</v>
      </c>
      <c r="D50" s="83">
        <f>IF($G$28&lt;$C$14,0,((($C$11^2)-((C50-$C$13)^2))^0.5)+$C$16)</f>
        <v>180.44444444444446</v>
      </c>
      <c r="E50">
        <f>((D50^2)+(D50*D51)+(D51^2))*B51/3</f>
        <v>10.719259424453853</v>
      </c>
      <c r="G50">
        <v>0</v>
      </c>
      <c r="H50">
        <v>0</v>
      </c>
      <c r="I50" s="58">
        <f>$C$14</f>
        <v>42.302594910087706</v>
      </c>
      <c r="J50">
        <f>IF($G$28&lt;$C$14,0,((($C$11^2)-((I50-$C$13)^2))^0.5)+$C$16)</f>
        <v>180.44444444444446</v>
      </c>
      <c r="K50" s="27">
        <f>((J50^2)+(J50*J51)+(J51^2))*H51/3</f>
        <v>1681.3534768363024</v>
      </c>
      <c r="M50" s="44"/>
      <c r="N50" s="44"/>
    </row>
    <row r="51" spans="1:14">
      <c r="A51" s="26">
        <v>1</v>
      </c>
      <c r="B51" s="82">
        <f>C51-C50</f>
        <v>3.2921237647087764E-4</v>
      </c>
      <c r="C51" s="58">
        <f>($C$37-$C$36)/2000+C50</f>
        <v>42.302924122464177</v>
      </c>
      <c r="D51" s="83">
        <f>IF($G$28&lt;$C$14,0,((($C$11^2)-((C51-$C$13)^2))^0.5)+$C$16)</f>
        <v>180.44510797799978</v>
      </c>
      <c r="E51">
        <f t="shared" ref="E51:E114" si="0">((D51^2)+(D51*D52)+(D52^2))*B52/3</f>
        <v>10.719338256754682</v>
      </c>
      <c r="G51">
        <v>1</v>
      </c>
      <c r="H51" s="13">
        <f>I51-I50</f>
        <v>5.1608656820910426E-2</v>
      </c>
      <c r="I51">
        <f>($G$27-$C$14)/2000+I50</f>
        <v>42.354203566908616</v>
      </c>
      <c r="J51">
        <f t="shared" ref="J51:J114" si="1">IF($G$28&lt;$C$14,0,((($C$11^2)-((I51-$C$13)^2))^0.5)+$C$16)</f>
        <v>180.54809352985521</v>
      </c>
      <c r="K51" s="27">
        <f t="shared" ref="K51:K114" si="2">((J51^2)+(J51*J52)+(J52^2))*H52/3</f>
        <v>1683.2782019249164</v>
      </c>
      <c r="M51" s="44"/>
    </row>
    <row r="52" spans="1:14">
      <c r="A52" s="26">
        <v>2</v>
      </c>
      <c r="B52" s="82">
        <f t="shared" ref="B52:B115" si="3">C52-C51</f>
        <v>3.2921237647087764E-4</v>
      </c>
      <c r="C52" s="58">
        <f t="shared" ref="C52:C58" si="4">($C$37-$C$36)/2000+C51</f>
        <v>42.303253334840647</v>
      </c>
      <c r="D52" s="83">
        <f t="shared" ref="D52:D115" si="5">IF($G$28&lt;$C$14,0,((($C$11^2)-((C52-$C$13)^2))^0.5)+$C$16)</f>
        <v>180.44577148115144</v>
      </c>
      <c r="E52">
        <f t="shared" si="0"/>
        <v>10.719417085733317</v>
      </c>
      <c r="G52">
        <v>2</v>
      </c>
      <c r="H52" s="13">
        <f t="shared" ref="H52:H115" si="6">I52-I51</f>
        <v>5.1608656820910426E-2</v>
      </c>
      <c r="I52">
        <f t="shared" ref="I52:I115" si="7">($G$27-$C$14)/2000+I51</f>
        <v>42.405812223729527</v>
      </c>
      <c r="J52">
        <f t="shared" si="1"/>
        <v>180.65100806315047</v>
      </c>
      <c r="K52" s="27">
        <f t="shared" si="2"/>
        <v>1685.1904427103211</v>
      </c>
      <c r="M52" s="44"/>
    </row>
    <row r="53" spans="1:14">
      <c r="A53" s="26">
        <v>3</v>
      </c>
      <c r="B53" s="82">
        <f t="shared" si="3"/>
        <v>3.2921237647087764E-4</v>
      </c>
      <c r="C53" s="58">
        <f t="shared" si="4"/>
        <v>42.303582547217118</v>
      </c>
      <c r="D53" s="83">
        <f t="shared" si="5"/>
        <v>180.44643495390275</v>
      </c>
      <c r="E53">
        <f t="shared" si="0"/>
        <v>10.719495911390119</v>
      </c>
      <c r="G53">
        <v>3</v>
      </c>
      <c r="H53" s="13">
        <f t="shared" si="6"/>
        <v>5.1608656820910426E-2</v>
      </c>
      <c r="I53">
        <f t="shared" si="7"/>
        <v>42.457420880550437</v>
      </c>
      <c r="J53">
        <f t="shared" si="1"/>
        <v>180.75320040121281</v>
      </c>
      <c r="K53" s="27">
        <f t="shared" si="2"/>
        <v>1687.09040331298</v>
      </c>
    </row>
    <row r="54" spans="1:14">
      <c r="A54" s="26">
        <v>4</v>
      </c>
      <c r="B54" s="82">
        <f t="shared" si="3"/>
        <v>3.2921237647087764E-4</v>
      </c>
      <c r="C54" s="58">
        <f t="shared" si="4"/>
        <v>42.303911759593589</v>
      </c>
      <c r="D54" s="83">
        <f t="shared" si="5"/>
        <v>180.44709839625713</v>
      </c>
      <c r="E54">
        <f t="shared" si="0"/>
        <v>10.719574733725452</v>
      </c>
      <c r="G54">
        <v>4</v>
      </c>
      <c r="H54" s="13">
        <f t="shared" si="6"/>
        <v>5.1608656820910426E-2</v>
      </c>
      <c r="I54">
        <f t="shared" si="7"/>
        <v>42.509029537371347</v>
      </c>
      <c r="J54">
        <f t="shared" si="1"/>
        <v>180.8546825414596</v>
      </c>
      <c r="K54" s="27">
        <f t="shared" si="2"/>
        <v>1688.9782819495597</v>
      </c>
    </row>
    <row r="55" spans="1:14">
      <c r="A55" s="26">
        <v>5</v>
      </c>
      <c r="B55" s="82">
        <f t="shared" si="3"/>
        <v>3.2921237647087764E-4</v>
      </c>
      <c r="C55" s="58">
        <f t="shared" si="4"/>
        <v>42.30424097197006</v>
      </c>
      <c r="D55" s="83">
        <f t="shared" si="5"/>
        <v>180.4477618082179</v>
      </c>
      <c r="E55">
        <f t="shared" si="0"/>
        <v>10.71965355273967</v>
      </c>
      <c r="G55">
        <v>5</v>
      </c>
      <c r="H55" s="13">
        <f t="shared" si="6"/>
        <v>5.1608656820910426E-2</v>
      </c>
      <c r="I55">
        <f t="shared" si="7"/>
        <v>42.560638194192258</v>
      </c>
      <c r="J55">
        <f t="shared" si="1"/>
        <v>180.95546613637373</v>
      </c>
      <c r="K55" s="27">
        <f t="shared" si="2"/>
        <v>1690.8542711702319</v>
      </c>
    </row>
    <row r="56" spans="1:14">
      <c r="A56" s="26">
        <v>6</v>
      </c>
      <c r="B56" s="82">
        <f t="shared" si="3"/>
        <v>3.2921237647087764E-4</v>
      </c>
      <c r="C56" s="58">
        <f t="shared" si="4"/>
        <v>42.304570184346531</v>
      </c>
      <c r="D56" s="83">
        <f t="shared" si="5"/>
        <v>180.44842518978842</v>
      </c>
      <c r="E56">
        <f t="shared" si="0"/>
        <v>10.719732368433133</v>
      </c>
      <c r="G56">
        <v>6</v>
      </c>
      <c r="H56" s="13">
        <f t="shared" si="6"/>
        <v>5.1608656820910426E-2</v>
      </c>
      <c r="I56">
        <f t="shared" si="7"/>
        <v>42.612246851013168</v>
      </c>
      <c r="J56">
        <f t="shared" si="1"/>
        <v>181.05556250728594</v>
      </c>
      <c r="K56" s="27">
        <f t="shared" si="2"/>
        <v>1692.7185580838229</v>
      </c>
    </row>
    <row r="57" spans="1:14">
      <c r="A57" s="26">
        <v>7</v>
      </c>
      <c r="B57" s="82">
        <f t="shared" si="3"/>
        <v>3.2921237647087764E-4</v>
      </c>
      <c r="C57" s="58">
        <f t="shared" si="4"/>
        <v>42.304899396723002</v>
      </c>
      <c r="D57" s="83">
        <f t="shared" si="5"/>
        <v>180.44908854097204</v>
      </c>
      <c r="E57">
        <f t="shared" si="0"/>
        <v>10.719811180806197</v>
      </c>
      <c r="G57">
        <v>7</v>
      </c>
      <c r="H57" s="13">
        <f t="shared" si="6"/>
        <v>5.1608656820910426E-2</v>
      </c>
      <c r="I57">
        <f t="shared" si="7"/>
        <v>42.663855507834079</v>
      </c>
      <c r="J57">
        <f t="shared" si="1"/>
        <v>181.154982657456</v>
      </c>
      <c r="K57" s="27">
        <f t="shared" si="2"/>
        <v>1694.5713245715763</v>
      </c>
    </row>
    <row r="58" spans="1:14">
      <c r="A58" s="26">
        <v>8</v>
      </c>
      <c r="B58" s="82">
        <f t="shared" si="3"/>
        <v>3.2921237647087764E-4</v>
      </c>
      <c r="C58" s="58">
        <f t="shared" si="4"/>
        <v>42.305228609099473</v>
      </c>
      <c r="D58" s="83">
        <f t="shared" si="5"/>
        <v>180.44975186177211</v>
      </c>
      <c r="E58">
        <f t="shared" si="0"/>
        <v>10.719889989859221</v>
      </c>
      <c r="G58">
        <v>8</v>
      </c>
      <c r="H58" s="13">
        <f t="shared" si="6"/>
        <v>5.1608656820910426E-2</v>
      </c>
      <c r="I58">
        <f t="shared" si="7"/>
        <v>42.715464164654989</v>
      </c>
      <c r="J58">
        <f t="shared" si="1"/>
        <v>181.25373728449566</v>
      </c>
      <c r="K58" s="27">
        <f t="shared" si="2"/>
        <v>1696.4127474902098</v>
      </c>
    </row>
    <row r="59" spans="1:14">
      <c r="A59" s="26">
        <v>9</v>
      </c>
      <c r="B59" s="82">
        <f t="shared" si="3"/>
        <v>3.2921237647087764E-4</v>
      </c>
      <c r="C59" s="58">
        <f t="shared" ref="C59:C64" si="8">($C$37-$C$36)/2000+C58</f>
        <v>42.305557821475944</v>
      </c>
      <c r="D59" s="83">
        <f t="shared" si="5"/>
        <v>180.45041515219197</v>
      </c>
      <c r="E59">
        <f t="shared" si="0"/>
        <v>10.719968795592564</v>
      </c>
      <c r="G59">
        <v>9</v>
      </c>
      <c r="H59" s="13">
        <f t="shared" si="6"/>
        <v>5.1608656820910426E-2</v>
      </c>
      <c r="I59">
        <f t="shared" si="7"/>
        <v>42.7670728214759</v>
      </c>
      <c r="J59">
        <f t="shared" si="1"/>
        <v>181.35183679217317</v>
      </c>
      <c r="K59" s="27">
        <f t="shared" si="2"/>
        <v>1698.2429988649249</v>
      </c>
    </row>
    <row r="60" spans="1:14">
      <c r="A60" s="26">
        <v>10</v>
      </c>
      <c r="B60" s="82">
        <f t="shared" si="3"/>
        <v>3.2921237647087764E-4</v>
      </c>
      <c r="C60" s="58">
        <f t="shared" si="8"/>
        <v>42.305887033852414</v>
      </c>
      <c r="D60" s="83">
        <f t="shared" si="5"/>
        <v>180.45107841223498</v>
      </c>
      <c r="E60">
        <f t="shared" si="0"/>
        <v>10.720047598006586</v>
      </c>
      <c r="G60">
        <v>10</v>
      </c>
      <c r="H60" s="13">
        <f t="shared" si="6"/>
        <v>5.1608656820910426E-2</v>
      </c>
      <c r="I60">
        <f t="shared" si="7"/>
        <v>42.81868147829681</v>
      </c>
      <c r="J60">
        <f t="shared" si="1"/>
        <v>181.4492913016374</v>
      </c>
      <c r="K60" s="27">
        <f t="shared" si="2"/>
        <v>1700.0622460729726</v>
      </c>
    </row>
    <row r="61" spans="1:14">
      <c r="A61" s="26">
        <v>11</v>
      </c>
      <c r="B61" s="82">
        <f t="shared" si="3"/>
        <v>3.2921237647087764E-4</v>
      </c>
      <c r="C61" s="58">
        <f t="shared" si="8"/>
        <v>42.306216246228885</v>
      </c>
      <c r="D61" s="83">
        <f t="shared" si="5"/>
        <v>180.45174164190448</v>
      </c>
      <c r="E61">
        <f t="shared" si="0"/>
        <v>10.720126397101637</v>
      </c>
      <c r="G61">
        <v>11</v>
      </c>
      <c r="H61" s="13">
        <f t="shared" si="6"/>
        <v>5.1608656820910426E-2</v>
      </c>
      <c r="I61">
        <f t="shared" si="7"/>
        <v>42.87029013511772</v>
      </c>
      <c r="J61">
        <f t="shared" si="1"/>
        <v>181.54611066209509</v>
      </c>
      <c r="K61" s="27">
        <f t="shared" si="2"/>
        <v>1701.8706520183221</v>
      </c>
    </row>
    <row r="62" spans="1:14">
      <c r="A62" s="26">
        <v>12</v>
      </c>
      <c r="B62" s="82">
        <f t="shared" si="3"/>
        <v>3.2921237647087764E-4</v>
      </c>
      <c r="C62" s="58">
        <f t="shared" si="8"/>
        <v>42.306545458605356</v>
      </c>
      <c r="D62" s="83">
        <f t="shared" si="5"/>
        <v>180.45240484120382</v>
      </c>
      <c r="E62">
        <f t="shared" si="0"/>
        <v>10.720205192878085</v>
      </c>
      <c r="G62">
        <v>12</v>
      </c>
      <c r="H62" s="13">
        <f t="shared" si="6"/>
        <v>5.1608656820910426E-2</v>
      </c>
      <c r="I62">
        <f t="shared" si="7"/>
        <v>42.921898791938631</v>
      </c>
      <c r="J62">
        <f t="shared" si="1"/>
        <v>181.64230446097415</v>
      </c>
      <c r="K62" s="27">
        <f t="shared" si="2"/>
        <v>1703.6683752979704</v>
      </c>
    </row>
    <row r="63" spans="1:14">
      <c r="A63" s="26">
        <v>13</v>
      </c>
      <c r="B63" s="82">
        <f t="shared" si="3"/>
        <v>3.2921237647087764E-4</v>
      </c>
      <c r="C63" s="58">
        <f t="shared" si="8"/>
        <v>42.306874670981827</v>
      </c>
      <c r="D63" s="83">
        <f t="shared" si="5"/>
        <v>180.45306801013635</v>
      </c>
      <c r="E63">
        <f t="shared" si="0"/>
        <v>10.720283985336286</v>
      </c>
      <c r="G63">
        <v>13</v>
      </c>
      <c r="H63" s="13">
        <f t="shared" si="6"/>
        <v>5.1608656820910426E-2</v>
      </c>
      <c r="I63">
        <f t="shared" si="7"/>
        <v>42.973507448759541</v>
      </c>
      <c r="J63">
        <f t="shared" si="1"/>
        <v>181.73788203360292</v>
      </c>
      <c r="K63" s="27">
        <f t="shared" si="2"/>
        <v>1705.4555703603644</v>
      </c>
    </row>
    <row r="64" spans="1:14">
      <c r="A64" s="26">
        <v>14</v>
      </c>
      <c r="B64" s="82">
        <f t="shared" si="3"/>
        <v>3.2921237647087764E-4</v>
      </c>
      <c r="C64" s="58">
        <f t="shared" si="8"/>
        <v>42.307203883358298</v>
      </c>
      <c r="D64" s="83">
        <f t="shared" si="5"/>
        <v>180.45373114870543</v>
      </c>
      <c r="E64">
        <f t="shared" si="0"/>
        <v>10.720362774476591</v>
      </c>
      <c r="G64">
        <v>14</v>
      </c>
      <c r="H64" s="13">
        <f t="shared" si="6"/>
        <v>5.1608656820910426E-2</v>
      </c>
      <c r="I64">
        <f t="shared" si="7"/>
        <v>43.025116105580452</v>
      </c>
      <c r="J64">
        <f t="shared" si="1"/>
        <v>181.83285247243288</v>
      </c>
      <c r="K64" s="27">
        <f t="shared" si="2"/>
        <v>1707.2323876563962</v>
      </c>
    </row>
    <row r="65" spans="1:11">
      <c r="A65" s="26">
        <v>15</v>
      </c>
      <c r="B65" s="82">
        <f t="shared" si="3"/>
        <v>3.2921237647087764E-4</v>
      </c>
      <c r="C65" s="58">
        <f t="shared" ref="C65:C79" si="9">($C$37-$C$36)/2000+C64</f>
        <v>42.307533095734769</v>
      </c>
      <c r="D65" s="83">
        <f t="shared" si="5"/>
        <v>180.45439425691438</v>
      </c>
      <c r="E65">
        <f t="shared" si="0"/>
        <v>10.720441560299363</v>
      </c>
      <c r="G65">
        <v>15</v>
      </c>
      <c r="H65" s="13">
        <f t="shared" si="6"/>
        <v>5.1608656820910426E-2</v>
      </c>
      <c r="I65">
        <f t="shared" si="7"/>
        <v>43.076724762401362</v>
      </c>
      <c r="J65">
        <f t="shared" si="1"/>
        <v>181.92722463583144</v>
      </c>
      <c r="K65" s="27">
        <f t="shared" si="2"/>
        <v>1708.9989737833873</v>
      </c>
    </row>
    <row r="66" spans="1:11">
      <c r="A66" s="26">
        <v>16</v>
      </c>
      <c r="B66" s="82">
        <f t="shared" si="3"/>
        <v>3.2921237647087764E-4</v>
      </c>
      <c r="C66" s="58">
        <f t="shared" si="9"/>
        <v>42.30786230811124</v>
      </c>
      <c r="D66" s="83">
        <f t="shared" si="5"/>
        <v>180.45505733476656</v>
      </c>
      <c r="E66">
        <f t="shared" si="0"/>
        <v>10.720520342804962</v>
      </c>
      <c r="G66">
        <v>16</v>
      </c>
      <c r="H66" s="13">
        <f t="shared" si="6"/>
        <v>5.1608656820910426E-2</v>
      </c>
      <c r="I66">
        <f t="shared" si="7"/>
        <v>43.128333419222272</v>
      </c>
      <c r="J66">
        <f t="shared" si="1"/>
        <v>182.02100715646844</v>
      </c>
      <c r="K66" s="27">
        <f t="shared" si="2"/>
        <v>1710.7554716224593</v>
      </c>
    </row>
    <row r="67" spans="1:11">
      <c r="A67" s="26">
        <v>17</v>
      </c>
      <c r="B67" s="82">
        <f t="shared" si="3"/>
        <v>3.2921237647087764E-4</v>
      </c>
      <c r="C67" s="58">
        <f t="shared" si="9"/>
        <v>42.308191520487711</v>
      </c>
      <c r="D67" s="83">
        <f t="shared" si="5"/>
        <v>180.45572038226533</v>
      </c>
      <c r="E67">
        <f t="shared" si="0"/>
        <v>10.720599121993736</v>
      </c>
      <c r="G67">
        <v>17</v>
      </c>
      <c r="H67" s="13">
        <f t="shared" si="6"/>
        <v>5.1608656820910426E-2</v>
      </c>
      <c r="I67">
        <f t="shared" si="7"/>
        <v>43.179942076043183</v>
      </c>
      <c r="J67">
        <f t="shared" si="1"/>
        <v>182.11420844931979</v>
      </c>
      <c r="K67" s="27">
        <f t="shared" si="2"/>
        <v>1712.5020204696611</v>
      </c>
    </row>
    <row r="68" spans="1:11">
      <c r="A68" s="26">
        <v>18</v>
      </c>
      <c r="B68" s="82">
        <f t="shared" si="3"/>
        <v>3.2921237647087764E-4</v>
      </c>
      <c r="C68" s="58">
        <f t="shared" si="9"/>
        <v>42.308520732864181</v>
      </c>
      <c r="D68" s="83">
        <f t="shared" si="5"/>
        <v>180.45638339941397</v>
      </c>
      <c r="E68">
        <f t="shared" si="0"/>
        <v>10.720677897866052</v>
      </c>
      <c r="G68">
        <v>18</v>
      </c>
      <c r="H68" s="13">
        <f t="shared" si="6"/>
        <v>5.1608656820910426E-2</v>
      </c>
      <c r="I68">
        <f t="shared" si="7"/>
        <v>43.231550732864093</v>
      </c>
      <c r="J68">
        <f t="shared" si="1"/>
        <v>182.20683671930882</v>
      </c>
      <c r="K68" s="27">
        <f t="shared" si="2"/>
        <v>1714.2387561611906</v>
      </c>
    </row>
    <row r="69" spans="1:11">
      <c r="A69" s="26">
        <v>19</v>
      </c>
      <c r="B69" s="82">
        <f t="shared" si="3"/>
        <v>3.2921237647087764E-4</v>
      </c>
      <c r="C69" s="58">
        <f t="shared" si="9"/>
        <v>42.308849945240652</v>
      </c>
      <c r="D69" s="83">
        <f t="shared" si="5"/>
        <v>180.45704638621589</v>
      </c>
      <c r="E69">
        <f t="shared" si="0"/>
        <v>10.720756670422267</v>
      </c>
      <c r="G69">
        <v>19</v>
      </c>
      <c r="H69" s="13">
        <f t="shared" si="6"/>
        <v>5.1608656820910426E-2</v>
      </c>
      <c r="I69">
        <f t="shared" si="7"/>
        <v>43.283159389685004</v>
      </c>
      <c r="J69">
        <f t="shared" si="1"/>
        <v>182.29889996860555</v>
      </c>
      <c r="K69" s="27">
        <f t="shared" si="2"/>
        <v>1715.9658111930387</v>
      </c>
    </row>
    <row r="70" spans="1:11">
      <c r="A70" s="26">
        <v>20</v>
      </c>
      <c r="B70" s="82">
        <f t="shared" si="3"/>
        <v>3.2921237647087764E-4</v>
      </c>
      <c r="C70" s="58">
        <f t="shared" si="9"/>
        <v>42.309179157617123</v>
      </c>
      <c r="D70" s="83">
        <f t="shared" si="5"/>
        <v>180.45770934267441</v>
      </c>
      <c r="E70">
        <f t="shared" si="0"/>
        <v>10.72083543966273</v>
      </c>
      <c r="G70">
        <v>20</v>
      </c>
      <c r="H70" s="13">
        <f t="shared" si="6"/>
        <v>5.1608656820910426E-2</v>
      </c>
      <c r="I70">
        <f t="shared" si="7"/>
        <v>43.334768046505914</v>
      </c>
      <c r="J70">
        <f t="shared" si="1"/>
        <v>182.39040600360241</v>
      </c>
      <c r="K70" s="27">
        <f t="shared" si="2"/>
        <v>1717.6833148353498</v>
      </c>
    </row>
    <row r="71" spans="1:11">
      <c r="A71" s="26">
        <v>21</v>
      </c>
      <c r="B71" s="82">
        <f t="shared" si="3"/>
        <v>3.2921237647087764E-4</v>
      </c>
      <c r="C71" s="58">
        <f t="shared" si="9"/>
        <v>42.309508369993594</v>
      </c>
      <c r="D71" s="83">
        <f t="shared" si="5"/>
        <v>180.45837226879289</v>
      </c>
      <c r="E71">
        <f t="shared" si="0"/>
        <v>10.720914205587809</v>
      </c>
      <c r="G71">
        <v>21</v>
      </c>
      <c r="H71" s="13">
        <f t="shared" si="6"/>
        <v>5.1608656820910426E-2</v>
      </c>
      <c r="I71">
        <f t="shared" si="7"/>
        <v>43.386376703326825</v>
      </c>
      <c r="J71">
        <f t="shared" si="1"/>
        <v>182.48136244158343</v>
      </c>
      <c r="K71" s="27">
        <f t="shared" si="2"/>
        <v>1719.3913932417906</v>
      </c>
    </row>
    <row r="72" spans="1:11">
      <c r="A72" s="26">
        <v>22</v>
      </c>
      <c r="B72" s="82">
        <f t="shared" si="3"/>
        <v>3.2921237647087764E-4</v>
      </c>
      <c r="C72" s="58">
        <f t="shared" si="9"/>
        <v>42.309837582370065</v>
      </c>
      <c r="D72" s="83">
        <f t="shared" si="5"/>
        <v>180.45903516457463</v>
      </c>
      <c r="E72">
        <f t="shared" si="0"/>
        <v>10.720992968197853</v>
      </c>
      <c r="G72">
        <v>22</v>
      </c>
      <c r="H72" s="13">
        <f t="shared" si="6"/>
        <v>5.1608656820910426E-2</v>
      </c>
      <c r="I72">
        <f t="shared" si="7"/>
        <v>43.437985360147735</v>
      </c>
      <c r="J72">
        <f t="shared" si="1"/>
        <v>182.57177671710392</v>
      </c>
      <c r="K72" s="27">
        <f t="shared" si="2"/>
        <v>1721.0901695541831</v>
      </c>
    </row>
    <row r="73" spans="1:11">
      <c r="A73" s="26">
        <v>23</v>
      </c>
      <c r="B73" s="82">
        <f t="shared" si="3"/>
        <v>3.2921237647087764E-4</v>
      </c>
      <c r="C73" s="58">
        <f t="shared" si="9"/>
        <v>42.310166794746536</v>
      </c>
      <c r="D73" s="83">
        <f t="shared" si="5"/>
        <v>180.45969803002299</v>
      </c>
      <c r="E73">
        <f t="shared" si="0"/>
        <v>10.721071727493223</v>
      </c>
      <c r="G73">
        <v>23</v>
      </c>
      <c r="H73" s="13">
        <f t="shared" si="6"/>
        <v>5.1608656820910426E-2</v>
      </c>
      <c r="I73">
        <f t="shared" si="7"/>
        <v>43.489594016968645</v>
      </c>
      <c r="J73">
        <f t="shared" si="1"/>
        <v>182.66165608809496</v>
      </c>
      <c r="K73" s="27">
        <f t="shared" si="2"/>
        <v>1722.779764002654</v>
      </c>
    </row>
    <row r="74" spans="1:11">
      <c r="A74" s="26">
        <v>24</v>
      </c>
      <c r="B74" s="82">
        <f t="shared" si="3"/>
        <v>3.2921237647087764E-4</v>
      </c>
      <c r="C74" s="58">
        <f t="shared" si="9"/>
        <v>42.310496007123007</v>
      </c>
      <c r="D74" s="83">
        <f t="shared" si="5"/>
        <v>180.46036086514135</v>
      </c>
      <c r="E74">
        <f t="shared" si="0"/>
        <v>10.721150483474275</v>
      </c>
      <c r="G74">
        <v>24</v>
      </c>
      <c r="H74" s="13">
        <f t="shared" si="6"/>
        <v>5.1608656820910426E-2</v>
      </c>
      <c r="I74">
        <f t="shared" si="7"/>
        <v>43.541202673789556</v>
      </c>
      <c r="J74">
        <f t="shared" si="1"/>
        <v>182.75100764170799</v>
      </c>
      <c r="K74" s="27">
        <f t="shared" si="2"/>
        <v>1724.4602940015336</v>
      </c>
    </row>
    <row r="75" spans="1:11">
      <c r="A75" s="26">
        <v>25</v>
      </c>
      <c r="B75" s="82">
        <f t="shared" si="3"/>
        <v>3.2921237647087764E-4</v>
      </c>
      <c r="C75" s="58">
        <f t="shared" si="9"/>
        <v>42.310825219499478</v>
      </c>
      <c r="D75" s="83">
        <f t="shared" si="5"/>
        <v>180.46102366993298</v>
      </c>
      <c r="E75">
        <f t="shared" si="0"/>
        <v>10.721229236141369</v>
      </c>
      <c r="G75">
        <v>25</v>
      </c>
      <c r="H75" s="13">
        <f t="shared" si="6"/>
        <v>5.1608656820910426E-2</v>
      </c>
      <c r="I75">
        <f t="shared" si="7"/>
        <v>43.592811330610466</v>
      </c>
      <c r="J75">
        <f t="shared" si="1"/>
        <v>182.83983829991229</v>
      </c>
      <c r="K75" s="27">
        <f t="shared" si="2"/>
        <v>1726.1318742412211</v>
      </c>
    </row>
    <row r="76" spans="1:11">
      <c r="A76" s="26">
        <v>26</v>
      </c>
      <c r="B76" s="82">
        <f t="shared" si="3"/>
        <v>3.2921237647087764E-4</v>
      </c>
      <c r="C76" s="58">
        <f t="shared" si="9"/>
        <v>42.311154431875948</v>
      </c>
      <c r="D76" s="83">
        <f t="shared" si="5"/>
        <v>180.46168644440127</v>
      </c>
      <c r="E76">
        <f t="shared" si="0"/>
        <v>10.721307985494859</v>
      </c>
      <c r="G76">
        <v>26</v>
      </c>
      <c r="H76" s="13">
        <f t="shared" si="6"/>
        <v>5.1608656820910426E-2</v>
      </c>
      <c r="I76">
        <f t="shared" si="7"/>
        <v>43.644419987431377</v>
      </c>
      <c r="J76">
        <f t="shared" si="1"/>
        <v>182.92815482485815</v>
      </c>
      <c r="K76" s="27">
        <f t="shared" si="2"/>
        <v>1727.7946167762248</v>
      </c>
    </row>
    <row r="77" spans="1:11">
      <c r="A77" s="26">
        <v>27</v>
      </c>
      <c r="B77" s="82">
        <f t="shared" si="3"/>
        <v>3.2921237647087764E-4</v>
      </c>
      <c r="C77" s="58">
        <f t="shared" si="9"/>
        <v>42.311483644252419</v>
      </c>
      <c r="D77" s="83">
        <f t="shared" si="5"/>
        <v>180.46234918854952</v>
      </c>
      <c r="E77">
        <f t="shared" si="0"/>
        <v>10.7213867315351</v>
      </c>
      <c r="G77">
        <v>27</v>
      </c>
      <c r="H77" s="13">
        <f t="shared" si="6"/>
        <v>5.1608656820910426E-2</v>
      </c>
      <c r="I77">
        <f t="shared" si="7"/>
        <v>43.696028644252287</v>
      </c>
      <c r="J77">
        <f t="shared" si="1"/>
        <v>183.01596382401794</v>
      </c>
      <c r="K77" s="27">
        <f t="shared" si="2"/>
        <v>1729.4486311095645</v>
      </c>
    </row>
    <row r="78" spans="1:11">
      <c r="A78" s="26">
        <v>28</v>
      </c>
      <c r="B78" s="82">
        <f t="shared" si="3"/>
        <v>3.2921237647087764E-4</v>
      </c>
      <c r="C78" s="58">
        <f t="shared" si="9"/>
        <v>42.31181285662889</v>
      </c>
      <c r="D78" s="83">
        <f t="shared" si="5"/>
        <v>180.46301190238111</v>
      </c>
      <c r="E78">
        <f t="shared" si="0"/>
        <v>10.721465474262452</v>
      </c>
      <c r="G78">
        <v>28</v>
      </c>
      <c r="H78" s="13">
        <f t="shared" si="6"/>
        <v>5.1608656820910426E-2</v>
      </c>
      <c r="I78">
        <f t="shared" si="7"/>
        <v>43.747637301073198</v>
      </c>
      <c r="J78">
        <f t="shared" si="1"/>
        <v>183.1032717551156</v>
      </c>
      <c r="K78" s="27">
        <f t="shared" si="2"/>
        <v>1731.0940242737281</v>
      </c>
    </row>
    <row r="79" spans="1:11">
      <c r="A79" s="26">
        <v>29</v>
      </c>
      <c r="B79" s="82">
        <f t="shared" si="3"/>
        <v>3.2921237647087764E-4</v>
      </c>
      <c r="C79" s="58">
        <f t="shared" si="9"/>
        <v>42.312142069005361</v>
      </c>
      <c r="D79" s="83">
        <f t="shared" si="5"/>
        <v>180.46367458589935</v>
      </c>
      <c r="E79">
        <f t="shared" si="0"/>
        <v>10.721544213677271</v>
      </c>
      <c r="G79">
        <v>29</v>
      </c>
      <c r="H79" s="13">
        <f t="shared" si="6"/>
        <v>5.1608656820910426E-2</v>
      </c>
      <c r="I79">
        <f t="shared" si="7"/>
        <v>43.799245957894108</v>
      </c>
      <c r="J79">
        <f t="shared" si="1"/>
        <v>183.19008493085587</v>
      </c>
      <c r="K79" s="27">
        <f t="shared" si="2"/>
        <v>1732.730900908339</v>
      </c>
    </row>
    <row r="80" spans="1:11">
      <c r="A80" s="26">
        <v>30</v>
      </c>
      <c r="B80" s="82">
        <f t="shared" si="3"/>
        <v>3.2921237647087764E-4</v>
      </c>
      <c r="C80" s="58">
        <f t="shared" ref="C80:C143" si="10">($C$37-$C$36)/2000+C79</f>
        <v>42.312471281381832</v>
      </c>
      <c r="D80" s="83">
        <f t="shared" si="5"/>
        <v>180.46433723910758</v>
      </c>
      <c r="E80">
        <f t="shared" si="0"/>
        <v>10.721622949779913</v>
      </c>
      <c r="G80">
        <v>30</v>
      </c>
      <c r="H80" s="13">
        <f t="shared" si="6"/>
        <v>5.1608656820910426E-2</v>
      </c>
      <c r="I80">
        <f t="shared" si="7"/>
        <v>43.850854614715018</v>
      </c>
      <c r="J80">
        <f t="shared" si="1"/>
        <v>183.27640952346249</v>
      </c>
      <c r="K80" s="27">
        <f t="shared" si="2"/>
        <v>1734.3593633347136</v>
      </c>
    </row>
    <row r="81" spans="1:11">
      <c r="A81" s="26">
        <v>31</v>
      </c>
      <c r="B81" s="82">
        <f t="shared" si="3"/>
        <v>3.2921237647087764E-4</v>
      </c>
      <c r="C81" s="58">
        <f t="shared" si="10"/>
        <v>42.312800493758303</v>
      </c>
      <c r="D81" s="83">
        <f t="shared" si="5"/>
        <v>180.46499986200911</v>
      </c>
      <c r="E81">
        <f t="shared" si="0"/>
        <v>10.721701682570734</v>
      </c>
      <c r="G81">
        <v>31</v>
      </c>
      <c r="H81" s="13">
        <f t="shared" si="6"/>
        <v>5.1608656820910426E-2</v>
      </c>
      <c r="I81">
        <f t="shared" si="7"/>
        <v>43.902463271535929</v>
      </c>
      <c r="J81">
        <f t="shared" si="1"/>
        <v>183.36225156903507</v>
      </c>
      <c r="K81" s="27">
        <f t="shared" si="2"/>
        <v>1735.9795116274452</v>
      </c>
    </row>
    <row r="82" spans="1:11">
      <c r="A82" s="26">
        <v>32</v>
      </c>
      <c r="B82" s="82">
        <f t="shared" si="3"/>
        <v>3.2921237647087764E-4</v>
      </c>
      <c r="C82" s="58">
        <f t="shared" si="10"/>
        <v>42.313129706134774</v>
      </c>
      <c r="D82" s="83">
        <f t="shared" si="5"/>
        <v>180.46566245460733</v>
      </c>
      <c r="E82">
        <f t="shared" si="0"/>
        <v>10.721780412050094</v>
      </c>
      <c r="G82">
        <v>32</v>
      </c>
      <c r="H82" s="13">
        <f t="shared" si="6"/>
        <v>5.1608656820910426E-2</v>
      </c>
      <c r="I82">
        <f t="shared" si="7"/>
        <v>43.954071928356839</v>
      </c>
      <c r="J82">
        <f t="shared" si="1"/>
        <v>183.44761697173325</v>
      </c>
      <c r="K82" s="27">
        <f t="shared" si="2"/>
        <v>1737.5914436831629</v>
      </c>
    </row>
    <row r="83" spans="1:11">
      <c r="A83" s="26">
        <v>33</v>
      </c>
      <c r="B83" s="82">
        <f t="shared" si="3"/>
        <v>3.2921237647087764E-4</v>
      </c>
      <c r="C83" s="58">
        <f t="shared" si="10"/>
        <v>42.313458918511245</v>
      </c>
      <c r="D83" s="83">
        <f t="shared" si="5"/>
        <v>180.46632501690553</v>
      </c>
      <c r="E83">
        <f t="shared" si="0"/>
        <v>10.721859138218347</v>
      </c>
      <c r="G83">
        <v>33</v>
      </c>
      <c r="H83" s="13">
        <f t="shared" si="6"/>
        <v>5.1608656820910426E-2</v>
      </c>
      <c r="I83">
        <f t="shared" si="7"/>
        <v>44.00568058517775</v>
      </c>
      <c r="J83">
        <f t="shared" si="1"/>
        <v>183.53251150779661</v>
      </c>
      <c r="K83" s="27">
        <f t="shared" si="2"/>
        <v>1739.1952552866062</v>
      </c>
    </row>
    <row r="84" spans="1:11">
      <c r="A84" s="26">
        <v>34</v>
      </c>
      <c r="B84" s="82">
        <f t="shared" si="3"/>
        <v>3.2921237647087764E-4</v>
      </c>
      <c r="C84" s="58">
        <f t="shared" si="10"/>
        <v>42.313788130887716</v>
      </c>
      <c r="D84" s="83">
        <f t="shared" si="5"/>
        <v>180.46698754890707</v>
      </c>
      <c r="E84">
        <f t="shared" si="0"/>
        <v>10.721937861075851</v>
      </c>
      <c r="G84">
        <v>34</v>
      </c>
      <c r="H84" s="13">
        <f t="shared" si="6"/>
        <v>5.1608656820910426E-2</v>
      </c>
      <c r="I84">
        <f t="shared" si="7"/>
        <v>44.05728924199866</v>
      </c>
      <c r="J84">
        <f t="shared" si="1"/>
        <v>183.61694082940801</v>
      </c>
      <c r="K84" s="27">
        <f t="shared" si="2"/>
        <v>1740.7910401741328</v>
      </c>
    </row>
    <row r="85" spans="1:11">
      <c r="A85" s="26">
        <v>35</v>
      </c>
      <c r="B85" s="82">
        <f t="shared" si="3"/>
        <v>3.2921237647087764E-4</v>
      </c>
      <c r="C85" s="58">
        <f t="shared" si="10"/>
        <v>42.314117343264186</v>
      </c>
      <c r="D85" s="83">
        <f t="shared" si="5"/>
        <v>180.46765005061528</v>
      </c>
      <c r="E85">
        <f t="shared" si="0"/>
        <v>10.722016580622961</v>
      </c>
      <c r="G85">
        <v>35</v>
      </c>
      <c r="H85" s="13">
        <f t="shared" si="6"/>
        <v>5.1608656820910426E-2</v>
      </c>
      <c r="I85">
        <f t="shared" si="7"/>
        <v>44.108897898819571</v>
      </c>
      <c r="J85">
        <f t="shared" si="1"/>
        <v>183.70091046840787</v>
      </c>
      <c r="K85" s="27">
        <f t="shared" si="2"/>
        <v>1742.3788900947902</v>
      </c>
    </row>
    <row r="86" spans="1:11">
      <c r="A86" s="26">
        <v>36</v>
      </c>
      <c r="B86" s="82">
        <f t="shared" si="3"/>
        <v>3.2921237647087764E-4</v>
      </c>
      <c r="C86" s="58">
        <f t="shared" si="10"/>
        <v>42.314446555640657</v>
      </c>
      <c r="D86" s="83">
        <f t="shared" si="5"/>
        <v>180.46831252203347</v>
      </c>
      <c r="E86">
        <f t="shared" si="0"/>
        <v>10.722095296860031</v>
      </c>
      <c r="G86">
        <v>36</v>
      </c>
      <c r="H86" s="13">
        <f t="shared" si="6"/>
        <v>5.1608656820910426E-2</v>
      </c>
      <c r="I86">
        <f t="shared" si="7"/>
        <v>44.160506555640481</v>
      </c>
      <c r="J86">
        <f t="shared" si="1"/>
        <v>183.7844258398662</v>
      </c>
      <c r="K86" s="27">
        <f t="shared" si="2"/>
        <v>1743.9588948690553</v>
      </c>
    </row>
    <row r="87" spans="1:11">
      <c r="A87" s="26">
        <v>37</v>
      </c>
      <c r="B87" s="82">
        <f t="shared" si="3"/>
        <v>3.2921237647087764E-4</v>
      </c>
      <c r="C87" s="58">
        <f t="shared" si="10"/>
        <v>42.314775768017128</v>
      </c>
      <c r="D87" s="83">
        <f t="shared" si="5"/>
        <v>180.46897496316498</v>
      </c>
      <c r="E87">
        <f t="shared" si="0"/>
        <v>10.722174009787418</v>
      </c>
      <c r="G87">
        <v>37</v>
      </c>
      <c r="H87" s="13">
        <f t="shared" si="6"/>
        <v>5.1608656820910426E-2</v>
      </c>
      <c r="I87">
        <f t="shared" si="7"/>
        <v>44.212115212461391</v>
      </c>
      <c r="J87">
        <f t="shared" si="1"/>
        <v>183.86749224551923</v>
      </c>
      <c r="K87" s="27">
        <f t="shared" si="2"/>
        <v>1745.5311424453573</v>
      </c>
    </row>
    <row r="88" spans="1:11">
      <c r="A88" s="26">
        <v>38</v>
      </c>
      <c r="B88" s="82">
        <f t="shared" si="3"/>
        <v>3.2921237647087764E-4</v>
      </c>
      <c r="C88" s="58">
        <f t="shared" si="10"/>
        <v>42.315104980393599</v>
      </c>
      <c r="D88" s="83">
        <f t="shared" si="5"/>
        <v>180.46963737401316</v>
      </c>
      <c r="E88">
        <f t="shared" si="0"/>
        <v>10.722252719405484</v>
      </c>
      <c r="G88">
        <v>38</v>
      </c>
      <c r="H88" s="13">
        <f t="shared" si="6"/>
        <v>5.1608656820910426E-2</v>
      </c>
      <c r="I88">
        <f t="shared" si="7"/>
        <v>44.263723869282302</v>
      </c>
      <c r="J88">
        <f t="shared" si="1"/>
        <v>183.95011487707669</v>
      </c>
      <c r="K88" s="27">
        <f t="shared" si="2"/>
        <v>1747.0957189544833</v>
      </c>
    </row>
    <row r="89" spans="1:11">
      <c r="A89" s="26">
        <v>39</v>
      </c>
      <c r="B89" s="82">
        <f t="shared" si="3"/>
        <v>3.2921237647087764E-4</v>
      </c>
      <c r="C89" s="58">
        <f t="shared" si="10"/>
        <v>42.31543419277007</v>
      </c>
      <c r="D89" s="83">
        <f t="shared" si="5"/>
        <v>180.4702997545813</v>
      </c>
      <c r="E89">
        <f t="shared" si="0"/>
        <v>10.722331425714577</v>
      </c>
      <c r="G89">
        <v>39</v>
      </c>
      <c r="H89" s="13">
        <f t="shared" si="6"/>
        <v>5.1608656820910426E-2</v>
      </c>
      <c r="I89">
        <f t="shared" si="7"/>
        <v>44.315332526103212</v>
      </c>
      <c r="J89">
        <f t="shared" si="1"/>
        <v>184.03229881940564</v>
      </c>
      <c r="K89" s="27">
        <f t="shared" si="2"/>
        <v>1748.6527087619595</v>
      </c>
    </row>
    <row r="90" spans="1:11">
      <c r="A90" s="26">
        <v>40</v>
      </c>
      <c r="B90" s="82">
        <f t="shared" si="3"/>
        <v>3.2921237647087764E-4</v>
      </c>
      <c r="C90" s="58">
        <f t="shared" si="10"/>
        <v>42.315763405146541</v>
      </c>
      <c r="D90" s="83">
        <f t="shared" si="5"/>
        <v>180.4709621048728</v>
      </c>
      <c r="E90">
        <f t="shared" si="0"/>
        <v>10.72241012871506</v>
      </c>
      <c r="G90">
        <v>40</v>
      </c>
      <c r="H90" s="13">
        <f t="shared" si="6"/>
        <v>5.1608656820910426E-2</v>
      </c>
      <c r="I90">
        <f t="shared" si="7"/>
        <v>44.366941182924123</v>
      </c>
      <c r="J90">
        <f t="shared" si="1"/>
        <v>184.11404905359655</v>
      </c>
      <c r="K90" s="27">
        <f t="shared" si="2"/>
        <v>1750.202194518504</v>
      </c>
    </row>
    <row r="91" spans="1:11">
      <c r="A91" s="26">
        <v>41</v>
      </c>
      <c r="B91" s="82">
        <f t="shared" si="3"/>
        <v>3.2921237647087764E-4</v>
      </c>
      <c r="C91" s="58">
        <f t="shared" si="10"/>
        <v>42.316092617523012</v>
      </c>
      <c r="D91" s="83">
        <f t="shared" si="5"/>
        <v>180.4716244248909</v>
      </c>
      <c r="E91">
        <f t="shared" si="0"/>
        <v>10.722488828407281</v>
      </c>
      <c r="G91">
        <v>41</v>
      </c>
      <c r="H91" s="13">
        <f t="shared" si="6"/>
        <v>5.1608656820910426E-2</v>
      </c>
      <c r="I91">
        <f t="shared" si="7"/>
        <v>44.418549839745033</v>
      </c>
      <c r="J91">
        <f t="shared" si="1"/>
        <v>184.19537045991689</v>
      </c>
      <c r="K91" s="27">
        <f t="shared" si="2"/>
        <v>1751.7442572086341</v>
      </c>
    </row>
    <row r="92" spans="1:11">
      <c r="A92" s="26">
        <v>42</v>
      </c>
      <c r="B92" s="82">
        <f t="shared" si="3"/>
        <v>3.2921237647087764E-4</v>
      </c>
      <c r="C92" s="58">
        <f t="shared" si="10"/>
        <v>42.316421829899483</v>
      </c>
      <c r="D92" s="83">
        <f t="shared" si="5"/>
        <v>180.47228671463898</v>
      </c>
      <c r="E92">
        <f t="shared" si="0"/>
        <v>10.722567524791602</v>
      </c>
      <c r="G92">
        <v>42</v>
      </c>
      <c r="H92" s="13">
        <f t="shared" si="6"/>
        <v>5.1608656820910426E-2</v>
      </c>
      <c r="I92">
        <f t="shared" si="7"/>
        <v>44.470158496565944</v>
      </c>
      <c r="J92">
        <f t="shared" si="1"/>
        <v>184.27626782065715</v>
      </c>
      <c r="K92" s="27">
        <f t="shared" si="2"/>
        <v>1753.2789761975164</v>
      </c>
    </row>
    <row r="93" spans="1:11">
      <c r="A93" s="26">
        <v>43</v>
      </c>
      <c r="B93" s="82">
        <f t="shared" si="3"/>
        <v>3.2921237647087764E-4</v>
      </c>
      <c r="C93" s="58">
        <f t="shared" si="10"/>
        <v>42.316751042275953</v>
      </c>
      <c r="D93" s="83">
        <f t="shared" si="5"/>
        <v>180.47294897412038</v>
      </c>
      <c r="E93">
        <f t="shared" si="0"/>
        <v>10.72264621786838</v>
      </c>
      <c r="G93">
        <v>43</v>
      </c>
      <c r="H93" s="13">
        <f t="shared" si="6"/>
        <v>5.1608656820910426E-2</v>
      </c>
      <c r="I93">
        <f t="shared" si="7"/>
        <v>44.521767153386854</v>
      </c>
      <c r="J93">
        <f t="shared" si="1"/>
        <v>184.35674582287425</v>
      </c>
      <c r="K93" s="27">
        <f t="shared" si="2"/>
        <v>1754.8064292761228</v>
      </c>
    </row>
    <row r="94" spans="1:11">
      <c r="A94" s="26">
        <v>44</v>
      </c>
      <c r="B94" s="82">
        <f t="shared" si="3"/>
        <v>3.2921237647087764E-4</v>
      </c>
      <c r="C94" s="58">
        <f t="shared" si="10"/>
        <v>42.317080254652424</v>
      </c>
      <c r="D94" s="83">
        <f t="shared" si="5"/>
        <v>180.47361120333841</v>
      </c>
      <c r="E94">
        <f t="shared" si="0"/>
        <v>10.722724907637966</v>
      </c>
      <c r="G94">
        <v>44</v>
      </c>
      <c r="H94" s="13">
        <f t="shared" si="6"/>
        <v>5.1608656820910426E-2</v>
      </c>
      <c r="I94">
        <f t="shared" si="7"/>
        <v>44.573375810207764</v>
      </c>
      <c r="J94">
        <f t="shared" si="1"/>
        <v>184.43680906103634</v>
      </c>
      <c r="K94" s="27">
        <f t="shared" si="2"/>
        <v>1756.3266927047837</v>
      </c>
    </row>
    <row r="95" spans="1:11">
      <c r="A95" s="26">
        <v>45</v>
      </c>
      <c r="B95" s="82">
        <f t="shared" si="3"/>
        <v>3.2921237647087764E-4</v>
      </c>
      <c r="C95" s="58">
        <f t="shared" si="10"/>
        <v>42.317409467028895</v>
      </c>
      <c r="D95" s="83">
        <f t="shared" si="5"/>
        <v>180.4742734022964</v>
      </c>
      <c r="E95">
        <f t="shared" si="0"/>
        <v>10.72280359410072</v>
      </c>
      <c r="G95">
        <v>45</v>
      </c>
      <c r="H95" s="13">
        <f t="shared" si="6"/>
        <v>5.1608656820910426E-2</v>
      </c>
      <c r="I95">
        <f t="shared" si="7"/>
        <v>44.624984467028675</v>
      </c>
      <c r="J95">
        <f t="shared" si="1"/>
        <v>184.51646203957412</v>
      </c>
      <c r="K95" s="27">
        <f t="shared" si="2"/>
        <v>1757.8398412551969</v>
      </c>
    </row>
    <row r="96" spans="1:11">
      <c r="A96" s="26">
        <v>46</v>
      </c>
      <c r="B96" s="82">
        <f t="shared" si="3"/>
        <v>3.2921237647087764E-4</v>
      </c>
      <c r="C96" s="58">
        <f t="shared" si="10"/>
        <v>42.317738679405366</v>
      </c>
      <c r="D96" s="83">
        <f t="shared" si="5"/>
        <v>180.47493557099764</v>
      </c>
      <c r="E96">
        <f t="shared" si="0"/>
        <v>10.722882277256993</v>
      </c>
      <c r="G96">
        <v>46</v>
      </c>
      <c r="H96" s="13">
        <f t="shared" si="6"/>
        <v>5.1608656820910426E-2</v>
      </c>
      <c r="I96">
        <f t="shared" si="7"/>
        <v>44.676593123849585</v>
      </c>
      <c r="J96">
        <f t="shared" si="1"/>
        <v>184.59570917534185</v>
      </c>
      <c r="K96" s="27">
        <f t="shared" si="2"/>
        <v>1759.34594825096</v>
      </c>
    </row>
    <row r="97" spans="1:11">
      <c r="A97" s="26">
        <v>47</v>
      </c>
      <c r="B97" s="82">
        <f t="shared" si="3"/>
        <v>3.2921237647087764E-4</v>
      </c>
      <c r="C97" s="58">
        <f t="shared" si="10"/>
        <v>42.318067891781837</v>
      </c>
      <c r="D97" s="83">
        <f t="shared" si="5"/>
        <v>180.47559770944551</v>
      </c>
      <c r="E97">
        <f t="shared" si="0"/>
        <v>10.722960957107142</v>
      </c>
      <c r="G97">
        <v>47</v>
      </c>
      <c r="H97" s="13">
        <f t="shared" si="6"/>
        <v>5.1608656820910426E-2</v>
      </c>
      <c r="I97">
        <f t="shared" si="7"/>
        <v>44.728201780670496</v>
      </c>
      <c r="J97">
        <f t="shared" si="1"/>
        <v>184.67455479999251</v>
      </c>
      <c r="K97" s="27">
        <f t="shared" si="2"/>
        <v>1760.8450856066929</v>
      </c>
    </row>
    <row r="98" spans="1:11">
      <c r="A98" s="26">
        <v>48</v>
      </c>
      <c r="B98" s="82">
        <f t="shared" si="3"/>
        <v>3.2921237647087764E-4</v>
      </c>
      <c r="C98" s="58">
        <f t="shared" si="10"/>
        <v>42.318397104158308</v>
      </c>
      <c r="D98" s="83">
        <f t="shared" si="5"/>
        <v>180.47625981764332</v>
      </c>
      <c r="E98">
        <f t="shared" si="0"/>
        <v>10.723039633651526</v>
      </c>
      <c r="G98">
        <v>48</v>
      </c>
      <c r="H98" s="13">
        <f t="shared" si="6"/>
        <v>5.1608656820910426E-2</v>
      </c>
      <c r="I98">
        <f t="shared" si="7"/>
        <v>44.779810437491406</v>
      </c>
      <c r="J98">
        <f t="shared" si="1"/>
        <v>184.75300316227029</v>
      </c>
      <c r="K98" s="27">
        <f t="shared" si="2"/>
        <v>1762.3373238658071</v>
      </c>
    </row>
    <row r="99" spans="1:11">
      <c r="A99" s="26">
        <v>49</v>
      </c>
      <c r="B99" s="82">
        <f t="shared" si="3"/>
        <v>3.2921237647087764E-4</v>
      </c>
      <c r="C99" s="58">
        <f t="shared" si="10"/>
        <v>42.318726316534779</v>
      </c>
      <c r="D99" s="83">
        <f t="shared" si="5"/>
        <v>180.47692189559436</v>
      </c>
      <c r="E99">
        <f t="shared" si="0"/>
        <v>10.723118306890496</v>
      </c>
      <c r="G99">
        <v>49</v>
      </c>
      <c r="H99" s="13">
        <f t="shared" si="6"/>
        <v>5.1608656820910426E-2</v>
      </c>
      <c r="I99">
        <f t="shared" si="7"/>
        <v>44.831419094312317</v>
      </c>
      <c r="J99">
        <f t="shared" si="1"/>
        <v>184.83105843022449</v>
      </c>
      <c r="K99" s="27">
        <f t="shared" si="2"/>
        <v>1763.8227322369785</v>
      </c>
    </row>
    <row r="100" spans="1:11">
      <c r="A100" s="26">
        <v>50</v>
      </c>
      <c r="B100" s="82">
        <f t="shared" si="3"/>
        <v>3.2921237647087764E-4</v>
      </c>
      <c r="C100" s="58">
        <f t="shared" si="10"/>
        <v>42.31905552891125</v>
      </c>
      <c r="D100" s="83">
        <f t="shared" si="5"/>
        <v>180.47758394330199</v>
      </c>
      <c r="E100">
        <f t="shared" si="0"/>
        <v>10.723196976824411</v>
      </c>
      <c r="G100">
        <v>50</v>
      </c>
      <c r="H100" s="13">
        <f t="shared" si="6"/>
        <v>5.1608656820910426E-2</v>
      </c>
      <c r="I100">
        <f t="shared" si="7"/>
        <v>44.883027751133227</v>
      </c>
      <c r="J100">
        <f t="shared" si="1"/>
        <v>184.90872469334738</v>
      </c>
      <c r="K100" s="27">
        <f t="shared" si="2"/>
        <v>1765.301378629378</v>
      </c>
    </row>
    <row r="101" spans="1:11">
      <c r="A101" s="26">
        <v>51</v>
      </c>
      <c r="B101" s="82">
        <f t="shared" si="3"/>
        <v>3.2921237647087764E-4</v>
      </c>
      <c r="C101" s="58">
        <f t="shared" si="10"/>
        <v>42.31938474128772</v>
      </c>
      <c r="D101" s="83">
        <f t="shared" si="5"/>
        <v>180.47824596076953</v>
      </c>
      <c r="E101">
        <f t="shared" si="0"/>
        <v>10.72327564345362</v>
      </c>
      <c r="G101">
        <v>51</v>
      </c>
      <c r="H101" s="13">
        <f t="shared" si="6"/>
        <v>5.1608656820910426E-2</v>
      </c>
      <c r="I101">
        <f t="shared" si="7"/>
        <v>44.934636407954137</v>
      </c>
      <c r="J101">
        <f t="shared" si="1"/>
        <v>184.9860059646399</v>
      </c>
      <c r="K101" s="27">
        <f t="shared" si="2"/>
        <v>1766.7733296867154</v>
      </c>
    </row>
    <row r="102" spans="1:11">
      <c r="A102" s="26">
        <v>52</v>
      </c>
      <c r="B102" s="82">
        <f t="shared" si="3"/>
        <v>3.2921237647087764E-4</v>
      </c>
      <c r="C102" s="58">
        <f t="shared" si="10"/>
        <v>42.319713953664191</v>
      </c>
      <c r="D102" s="83">
        <f t="shared" si="5"/>
        <v>180.47890794800028</v>
      </c>
      <c r="E102">
        <f t="shared" si="0"/>
        <v>10.723354306778488</v>
      </c>
      <c r="G102">
        <v>52</v>
      </c>
      <c r="H102" s="13">
        <f t="shared" si="6"/>
        <v>5.1608656820910426E-2</v>
      </c>
      <c r="I102">
        <f t="shared" si="7"/>
        <v>44.986245064775048</v>
      </c>
      <c r="J102">
        <f t="shared" si="1"/>
        <v>185.06290618260763</v>
      </c>
      <c r="K102" s="27">
        <f t="shared" si="2"/>
        <v>1768.2386508201378</v>
      </c>
    </row>
    <row r="103" spans="1:11">
      <c r="A103" s="26">
        <v>53</v>
      </c>
      <c r="B103" s="82">
        <f t="shared" si="3"/>
        <v>3.2921237647087764E-4</v>
      </c>
      <c r="C103" s="58">
        <f t="shared" si="10"/>
        <v>42.320043166040662</v>
      </c>
      <c r="D103" s="83">
        <f t="shared" si="5"/>
        <v>180.47956990499756</v>
      </c>
      <c r="E103">
        <f t="shared" si="0"/>
        <v>10.72343296679936</v>
      </c>
      <c r="G103">
        <v>53</v>
      </c>
      <c r="H103" s="13">
        <f t="shared" si="6"/>
        <v>5.1608656820910426E-2</v>
      </c>
      <c r="I103">
        <f t="shared" si="7"/>
        <v>45.037853721595958</v>
      </c>
      <c r="J103">
        <f t="shared" si="1"/>
        <v>185.13942921319011</v>
      </c>
      <c r="K103" s="27">
        <f t="shared" si="2"/>
        <v>1769.6974062400316</v>
      </c>
    </row>
    <row r="104" spans="1:11">
      <c r="A104" s="26">
        <v>54</v>
      </c>
      <c r="B104" s="82">
        <f t="shared" si="3"/>
        <v>3.2921237647087764E-4</v>
      </c>
      <c r="C104" s="58">
        <f t="shared" si="10"/>
        <v>42.320372378417133</v>
      </c>
      <c r="D104" s="83">
        <f t="shared" si="5"/>
        <v>180.48023183176474</v>
      </c>
      <c r="E104">
        <f t="shared" si="0"/>
        <v>10.723511623516595</v>
      </c>
      <c r="G104">
        <v>54</v>
      </c>
      <c r="H104" s="13">
        <f t="shared" si="6"/>
        <v>5.1608656820910426E-2</v>
      </c>
      <c r="I104">
        <f t="shared" si="7"/>
        <v>45.089462378416869</v>
      </c>
      <c r="J104">
        <f t="shared" si="1"/>
        <v>185.21557885162622</v>
      </c>
      <c r="K104" s="27">
        <f t="shared" si="2"/>
        <v>1771.1496589867813</v>
      </c>
    </row>
    <row r="105" spans="1:11">
      <c r="A105" s="26">
        <v>55</v>
      </c>
      <c r="B105" s="82">
        <f t="shared" si="3"/>
        <v>3.2921237647087764E-4</v>
      </c>
      <c r="C105" s="58">
        <f t="shared" si="10"/>
        <v>42.320701590793604</v>
      </c>
      <c r="D105" s="83">
        <f t="shared" si="5"/>
        <v>180.48089372830509</v>
      </c>
      <c r="E105">
        <f t="shared" si="0"/>
        <v>10.723590276930553</v>
      </c>
      <c r="G105">
        <v>55</v>
      </c>
      <c r="H105" s="13">
        <f t="shared" si="6"/>
        <v>5.1608656820910426E-2</v>
      </c>
      <c r="I105">
        <f t="shared" si="7"/>
        <v>45.141071035237779</v>
      </c>
      <c r="J105">
        <f t="shared" si="1"/>
        <v>185.29135882425825</v>
      </c>
      <c r="K105" s="27">
        <f t="shared" si="2"/>
        <v>1772.5954709605132</v>
      </c>
    </row>
    <row r="106" spans="1:11">
      <c r="A106" s="26">
        <v>56</v>
      </c>
      <c r="B106" s="82">
        <f t="shared" si="3"/>
        <v>3.2921237647087764E-4</v>
      </c>
      <c r="C106" s="58">
        <f t="shared" si="10"/>
        <v>42.321030803170075</v>
      </c>
      <c r="D106" s="83">
        <f t="shared" si="5"/>
        <v>180.48155559462194</v>
      </c>
      <c r="E106">
        <f t="shared" si="0"/>
        <v>10.723668927041581</v>
      </c>
      <c r="G106">
        <v>56</v>
      </c>
      <c r="H106" s="13">
        <f t="shared" si="6"/>
        <v>5.1608656820910426E-2</v>
      </c>
      <c r="I106">
        <f t="shared" si="7"/>
        <v>45.19267969205869</v>
      </c>
      <c r="J106">
        <f t="shared" si="1"/>
        <v>185.36677279027685</v>
      </c>
      <c r="K106" s="27">
        <f t="shared" si="2"/>
        <v>1774.0349029498702</v>
      </c>
    </row>
    <row r="107" spans="1:11">
      <c r="A107" s="26">
        <v>57</v>
      </c>
      <c r="B107" s="82">
        <f t="shared" si="3"/>
        <v>3.2921237647087764E-4</v>
      </c>
      <c r="C107" s="58">
        <f t="shared" si="10"/>
        <v>42.321360015546546</v>
      </c>
      <c r="D107" s="83">
        <f t="shared" si="5"/>
        <v>180.48221743071861</v>
      </c>
      <c r="E107">
        <f t="shared" si="0"/>
        <v>10.723747573850041</v>
      </c>
      <c r="G107">
        <v>57</v>
      </c>
      <c r="H107" s="13">
        <f t="shared" si="6"/>
        <v>5.1608656820910426E-2</v>
      </c>
      <c r="I107">
        <f t="shared" si="7"/>
        <v>45.2442883488796</v>
      </c>
      <c r="J107">
        <f t="shared" si="1"/>
        <v>185.44182434340948</v>
      </c>
      <c r="K107" s="27">
        <f t="shared" si="2"/>
        <v>1775.4680146598621</v>
      </c>
    </row>
    <row r="108" spans="1:11">
      <c r="A108" s="26">
        <v>58</v>
      </c>
      <c r="B108" s="82">
        <f t="shared" si="3"/>
        <v>3.2921237647087764E-4</v>
      </c>
      <c r="C108" s="58">
        <f t="shared" si="10"/>
        <v>42.321689227923017</v>
      </c>
      <c r="D108" s="83">
        <f t="shared" si="5"/>
        <v>180.48287923659842</v>
      </c>
      <c r="E108">
        <f t="shared" si="0"/>
        <v>10.723826217356278</v>
      </c>
      <c r="G108">
        <v>58</v>
      </c>
      <c r="H108" s="13">
        <f t="shared" si="6"/>
        <v>5.1608656820910426E-2</v>
      </c>
      <c r="I108">
        <f t="shared" si="7"/>
        <v>45.29589700570051</v>
      </c>
      <c r="J108">
        <f t="shared" si="1"/>
        <v>185.51651701355456</v>
      </c>
      <c r="K108" s="27">
        <f t="shared" si="2"/>
        <v>1776.8948647388168</v>
      </c>
    </row>
    <row r="109" spans="1:11">
      <c r="A109" s="26">
        <v>59</v>
      </c>
      <c r="B109" s="82">
        <f t="shared" si="3"/>
        <v>3.2921237647087764E-4</v>
      </c>
      <c r="C109" s="58">
        <f t="shared" si="10"/>
        <v>42.322018440299487</v>
      </c>
      <c r="D109" s="83">
        <f t="shared" si="5"/>
        <v>180.48354101226468</v>
      </c>
      <c r="E109">
        <f t="shared" si="0"/>
        <v>10.723904857560655</v>
      </c>
      <c r="G109">
        <v>59</v>
      </c>
      <c r="H109" s="13">
        <f t="shared" si="6"/>
        <v>5.1608656820910426E-2</v>
      </c>
      <c r="I109">
        <f t="shared" si="7"/>
        <v>45.347505662521421</v>
      </c>
      <c r="J109">
        <f t="shared" si="1"/>
        <v>185.59085426836319</v>
      </c>
      <c r="K109" s="27">
        <f t="shared" si="2"/>
        <v>1778.3155108044748</v>
      </c>
    </row>
    <row r="110" spans="1:11">
      <c r="A110" s="26">
        <v>60</v>
      </c>
      <c r="B110" s="82">
        <f t="shared" si="3"/>
        <v>3.2921237647087764E-4</v>
      </c>
      <c r="C110" s="58">
        <f t="shared" si="10"/>
        <v>42.322347652675958</v>
      </c>
      <c r="D110" s="83">
        <f t="shared" si="5"/>
        <v>180.48420275772074</v>
      </c>
      <c r="E110">
        <f t="shared" si="0"/>
        <v>10.72398349446353</v>
      </c>
      <c r="G110">
        <v>60</v>
      </c>
      <c r="H110" s="13">
        <f t="shared" si="6"/>
        <v>5.1608656820910426E-2</v>
      </c>
      <c r="I110">
        <f t="shared" si="7"/>
        <v>45.399114319342331</v>
      </c>
      <c r="J110">
        <f t="shared" si="1"/>
        <v>185.66483951477085</v>
      </c>
      <c r="K110" s="27">
        <f t="shared" si="2"/>
        <v>1779.7300094692609</v>
      </c>
    </row>
    <row r="111" spans="1:11">
      <c r="A111" s="26">
        <v>61</v>
      </c>
      <c r="B111" s="82">
        <f t="shared" si="3"/>
        <v>3.2921237647087764E-4</v>
      </c>
      <c r="C111" s="58">
        <f t="shared" si="10"/>
        <v>42.322676865052429</v>
      </c>
      <c r="D111" s="83">
        <f t="shared" si="5"/>
        <v>180.48486447296989</v>
      </c>
      <c r="E111">
        <f t="shared" si="0"/>
        <v>10.724062128065244</v>
      </c>
      <c r="G111">
        <v>61</v>
      </c>
      <c r="H111" s="13">
        <f t="shared" si="6"/>
        <v>5.1608656820910426E-2</v>
      </c>
      <c r="I111">
        <f t="shared" si="7"/>
        <v>45.450722976163242</v>
      </c>
      <c r="J111">
        <f t="shared" si="1"/>
        <v>185.73847610048071</v>
      </c>
      <c r="K111" s="27">
        <f t="shared" si="2"/>
        <v>1781.1384163647579</v>
      </c>
    </row>
    <row r="112" spans="1:11">
      <c r="A112" s="26">
        <v>62</v>
      </c>
      <c r="B112" s="82">
        <f t="shared" si="3"/>
        <v>3.2921237647087764E-4</v>
      </c>
      <c r="C112" s="58">
        <f t="shared" si="10"/>
        <v>42.3230060774289</v>
      </c>
      <c r="D112" s="83">
        <f t="shared" si="5"/>
        <v>180.48552615801543</v>
      </c>
      <c r="E112">
        <f t="shared" si="0"/>
        <v>10.724140758366163</v>
      </c>
      <c r="G112">
        <v>62</v>
      </c>
      <c r="H112" s="13">
        <f t="shared" si="6"/>
        <v>5.1608656820910426E-2</v>
      </c>
      <c r="I112">
        <f t="shared" si="7"/>
        <v>45.502331632984152</v>
      </c>
      <c r="J112">
        <f t="shared" si="1"/>
        <v>185.81176731540057</v>
      </c>
      <c r="K112" s="27">
        <f t="shared" si="2"/>
        <v>1782.5407861654178</v>
      </c>
    </row>
    <row r="113" spans="1:11">
      <c r="A113" s="26">
        <v>63</v>
      </c>
      <c r="B113" s="82">
        <f t="shared" si="3"/>
        <v>3.2921237647087764E-4</v>
      </c>
      <c r="C113" s="58">
        <f t="shared" si="10"/>
        <v>42.323335289805371</v>
      </c>
      <c r="D113" s="83">
        <f t="shared" si="5"/>
        <v>180.48618781286069</v>
      </c>
      <c r="E113">
        <f t="shared" si="0"/>
        <v>10.724219385366638</v>
      </c>
      <c r="G113">
        <v>63</v>
      </c>
      <c r="H113" s="13">
        <f t="shared" si="6"/>
        <v>5.1608656820910426E-2</v>
      </c>
      <c r="I113">
        <f t="shared" si="7"/>
        <v>45.553940289805062</v>
      </c>
      <c r="J113">
        <f t="shared" si="1"/>
        <v>185.88471639303503</v>
      </c>
      <c r="K113" s="27">
        <f t="shared" si="2"/>
        <v>1783.9371726115426</v>
      </c>
    </row>
    <row r="114" spans="1:11">
      <c r="A114" s="26">
        <v>64</v>
      </c>
      <c r="B114" s="82">
        <f t="shared" si="3"/>
        <v>3.2921237647087764E-4</v>
      </c>
      <c r="C114" s="58">
        <f t="shared" si="10"/>
        <v>42.323664502181842</v>
      </c>
      <c r="D114" s="83">
        <f t="shared" si="5"/>
        <v>180.48684943750899</v>
      </c>
      <c r="E114">
        <f t="shared" si="0"/>
        <v>10.724298009067025</v>
      </c>
      <c r="G114">
        <v>64</v>
      </c>
      <c r="H114" s="13">
        <f t="shared" si="6"/>
        <v>5.1608656820910426E-2</v>
      </c>
      <c r="I114">
        <f t="shared" si="7"/>
        <v>45.605548946625973</v>
      </c>
      <c r="J114">
        <f t="shared" si="1"/>
        <v>185.95732651183496</v>
      </c>
      <c r="K114" s="27">
        <f t="shared" si="2"/>
        <v>1785.3276285315508</v>
      </c>
    </row>
    <row r="115" spans="1:11">
      <c r="A115" s="26">
        <v>65</v>
      </c>
      <c r="B115" s="82">
        <f t="shared" si="3"/>
        <v>3.2921237647087764E-4</v>
      </c>
      <c r="C115" s="58">
        <f t="shared" si="10"/>
        <v>42.323993714558313</v>
      </c>
      <c r="D115" s="83">
        <f t="shared" si="5"/>
        <v>180.48751103196366</v>
      </c>
      <c r="E115">
        <f t="shared" ref="E115:E178" si="11">((D115^2)+(D115*D116)+(D116^2))*B116/3</f>
        <v>10.724376629467676</v>
      </c>
      <c r="G115">
        <v>65</v>
      </c>
      <c r="H115" s="13">
        <f t="shared" si="6"/>
        <v>5.1608656820910426E-2</v>
      </c>
      <c r="I115">
        <f t="shared" si="7"/>
        <v>45.657157603446883</v>
      </c>
      <c r="J115">
        <f t="shared" ref="J115:J178" si="12">IF($G$28&lt;$C$14,0,((($C$11^2)-((I115-$C$13)^2))^0.5)+$C$16)</f>
        <v>186.02960079650518</v>
      </c>
      <c r="K115" s="27">
        <f t="shared" ref="K115:K178" si="13">((J115^2)+(J115*J116)+(J116^2))*H116/3</f>
        <v>1786.7122058635732</v>
      </c>
    </row>
    <row r="116" spans="1:11">
      <c r="A116" s="26">
        <v>66</v>
      </c>
      <c r="B116" s="82">
        <f t="shared" ref="B116:B179" si="14">C116-C115</f>
        <v>3.2921237647087764E-4</v>
      </c>
      <c r="C116" s="58">
        <f t="shared" si="10"/>
        <v>42.324322926934784</v>
      </c>
      <c r="D116" s="83">
        <f t="shared" ref="D116:D179" si="15">IF($G$28&lt;$C$14,0,((($C$11^2)-((C116-$C$13)^2))^0.5)+$C$16)</f>
        <v>180.488172596228</v>
      </c>
      <c r="E116">
        <f t="shared" si="11"/>
        <v>10.724455246568944</v>
      </c>
      <c r="G116">
        <v>66</v>
      </c>
      <c r="H116" s="13">
        <f t="shared" ref="H116:H179" si="16">I116-I115</f>
        <v>5.1608656820910426E-2</v>
      </c>
      <c r="I116">
        <f t="shared" ref="I116:I179" si="17">($G$27-$C$14)/2000+I115</f>
        <v>45.708766260267794</v>
      </c>
      <c r="J116">
        <f t="shared" si="12"/>
        <v>186.10154231927271</v>
      </c>
      <c r="K116" s="27">
        <f t="shared" si="13"/>
        <v>1788.0909556763816</v>
      </c>
    </row>
    <row r="117" spans="1:11">
      <c r="A117" s="26">
        <v>67</v>
      </c>
      <c r="B117" s="82">
        <f t="shared" si="14"/>
        <v>3.2921237647087764E-4</v>
      </c>
      <c r="C117" s="58">
        <f t="shared" si="10"/>
        <v>42.324652139311254</v>
      </c>
      <c r="D117" s="83">
        <f t="shared" si="15"/>
        <v>180.48883413030529</v>
      </c>
      <c r="E117">
        <f t="shared" si="11"/>
        <v>10.724533860371183</v>
      </c>
      <c r="G117">
        <v>67</v>
      </c>
      <c r="H117" s="13">
        <f t="shared" si="16"/>
        <v>5.1608656820910426E-2</v>
      </c>
      <c r="I117">
        <f t="shared" si="17"/>
        <v>45.760374917088704</v>
      </c>
      <c r="J117">
        <f t="shared" si="12"/>
        <v>186.17315410111655</v>
      </c>
      <c r="K117" s="27">
        <f t="shared" si="13"/>
        <v>1789.4639281896996</v>
      </c>
    </row>
    <row r="118" spans="1:11">
      <c r="A118" s="26">
        <v>68</v>
      </c>
      <c r="B118" s="82">
        <f t="shared" si="14"/>
        <v>3.2921237647087764E-4</v>
      </c>
      <c r="C118" s="58">
        <f t="shared" si="10"/>
        <v>42.324981351687725</v>
      </c>
      <c r="D118" s="83">
        <f t="shared" si="15"/>
        <v>180.48949563419887</v>
      </c>
      <c r="E118">
        <f t="shared" si="11"/>
        <v>10.724612470874753</v>
      </c>
      <c r="G118">
        <v>68</v>
      </c>
      <c r="H118" s="13">
        <f t="shared" si="16"/>
        <v>5.1608656820910426E-2</v>
      </c>
      <c r="I118">
        <f t="shared" si="17"/>
        <v>45.811983573909615</v>
      </c>
      <c r="J118">
        <f t="shared" si="12"/>
        <v>186.24443911296044</v>
      </c>
      <c r="K118" s="27">
        <f t="shared" si="13"/>
        <v>1790.8311727938942</v>
      </c>
    </row>
    <row r="119" spans="1:11">
      <c r="A119" s="26">
        <v>69</v>
      </c>
      <c r="B119" s="82">
        <f t="shared" si="14"/>
        <v>3.2921237647087764E-4</v>
      </c>
      <c r="C119" s="58">
        <f t="shared" si="10"/>
        <v>42.325310564064196</v>
      </c>
      <c r="D119" s="83">
        <f t="shared" si="15"/>
        <v>180.49015710791207</v>
      </c>
      <c r="E119">
        <f t="shared" si="11"/>
        <v>10.724691078080005</v>
      </c>
      <c r="G119">
        <v>69</v>
      </c>
      <c r="H119" s="13">
        <f t="shared" si="16"/>
        <v>5.1608656820910426E-2</v>
      </c>
      <c r="I119">
        <f t="shared" si="17"/>
        <v>45.863592230730525</v>
      </c>
      <c r="J119">
        <f t="shared" si="12"/>
        <v>186.31540027683005</v>
      </c>
      <c r="K119" s="27">
        <f t="shared" si="13"/>
        <v>1792.1927380690902</v>
      </c>
    </row>
    <row r="120" spans="1:11">
      <c r="A120" s="26">
        <v>70</v>
      </c>
      <c r="B120" s="82">
        <f t="shared" si="14"/>
        <v>3.2921237647087764E-4</v>
      </c>
      <c r="C120" s="58">
        <f t="shared" si="10"/>
        <v>42.325639776440667</v>
      </c>
      <c r="D120" s="83">
        <f t="shared" si="15"/>
        <v>180.49081855144817</v>
      </c>
      <c r="E120">
        <f t="shared" si="11"/>
        <v>10.72476968198729</v>
      </c>
      <c r="G120">
        <v>70</v>
      </c>
      <c r="H120" s="13">
        <f t="shared" si="16"/>
        <v>5.1608656820910426E-2</v>
      </c>
      <c r="I120">
        <f t="shared" si="17"/>
        <v>45.915200887551435</v>
      </c>
      <c r="J120">
        <f t="shared" si="12"/>
        <v>186.38604046697597</v>
      </c>
      <c r="K120" s="27">
        <f t="shared" si="13"/>
        <v>1793.5486718037125</v>
      </c>
    </row>
    <row r="121" spans="1:11">
      <c r="A121" s="26">
        <v>71</v>
      </c>
      <c r="B121" s="82">
        <f t="shared" si="14"/>
        <v>3.2921237647087764E-4</v>
      </c>
      <c r="C121" s="58">
        <f t="shared" si="10"/>
        <v>42.325968988817138</v>
      </c>
      <c r="D121" s="83">
        <f t="shared" si="15"/>
        <v>180.49147996481048</v>
      </c>
      <c r="E121">
        <f t="shared" si="11"/>
        <v>10.724848282596961</v>
      </c>
      <c r="G121">
        <v>71</v>
      </c>
      <c r="H121" s="13">
        <f t="shared" si="16"/>
        <v>5.1608656820910426E-2</v>
      </c>
      <c r="I121">
        <f t="shared" si="17"/>
        <v>45.966809544372346</v>
      </c>
      <c r="J121">
        <f t="shared" si="12"/>
        <v>186.45636251096366</v>
      </c>
      <c r="K121" s="27">
        <f t="shared" si="13"/>
        <v>1794.8990210124921</v>
      </c>
    </row>
    <row r="122" spans="1:11">
      <c r="A122" s="26">
        <v>72</v>
      </c>
      <c r="B122" s="82">
        <f t="shared" si="14"/>
        <v>3.2921237647087764E-4</v>
      </c>
      <c r="C122" s="58">
        <f t="shared" si="10"/>
        <v>42.326298201193609</v>
      </c>
      <c r="D122" s="83">
        <f t="shared" si="15"/>
        <v>180.49214134800232</v>
      </c>
      <c r="E122">
        <f t="shared" si="11"/>
        <v>10.724926879909377</v>
      </c>
      <c r="G122">
        <v>72</v>
      </c>
      <c r="H122" s="13">
        <f t="shared" si="16"/>
        <v>5.1608656820910426E-2</v>
      </c>
      <c r="I122">
        <f t="shared" si="17"/>
        <v>46.018418201193256</v>
      </c>
      <c r="J122">
        <f t="shared" si="12"/>
        <v>186.52636919073132</v>
      </c>
      <c r="K122" s="27">
        <f t="shared" si="13"/>
        <v>1796.2438319539413</v>
      </c>
    </row>
    <row r="123" spans="1:11">
      <c r="A123" s="26">
        <v>73</v>
      </c>
      <c r="B123" s="82">
        <f t="shared" si="14"/>
        <v>3.2921237647087764E-4</v>
      </c>
      <c r="C123" s="58">
        <f t="shared" si="10"/>
        <v>42.32662741357008</v>
      </c>
      <c r="D123" s="83">
        <f t="shared" si="15"/>
        <v>180.49280270102702</v>
      </c>
      <c r="E123">
        <f t="shared" si="11"/>
        <v>10.725005473924893</v>
      </c>
      <c r="G123">
        <v>73</v>
      </c>
      <c r="H123" s="13">
        <f t="shared" si="16"/>
        <v>5.1608656820910426E-2</v>
      </c>
      <c r="I123">
        <f t="shared" si="17"/>
        <v>46.070026858014167</v>
      </c>
      <c r="J123">
        <f t="shared" si="12"/>
        <v>186.59606324361721</v>
      </c>
      <c r="K123" s="27">
        <f t="shared" si="13"/>
        <v>1797.5831501473233</v>
      </c>
    </row>
    <row r="124" spans="1:11">
      <c r="A124" s="26">
        <v>74</v>
      </c>
      <c r="B124" s="82">
        <f t="shared" si="14"/>
        <v>3.2921237647087764E-4</v>
      </c>
      <c r="C124" s="58">
        <f t="shared" si="10"/>
        <v>42.326956625946551</v>
      </c>
      <c r="D124" s="83">
        <f t="shared" si="15"/>
        <v>180.49346402388784</v>
      </c>
      <c r="E124">
        <f t="shared" si="11"/>
        <v>10.725084064643854</v>
      </c>
      <c r="G124">
        <v>74</v>
      </c>
      <c r="H124" s="13">
        <f t="shared" si="16"/>
        <v>5.1608656820910426E-2</v>
      </c>
      <c r="I124">
        <f t="shared" si="17"/>
        <v>46.121635514835077</v>
      </c>
      <c r="J124">
        <f t="shared" si="12"/>
        <v>186.6654473633572</v>
      </c>
      <c r="K124" s="27">
        <f t="shared" si="13"/>
        <v>1798.9170203891379</v>
      </c>
    </row>
    <row r="125" spans="1:11">
      <c r="A125" s="26">
        <v>75</v>
      </c>
      <c r="B125" s="82">
        <f t="shared" si="14"/>
        <v>3.2921237647087764E-4</v>
      </c>
      <c r="C125" s="58">
        <f t="shared" si="10"/>
        <v>42.327285838323021</v>
      </c>
      <c r="D125" s="83">
        <f t="shared" si="15"/>
        <v>180.49412531658811</v>
      </c>
      <c r="E125">
        <f t="shared" si="11"/>
        <v>10.725162652066622</v>
      </c>
      <c r="G125">
        <v>75</v>
      </c>
      <c r="H125" s="13">
        <f t="shared" si="16"/>
        <v>5.1608656820910426E-2</v>
      </c>
      <c r="I125">
        <f t="shared" si="17"/>
        <v>46.173244171655988</v>
      </c>
      <c r="J125">
        <f t="shared" si="12"/>
        <v>186.73452420105389</v>
      </c>
      <c r="K125" s="27">
        <f t="shared" si="13"/>
        <v>1800.2454867691295</v>
      </c>
    </row>
    <row r="126" spans="1:11">
      <c r="A126" s="26">
        <v>76</v>
      </c>
      <c r="B126" s="82">
        <f t="shared" si="14"/>
        <v>3.2921237647087764E-4</v>
      </c>
      <c r="C126" s="58">
        <f t="shared" si="10"/>
        <v>42.327615050699492</v>
      </c>
      <c r="D126" s="83">
        <f t="shared" si="15"/>
        <v>180.49478657913116</v>
      </c>
      <c r="E126">
        <f t="shared" si="11"/>
        <v>10.725241236193545</v>
      </c>
      <c r="G126">
        <v>76</v>
      </c>
      <c r="H126" s="13">
        <f t="shared" si="16"/>
        <v>5.1608656820910426E-2</v>
      </c>
      <c r="I126">
        <f t="shared" si="17"/>
        <v>46.224852828476898</v>
      </c>
      <c r="J126">
        <f t="shared" si="12"/>
        <v>186.80329636611779</v>
      </c>
      <c r="K126" s="27">
        <f t="shared" si="13"/>
        <v>1801.5685926858459</v>
      </c>
    </row>
    <row r="127" spans="1:11">
      <c r="A127" s="26">
        <v>77</v>
      </c>
      <c r="B127" s="82">
        <f t="shared" si="14"/>
        <v>3.2921237647087764E-4</v>
      </c>
      <c r="C127" s="58">
        <f t="shared" si="10"/>
        <v>42.327944263075963</v>
      </c>
      <c r="D127" s="83">
        <f t="shared" si="15"/>
        <v>180.49544781152025</v>
      </c>
      <c r="E127">
        <f t="shared" si="11"/>
        <v>10.72531981702498</v>
      </c>
      <c r="G127">
        <v>77</v>
      </c>
      <c r="H127" s="13">
        <f t="shared" si="16"/>
        <v>5.1608656820910426E-2</v>
      </c>
      <c r="I127">
        <f t="shared" si="17"/>
        <v>46.276461485297808</v>
      </c>
      <c r="J127">
        <f t="shared" si="12"/>
        <v>186.87176642718219</v>
      </c>
      <c r="K127" s="27">
        <f t="shared" si="13"/>
        <v>1802.8863808617537</v>
      </c>
    </row>
    <row r="128" spans="1:11">
      <c r="A128" s="26">
        <v>78</v>
      </c>
      <c r="B128" s="82">
        <f t="shared" si="14"/>
        <v>3.2921237647087764E-4</v>
      </c>
      <c r="C128" s="58">
        <f t="shared" si="10"/>
        <v>42.328273475452434</v>
      </c>
      <c r="D128" s="83">
        <f t="shared" si="15"/>
        <v>180.49610901375874</v>
      </c>
      <c r="E128">
        <f t="shared" si="11"/>
        <v>10.725398394561282</v>
      </c>
      <c r="G128">
        <v>78</v>
      </c>
      <c r="H128" s="13">
        <f t="shared" si="16"/>
        <v>5.1608656820910426E-2</v>
      </c>
      <c r="I128">
        <f t="shared" si="17"/>
        <v>46.328070142118719</v>
      </c>
      <c r="J128">
        <f t="shared" si="12"/>
        <v>186.93993691299198</v>
      </c>
      <c r="K128" s="27">
        <f t="shared" si="13"/>
        <v>1804.1988933579314</v>
      </c>
    </row>
    <row r="129" spans="1:11">
      <c r="A129" s="26">
        <v>79</v>
      </c>
      <c r="B129" s="82">
        <f t="shared" si="14"/>
        <v>3.2921237647087764E-4</v>
      </c>
      <c r="C129" s="58">
        <f t="shared" si="10"/>
        <v>42.328602687828905</v>
      </c>
      <c r="D129" s="83">
        <f t="shared" si="15"/>
        <v>180.4967701858499</v>
      </c>
      <c r="E129">
        <f t="shared" si="11"/>
        <v>10.725476968802795</v>
      </c>
      <c r="G129">
        <v>79</v>
      </c>
      <c r="H129" s="13">
        <f t="shared" si="16"/>
        <v>5.1608656820910426E-2</v>
      </c>
      <c r="I129">
        <f t="shared" si="17"/>
        <v>46.379678798939629</v>
      </c>
      <c r="J129">
        <f t="shared" si="12"/>
        <v>187.0078103132679</v>
      </c>
      <c r="K129" s="27">
        <f t="shared" si="13"/>
        <v>1805.5061715883546</v>
      </c>
    </row>
    <row r="130" spans="1:11">
      <c r="A130" s="26">
        <v>80</v>
      </c>
      <c r="B130" s="82">
        <f t="shared" si="14"/>
        <v>3.2921237647087764E-4</v>
      </c>
      <c r="C130" s="58">
        <f t="shared" si="10"/>
        <v>42.328931900205376</v>
      </c>
      <c r="D130" s="83">
        <f t="shared" si="15"/>
        <v>180.49743132779702</v>
      </c>
      <c r="E130">
        <f t="shared" si="11"/>
        <v>10.725555539749884</v>
      </c>
      <c r="G130">
        <v>80</v>
      </c>
      <c r="H130" s="13">
        <f t="shared" si="16"/>
        <v>5.1608656820910426E-2</v>
      </c>
      <c r="I130">
        <f t="shared" si="17"/>
        <v>46.43128745576054</v>
      </c>
      <c r="J130">
        <f t="shared" si="12"/>
        <v>187.07538907954651</v>
      </c>
      <c r="K130" s="27">
        <f t="shared" si="13"/>
        <v>1806.8082563337809</v>
      </c>
    </row>
    <row r="131" spans="1:11">
      <c r="A131" s="26">
        <v>81</v>
      </c>
      <c r="B131" s="82">
        <f t="shared" si="14"/>
        <v>3.2921237647087764E-4</v>
      </c>
      <c r="C131" s="58">
        <f t="shared" si="10"/>
        <v>42.329261112581847</v>
      </c>
      <c r="D131" s="83">
        <f t="shared" si="15"/>
        <v>180.49809243960345</v>
      </c>
      <c r="E131">
        <f t="shared" si="11"/>
        <v>10.725634107402897</v>
      </c>
      <c r="G131">
        <v>81</v>
      </c>
      <c r="H131" s="13">
        <f t="shared" si="16"/>
        <v>5.1608656820910426E-2</v>
      </c>
      <c r="I131">
        <f t="shared" si="17"/>
        <v>46.48289611258145</v>
      </c>
      <c r="J131">
        <f t="shared" si="12"/>
        <v>187.14267562599719</v>
      </c>
      <c r="K131" s="27">
        <f t="shared" si="13"/>
        <v>1808.1051877552579</v>
      </c>
    </row>
    <row r="132" spans="1:11">
      <c r="A132" s="26">
        <v>82</v>
      </c>
      <c r="B132" s="82">
        <f t="shared" si="14"/>
        <v>3.2921237647087764E-4</v>
      </c>
      <c r="C132" s="58">
        <f t="shared" si="10"/>
        <v>42.329590324958318</v>
      </c>
      <c r="D132" s="83">
        <f t="shared" si="15"/>
        <v>180.49875352127245</v>
      </c>
      <c r="E132">
        <f t="shared" si="11"/>
        <v>10.725712671762187</v>
      </c>
      <c r="G132">
        <v>82</v>
      </c>
      <c r="H132" s="13">
        <f t="shared" si="16"/>
        <v>5.1608656820910426E-2</v>
      </c>
      <c r="I132">
        <f t="shared" si="17"/>
        <v>46.534504769402361</v>
      </c>
      <c r="J132">
        <f t="shared" si="12"/>
        <v>187.20967233021648</v>
      </c>
      <c r="K132" s="27">
        <f t="shared" si="13"/>
        <v>1809.3970054072561</v>
      </c>
    </row>
    <row r="133" spans="1:11">
      <c r="A133" s="26">
        <v>83</v>
      </c>
      <c r="B133" s="82">
        <f t="shared" si="14"/>
        <v>3.2921237647087764E-4</v>
      </c>
      <c r="C133" s="58">
        <f t="shared" si="10"/>
        <v>42.329919537334789</v>
      </c>
      <c r="D133" s="83">
        <f t="shared" si="15"/>
        <v>180.49941457280735</v>
      </c>
      <c r="E133">
        <f t="shared" si="11"/>
        <v>10.725791232828106</v>
      </c>
      <c r="G133">
        <v>83</v>
      </c>
      <c r="H133" s="13">
        <f t="shared" si="16"/>
        <v>5.1608656820910426E-2</v>
      </c>
      <c r="I133">
        <f t="shared" si="17"/>
        <v>46.586113426223271</v>
      </c>
      <c r="J133">
        <f t="shared" si="12"/>
        <v>187.27638153400099</v>
      </c>
      <c r="K133" s="27">
        <f t="shared" si="13"/>
        <v>1810.6837482504491</v>
      </c>
    </row>
    <row r="134" spans="1:11">
      <c r="A134" s="26">
        <v>84</v>
      </c>
      <c r="B134" s="82">
        <f t="shared" si="14"/>
        <v>3.2921237647087764E-4</v>
      </c>
      <c r="C134" s="58">
        <f t="shared" si="10"/>
        <v>42.330248749711259</v>
      </c>
      <c r="D134" s="83">
        <f t="shared" si="15"/>
        <v>180.50007559421144</v>
      </c>
      <c r="E134">
        <f t="shared" si="11"/>
        <v>10.72586979060101</v>
      </c>
      <c r="G134">
        <v>84</v>
      </c>
      <c r="H134" s="13">
        <f t="shared" si="16"/>
        <v>5.1608656820910426E-2</v>
      </c>
      <c r="I134">
        <f t="shared" si="17"/>
        <v>46.637722083044181</v>
      </c>
      <c r="J134">
        <f t="shared" si="12"/>
        <v>187.34280554409918</v>
      </c>
      <c r="K134" s="27">
        <f t="shared" si="13"/>
        <v>1811.9654546641468</v>
      </c>
    </row>
    <row r="135" spans="1:11">
      <c r="A135" s="26">
        <v>85</v>
      </c>
      <c r="B135" s="82">
        <f t="shared" si="14"/>
        <v>3.2921237647087764E-4</v>
      </c>
      <c r="C135" s="58">
        <f t="shared" si="10"/>
        <v>42.33057796208773</v>
      </c>
      <c r="D135" s="83">
        <f t="shared" si="15"/>
        <v>180.50073658548803</v>
      </c>
      <c r="E135">
        <f t="shared" si="11"/>
        <v>10.72594834508125</v>
      </c>
      <c r="G135">
        <v>85</v>
      </c>
      <c r="H135" s="13">
        <f t="shared" si="16"/>
        <v>5.1608656820910426E-2</v>
      </c>
      <c r="I135">
        <f t="shared" si="17"/>
        <v>46.689330739865092</v>
      </c>
      <c r="J135">
        <f t="shared" si="12"/>
        <v>187.4089466329429</v>
      </c>
      <c r="K135" s="27">
        <f t="shared" si="13"/>
        <v>1813.2421624583919</v>
      </c>
    </row>
    <row r="136" spans="1:11">
      <c r="A136" s="26">
        <v>86</v>
      </c>
      <c r="B136" s="82">
        <f t="shared" si="14"/>
        <v>3.2921237647087764E-4</v>
      </c>
      <c r="C136" s="58">
        <f t="shared" si="10"/>
        <v>42.330907174464201</v>
      </c>
      <c r="D136" s="83">
        <f t="shared" si="15"/>
        <v>180.50139754664039</v>
      </c>
      <c r="E136">
        <f t="shared" si="11"/>
        <v>10.726026896269177</v>
      </c>
      <c r="G136">
        <v>86</v>
      </c>
      <c r="H136" s="13">
        <f t="shared" si="16"/>
        <v>5.1608656820910426E-2</v>
      </c>
      <c r="I136">
        <f t="shared" si="17"/>
        <v>46.740939396686002</v>
      </c>
      <c r="J136">
        <f t="shared" si="12"/>
        <v>187.47480703935943</v>
      </c>
      <c r="K136" s="27">
        <f t="shared" si="13"/>
        <v>1814.5139088857377</v>
      </c>
    </row>
    <row r="137" spans="1:11">
      <c r="A137" s="26">
        <v>87</v>
      </c>
      <c r="B137" s="82">
        <f t="shared" si="14"/>
        <v>3.2921237647087764E-4</v>
      </c>
      <c r="C137" s="58">
        <f t="shared" si="10"/>
        <v>42.331236386840672</v>
      </c>
      <c r="D137" s="83">
        <f t="shared" si="15"/>
        <v>180.50205847767185</v>
      </c>
      <c r="E137">
        <f t="shared" si="11"/>
        <v>10.726105444165148</v>
      </c>
      <c r="G137">
        <v>87</v>
      </c>
      <c r="H137" s="13">
        <f t="shared" si="16"/>
        <v>5.1608656820910426E-2</v>
      </c>
      <c r="I137">
        <f t="shared" si="17"/>
        <v>46.792548053506913</v>
      </c>
      <c r="J137">
        <f t="shared" si="12"/>
        <v>187.54038896926448</v>
      </c>
      <c r="K137" s="27">
        <f t="shared" si="13"/>
        <v>1815.7807306527109</v>
      </c>
    </row>
    <row r="138" spans="1:11">
      <c r="A138" s="26">
        <v>88</v>
      </c>
      <c r="B138" s="82">
        <f t="shared" si="14"/>
        <v>3.2921237647087764E-4</v>
      </c>
      <c r="C138" s="58">
        <f t="shared" si="10"/>
        <v>42.331565599217143</v>
      </c>
      <c r="D138" s="83">
        <f t="shared" si="15"/>
        <v>180.50271937858571</v>
      </c>
      <c r="E138">
        <f t="shared" si="11"/>
        <v>10.726183988769513</v>
      </c>
      <c r="G138">
        <v>88</v>
      </c>
      <c r="H138" s="13">
        <f t="shared" si="16"/>
        <v>5.1608656820910426E-2</v>
      </c>
      <c r="I138">
        <f t="shared" si="17"/>
        <v>46.844156710327823</v>
      </c>
      <c r="J138">
        <f t="shared" si="12"/>
        <v>187.6056945963368</v>
      </c>
      <c r="K138" s="27">
        <f t="shared" si="13"/>
        <v>1817.0426639309696</v>
      </c>
    </row>
    <row r="139" spans="1:11">
      <c r="A139" s="26">
        <v>89</v>
      </c>
      <c r="B139" s="82">
        <f t="shared" si="14"/>
        <v>3.2921237647087764E-4</v>
      </c>
      <c r="C139" s="58">
        <f t="shared" si="10"/>
        <v>42.331894811593614</v>
      </c>
      <c r="D139" s="83">
        <f t="shared" si="15"/>
        <v>180.50338024938526</v>
      </c>
      <c r="E139">
        <f t="shared" si="11"/>
        <v>10.726262530082627</v>
      </c>
      <c r="G139">
        <v>89</v>
      </c>
      <c r="H139" s="13">
        <f t="shared" si="16"/>
        <v>5.1608656820910426E-2</v>
      </c>
      <c r="I139">
        <f t="shared" si="17"/>
        <v>46.895765367148734</v>
      </c>
      <c r="J139">
        <f t="shared" si="12"/>
        <v>187.67072606267521</v>
      </c>
      <c r="K139" s="27">
        <f t="shared" si="13"/>
        <v>1818.2997443681745</v>
      </c>
    </row>
    <row r="140" spans="1:11">
      <c r="A140" s="26">
        <v>90</v>
      </c>
      <c r="B140" s="82">
        <f t="shared" si="14"/>
        <v>3.2921237647087764E-4</v>
      </c>
      <c r="C140" s="58">
        <f t="shared" si="10"/>
        <v>42.332224023970085</v>
      </c>
      <c r="D140" s="83">
        <f t="shared" si="15"/>
        <v>180.5040410900738</v>
      </c>
      <c r="E140">
        <f t="shared" si="11"/>
        <v>10.726341068104839</v>
      </c>
      <c r="G140">
        <v>90</v>
      </c>
      <c r="H140" s="13">
        <f t="shared" si="16"/>
        <v>5.1608656820910426E-2</v>
      </c>
      <c r="I140">
        <f t="shared" si="17"/>
        <v>46.947374023969644</v>
      </c>
      <c r="J140">
        <f t="shared" si="12"/>
        <v>187.73548547943824</v>
      </c>
      <c r="K140" s="27">
        <f t="shared" si="13"/>
        <v>1819.5520070985704</v>
      </c>
    </row>
    <row r="141" spans="1:11">
      <c r="A141" s="26">
        <v>91</v>
      </c>
      <c r="B141" s="82">
        <f t="shared" si="14"/>
        <v>3.2921237647087764E-4</v>
      </c>
      <c r="C141" s="58">
        <f t="shared" si="10"/>
        <v>42.332553236346556</v>
      </c>
      <c r="D141" s="83">
        <f t="shared" si="15"/>
        <v>180.50470190065462</v>
      </c>
      <c r="E141">
        <f t="shared" si="11"/>
        <v>10.726419602836502</v>
      </c>
      <c r="G141">
        <v>91</v>
      </c>
      <c r="H141" s="13">
        <f t="shared" si="16"/>
        <v>5.1608656820910426E-2</v>
      </c>
      <c r="I141">
        <f t="shared" si="17"/>
        <v>46.998982680790554</v>
      </c>
      <c r="J141">
        <f t="shared" si="12"/>
        <v>187.79997492746716</v>
      </c>
      <c r="K141" s="27">
        <f t="shared" si="13"/>
        <v>1820.7994867532955</v>
      </c>
    </row>
    <row r="142" spans="1:11">
      <c r="A142" s="26">
        <v>92</v>
      </c>
      <c r="B142" s="82">
        <f t="shared" si="14"/>
        <v>3.2921237647087764E-4</v>
      </c>
      <c r="C142" s="58">
        <f t="shared" si="10"/>
        <v>42.332882448723026</v>
      </c>
      <c r="D142" s="83">
        <f t="shared" si="15"/>
        <v>180.505362681131</v>
      </c>
      <c r="E142">
        <f t="shared" si="11"/>
        <v>10.726498134277969</v>
      </c>
      <c r="G142">
        <v>92</v>
      </c>
      <c r="H142" s="13">
        <f t="shared" si="16"/>
        <v>5.1608656820910426E-2</v>
      </c>
      <c r="I142">
        <f t="shared" si="17"/>
        <v>47.050591337611465</v>
      </c>
      <c r="J142">
        <f t="shared" si="12"/>
        <v>187.86419645789314</v>
      </c>
      <c r="K142" s="27">
        <f t="shared" si="13"/>
        <v>1822.0422174704274</v>
      </c>
    </row>
    <row r="143" spans="1:11">
      <c r="A143" s="26">
        <v>93</v>
      </c>
      <c r="B143" s="82">
        <f t="shared" si="14"/>
        <v>3.2921237647087764E-4</v>
      </c>
      <c r="C143" s="58">
        <f t="shared" si="10"/>
        <v>42.333211661099497</v>
      </c>
      <c r="D143" s="83">
        <f t="shared" si="15"/>
        <v>180.50602343150629</v>
      </c>
      <c r="E143">
        <f t="shared" si="11"/>
        <v>10.726576662429599</v>
      </c>
      <c r="G143">
        <v>93</v>
      </c>
      <c r="H143" s="13">
        <f t="shared" si="16"/>
        <v>5.1608656820910426E-2</v>
      </c>
      <c r="I143">
        <f t="shared" si="17"/>
        <v>47.102199994432375</v>
      </c>
      <c r="J143">
        <f t="shared" si="12"/>
        <v>187.92815209272845</v>
      </c>
      <c r="K143" s="27">
        <f t="shared" si="13"/>
        <v>1823.280232904767</v>
      </c>
    </row>
    <row r="144" spans="1:11">
      <c r="A144" s="26">
        <v>94</v>
      </c>
      <c r="B144" s="82">
        <f t="shared" si="14"/>
        <v>3.2921237647087764E-4</v>
      </c>
      <c r="C144" s="58">
        <f t="shared" ref="C144:C207" si="18">($C$37-$C$36)/2000+C143</f>
        <v>42.333540873475968</v>
      </c>
      <c r="D144" s="83">
        <f t="shared" si="15"/>
        <v>180.50668415178376</v>
      </c>
      <c r="E144">
        <f t="shared" si="11"/>
        <v>10.726655187291739</v>
      </c>
      <c r="G144">
        <v>94</v>
      </c>
      <c r="H144" s="13">
        <f t="shared" si="16"/>
        <v>5.1608656820910426E-2</v>
      </c>
      <c r="I144">
        <f t="shared" si="17"/>
        <v>47.153808651253286</v>
      </c>
      <c r="J144">
        <f t="shared" si="12"/>
        <v>187.99184382544288</v>
      </c>
      <c r="K144" s="27">
        <f t="shared" si="13"/>
        <v>1824.5135662373768</v>
      </c>
    </row>
    <row r="145" spans="1:11">
      <c r="A145" s="26">
        <v>95</v>
      </c>
      <c r="B145" s="82">
        <f t="shared" si="14"/>
        <v>3.2921237647087764E-4</v>
      </c>
      <c r="C145" s="58">
        <f t="shared" si="18"/>
        <v>42.333870085852439</v>
      </c>
      <c r="D145" s="83">
        <f t="shared" si="15"/>
        <v>180.50734484196667</v>
      </c>
      <c r="E145">
        <f t="shared" si="11"/>
        <v>10.726733708864735</v>
      </c>
      <c r="G145">
        <v>95</v>
      </c>
      <c r="H145" s="13">
        <f t="shared" si="16"/>
        <v>5.1608656820910426E-2</v>
      </c>
      <c r="I145">
        <f t="shared" si="17"/>
        <v>47.205417308074196</v>
      </c>
      <c r="J145">
        <f t="shared" si="12"/>
        <v>188.05527362152512</v>
      </c>
      <c r="K145" s="27">
        <f t="shared" si="13"/>
        <v>1825.7422501848741</v>
      </c>
    </row>
    <row r="146" spans="1:11">
      <c r="A146" s="26">
        <v>96</v>
      </c>
      <c r="B146" s="82">
        <f t="shared" si="14"/>
        <v>3.2921237647087764E-4</v>
      </c>
      <c r="C146" s="58">
        <f t="shared" si="18"/>
        <v>42.33419929822891</v>
      </c>
      <c r="D146" s="83">
        <f t="shared" si="15"/>
        <v>180.50800550205832</v>
      </c>
      <c r="E146">
        <f t="shared" si="11"/>
        <v>10.726812227148947</v>
      </c>
      <c r="G146">
        <v>96</v>
      </c>
      <c r="H146" s="13">
        <f t="shared" si="16"/>
        <v>5.1608656820910426E-2</v>
      </c>
      <c r="I146">
        <f t="shared" si="17"/>
        <v>47.257025964895107</v>
      </c>
      <c r="J146">
        <f t="shared" si="12"/>
        <v>188.1184434190304</v>
      </c>
      <c r="K146" s="27">
        <f t="shared" si="13"/>
        <v>1826.9663170084943</v>
      </c>
    </row>
    <row r="147" spans="1:11">
      <c r="A147" s="26">
        <v>97</v>
      </c>
      <c r="B147" s="82">
        <f t="shared" si="14"/>
        <v>3.2921237647087764E-4</v>
      </c>
      <c r="C147" s="58">
        <f t="shared" si="18"/>
        <v>42.334528510605381</v>
      </c>
      <c r="D147" s="83">
        <f t="shared" si="15"/>
        <v>180.50866613206207</v>
      </c>
      <c r="E147">
        <f t="shared" si="11"/>
        <v>10.726890742144725</v>
      </c>
      <c r="G147">
        <v>97</v>
      </c>
      <c r="H147" s="13">
        <f t="shared" si="16"/>
        <v>5.1608656820910426E-2</v>
      </c>
      <c r="I147">
        <f t="shared" si="17"/>
        <v>47.308634621716017</v>
      </c>
      <c r="J147">
        <f t="shared" si="12"/>
        <v>188.18135512911408</v>
      </c>
      <c r="K147" s="27">
        <f t="shared" si="13"/>
        <v>1828.1857985229237</v>
      </c>
    </row>
    <row r="148" spans="1:11">
      <c r="A148" s="26">
        <v>98</v>
      </c>
      <c r="B148" s="82">
        <f t="shared" si="14"/>
        <v>3.2921237647087764E-4</v>
      </c>
      <c r="C148" s="58">
        <f t="shared" si="18"/>
        <v>42.334857722981852</v>
      </c>
      <c r="D148" s="83">
        <f t="shared" si="15"/>
        <v>180.50932673198116</v>
      </c>
      <c r="E148">
        <f t="shared" si="11"/>
        <v>10.726969253852424</v>
      </c>
      <c r="G148">
        <v>98</v>
      </c>
      <c r="H148" s="13">
        <f t="shared" si="16"/>
        <v>5.1608656820910426E-2</v>
      </c>
      <c r="I148">
        <f t="shared" si="17"/>
        <v>47.360243278536927</v>
      </c>
      <c r="J148">
        <f t="shared" si="12"/>
        <v>188.24401063655191</v>
      </c>
      <c r="K148" s="27">
        <f t="shared" si="13"/>
        <v>1829.4007261049121</v>
      </c>
    </row>
    <row r="149" spans="1:11">
      <c r="A149" s="26">
        <v>99</v>
      </c>
      <c r="B149" s="82">
        <f t="shared" si="14"/>
        <v>3.2921237647087764E-4</v>
      </c>
      <c r="C149" s="58">
        <f t="shared" si="18"/>
        <v>42.335186935358323</v>
      </c>
      <c r="D149" s="83">
        <f t="shared" si="15"/>
        <v>180.50998730181888</v>
      </c>
      <c r="E149">
        <f t="shared" si="11"/>
        <v>10.727047762272392</v>
      </c>
      <c r="G149">
        <v>99</v>
      </c>
      <c r="H149" s="13">
        <f t="shared" si="16"/>
        <v>5.1608656820910426E-2</v>
      </c>
      <c r="I149">
        <f t="shared" si="17"/>
        <v>47.411851935357838</v>
      </c>
      <c r="J149">
        <f t="shared" si="12"/>
        <v>188.30641180024747</v>
      </c>
      <c r="K149" s="27">
        <f t="shared" si="13"/>
        <v>1830.6111307016727</v>
      </c>
    </row>
    <row r="150" spans="1:11">
      <c r="A150" s="26">
        <v>100</v>
      </c>
      <c r="B150" s="82">
        <f t="shared" si="14"/>
        <v>3.2921237647087764E-4</v>
      </c>
      <c r="C150" s="58">
        <f t="shared" si="18"/>
        <v>42.335516147734793</v>
      </c>
      <c r="D150" s="83">
        <f t="shared" si="15"/>
        <v>180.51064784157853</v>
      </c>
      <c r="E150">
        <f t="shared" si="11"/>
        <v>10.727126267404982</v>
      </c>
      <c r="G150">
        <v>100</v>
      </c>
      <c r="H150" s="13">
        <f t="shared" si="16"/>
        <v>5.1608656820910426E-2</v>
      </c>
      <c r="I150">
        <f t="shared" si="17"/>
        <v>47.463460592178748</v>
      </c>
      <c r="J150">
        <f t="shared" si="12"/>
        <v>188.36856045372704</v>
      </c>
      <c r="K150" s="27">
        <f t="shared" si="13"/>
        <v>1831.8170428390779</v>
      </c>
    </row>
    <row r="151" spans="1:11">
      <c r="A151" s="26">
        <v>101</v>
      </c>
      <c r="B151" s="82">
        <f t="shared" si="14"/>
        <v>3.2921237647087764E-4</v>
      </c>
      <c r="C151" s="58">
        <f t="shared" si="18"/>
        <v>42.335845360111264</v>
      </c>
      <c r="D151" s="83">
        <f t="shared" si="15"/>
        <v>180.51130835126341</v>
      </c>
      <c r="E151">
        <f t="shared" si="11"/>
        <v>10.727204769250548</v>
      </c>
      <c r="G151">
        <v>101</v>
      </c>
      <c r="H151" s="13">
        <f t="shared" si="16"/>
        <v>5.1608656820910426E-2</v>
      </c>
      <c r="I151">
        <f t="shared" si="17"/>
        <v>47.515069248999659</v>
      </c>
      <c r="J151">
        <f t="shared" si="12"/>
        <v>188.43045840562232</v>
      </c>
      <c r="K151" s="27">
        <f t="shared" si="13"/>
        <v>1833.0184926296495</v>
      </c>
    </row>
    <row r="152" spans="1:11">
      <c r="A152" s="26">
        <v>102</v>
      </c>
      <c r="B152" s="82">
        <f t="shared" si="14"/>
        <v>3.2921237647087764E-4</v>
      </c>
      <c r="C152" s="58">
        <f t="shared" si="18"/>
        <v>42.336174572487735</v>
      </c>
      <c r="D152" s="83">
        <f t="shared" si="15"/>
        <v>180.51196883087681</v>
      </c>
      <c r="E152">
        <f t="shared" si="11"/>
        <v>10.727283267809439</v>
      </c>
      <c r="G152">
        <v>102</v>
      </c>
      <c r="H152" s="13">
        <f t="shared" si="16"/>
        <v>5.1608656820910426E-2</v>
      </c>
      <c r="I152">
        <f t="shared" si="17"/>
        <v>47.566677905820569</v>
      </c>
      <c r="J152">
        <f t="shared" si="12"/>
        <v>188.49210744014124</v>
      </c>
      <c r="K152" s="27">
        <f t="shared" si="13"/>
        <v>1834.2155097803554</v>
      </c>
    </row>
    <row r="153" spans="1:11">
      <c r="A153" s="26">
        <v>103</v>
      </c>
      <c r="B153" s="82">
        <f t="shared" si="14"/>
        <v>3.2921237647087764E-4</v>
      </c>
      <c r="C153" s="58">
        <f t="shared" si="18"/>
        <v>42.336503784864206</v>
      </c>
      <c r="D153" s="83">
        <f t="shared" si="15"/>
        <v>180.512629280422</v>
      </c>
      <c r="E153">
        <f t="shared" si="11"/>
        <v>10.727361763082003</v>
      </c>
      <c r="G153">
        <v>103</v>
      </c>
      <c r="H153" s="13">
        <f t="shared" si="16"/>
        <v>5.1608656820910426E-2</v>
      </c>
      <c r="I153">
        <f t="shared" si="17"/>
        <v>47.61828656264148</v>
      </c>
      <c r="J153">
        <f t="shared" si="12"/>
        <v>188.55350931752747</v>
      </c>
      <c r="K153" s="27">
        <f t="shared" si="13"/>
        <v>1835.4081236002205</v>
      </c>
    </row>
    <row r="154" spans="1:11">
      <c r="A154" s="26">
        <v>104</v>
      </c>
      <c r="B154" s="82">
        <f t="shared" si="14"/>
        <v>3.2921237647087764E-4</v>
      </c>
      <c r="C154" s="58">
        <f t="shared" si="18"/>
        <v>42.336832997240677</v>
      </c>
      <c r="D154" s="83">
        <f t="shared" si="15"/>
        <v>180.51328969990229</v>
      </c>
      <c r="E154">
        <f t="shared" si="11"/>
        <v>10.727440255068602</v>
      </c>
      <c r="G154">
        <v>104</v>
      </c>
      <c r="H154" s="13">
        <f t="shared" si="16"/>
        <v>5.1608656820910426E-2</v>
      </c>
      <c r="I154">
        <f t="shared" si="17"/>
        <v>47.66989521946239</v>
      </c>
      <c r="J154">
        <f t="shared" si="12"/>
        <v>188.61466577450875</v>
      </c>
      <c r="K154" s="27">
        <f t="shared" si="13"/>
        <v>1836.5963630077501</v>
      </c>
    </row>
    <row r="155" spans="1:11">
      <c r="A155" s="26">
        <v>105</v>
      </c>
      <c r="B155" s="82">
        <f t="shared" si="14"/>
        <v>3.2921237647087764E-4</v>
      </c>
      <c r="C155" s="58">
        <f t="shared" si="18"/>
        <v>42.337162209617148</v>
      </c>
      <c r="D155" s="83">
        <f t="shared" si="15"/>
        <v>180.51395008932096</v>
      </c>
      <c r="E155">
        <f t="shared" si="11"/>
        <v>10.727518743769581</v>
      </c>
      <c r="G155">
        <v>105</v>
      </c>
      <c r="H155" s="13">
        <f t="shared" si="16"/>
        <v>5.1608656820910426E-2</v>
      </c>
      <c r="I155">
        <f t="shared" si="17"/>
        <v>47.7215038762833</v>
      </c>
      <c r="J155">
        <f t="shared" si="12"/>
        <v>188.67557852473448</v>
      </c>
      <c r="K155" s="27">
        <f t="shared" si="13"/>
        <v>1837.7802565381771</v>
      </c>
    </row>
    <row r="156" spans="1:11">
      <c r="A156" s="26">
        <v>106</v>
      </c>
      <c r="B156" s="82">
        <f t="shared" si="14"/>
        <v>3.2921237647087764E-4</v>
      </c>
      <c r="C156" s="58">
        <f t="shared" si="18"/>
        <v>42.337491421993619</v>
      </c>
      <c r="D156" s="83">
        <f t="shared" si="15"/>
        <v>180.51461044868131</v>
      </c>
      <c r="E156">
        <f t="shared" si="11"/>
        <v>10.727597229185292</v>
      </c>
      <c r="G156">
        <v>106</v>
      </c>
      <c r="H156" s="13">
        <f t="shared" si="16"/>
        <v>5.1608656820910426E-2</v>
      </c>
      <c r="I156">
        <f t="shared" si="17"/>
        <v>47.773112533104211</v>
      </c>
      <c r="J156">
        <f t="shared" si="12"/>
        <v>188.73624925920274</v>
      </c>
      <c r="K156" s="27">
        <f t="shared" si="13"/>
        <v>1838.9598323505354</v>
      </c>
    </row>
    <row r="157" spans="1:11">
      <c r="A157" s="26">
        <v>107</v>
      </c>
      <c r="B157" s="82">
        <f t="shared" si="14"/>
        <v>3.2921237647087764E-4</v>
      </c>
      <c r="C157" s="58">
        <f t="shared" si="18"/>
        <v>42.33782063437009</v>
      </c>
      <c r="D157" s="83">
        <f t="shared" si="15"/>
        <v>180.51527077798659</v>
      </c>
      <c r="E157">
        <f t="shared" si="11"/>
        <v>10.727675711316087</v>
      </c>
      <c r="G157">
        <v>107</v>
      </c>
      <c r="H157" s="13">
        <f t="shared" si="16"/>
        <v>5.1608656820910426E-2</v>
      </c>
      <c r="I157">
        <f t="shared" si="17"/>
        <v>47.824721189925121</v>
      </c>
      <c r="J157">
        <f t="shared" si="12"/>
        <v>188.79667964667729</v>
      </c>
      <c r="K157" s="27">
        <f t="shared" si="13"/>
        <v>1840.1351182345686</v>
      </c>
    </row>
    <row r="158" spans="1:11">
      <c r="A158" s="26">
        <v>108</v>
      </c>
      <c r="B158" s="82">
        <f t="shared" si="14"/>
        <v>3.2921237647087764E-4</v>
      </c>
      <c r="C158" s="58">
        <f t="shared" si="18"/>
        <v>42.33814984674656</v>
      </c>
      <c r="D158" s="83">
        <f t="shared" si="15"/>
        <v>180.51593107724011</v>
      </c>
      <c r="E158">
        <f t="shared" si="11"/>
        <v>10.727754190162315</v>
      </c>
      <c r="G158">
        <v>108</v>
      </c>
      <c r="H158" s="13">
        <f t="shared" si="16"/>
        <v>5.1608656820910426E-2</v>
      </c>
      <c r="I158">
        <f t="shared" si="17"/>
        <v>47.876329846746032</v>
      </c>
      <c r="J158">
        <f t="shared" si="12"/>
        <v>188.85687133409468</v>
      </c>
      <c r="K158" s="27">
        <f t="shared" si="13"/>
        <v>1841.3061416174696</v>
      </c>
    </row>
    <row r="159" spans="1:11">
      <c r="A159" s="26">
        <v>109</v>
      </c>
      <c r="B159" s="82">
        <f t="shared" si="14"/>
        <v>3.2921237647087764E-4</v>
      </c>
      <c r="C159" s="58">
        <f t="shared" si="18"/>
        <v>42.338479059123031</v>
      </c>
      <c r="D159" s="83">
        <f t="shared" si="15"/>
        <v>180.51659134644518</v>
      </c>
      <c r="E159">
        <f t="shared" si="11"/>
        <v>10.727832665724334</v>
      </c>
      <c r="G159">
        <v>109</v>
      </c>
      <c r="H159" s="13">
        <f t="shared" si="16"/>
        <v>5.1608656820910426E-2</v>
      </c>
      <c r="I159">
        <f t="shared" si="17"/>
        <v>47.927938503566942</v>
      </c>
      <c r="J159">
        <f t="shared" si="12"/>
        <v>188.91682594696164</v>
      </c>
      <c r="K159" s="27">
        <f t="shared" si="13"/>
        <v>1842.4729295704685</v>
      </c>
    </row>
    <row r="160" spans="1:11">
      <c r="A160" s="26">
        <v>110</v>
      </c>
      <c r="B160" s="82">
        <f t="shared" si="14"/>
        <v>3.2921237647087764E-4</v>
      </c>
      <c r="C160" s="58">
        <f t="shared" si="18"/>
        <v>42.338808271499502</v>
      </c>
      <c r="D160" s="83">
        <f t="shared" si="15"/>
        <v>180.51725158560504</v>
      </c>
      <c r="E160">
        <f t="shared" si="11"/>
        <v>10.727911138002488</v>
      </c>
      <c r="G160">
        <v>110</v>
      </c>
      <c r="H160" s="13">
        <f t="shared" si="16"/>
        <v>5.1608656820910426E-2</v>
      </c>
      <c r="I160">
        <f t="shared" si="17"/>
        <v>47.979547160387853</v>
      </c>
      <c r="J160">
        <f t="shared" si="12"/>
        <v>188.97654508974324</v>
      </c>
      <c r="K160" s="27">
        <f t="shared" si="13"/>
        <v>1843.635508815262</v>
      </c>
    </row>
    <row r="161" spans="1:11">
      <c r="A161" s="26">
        <v>111</v>
      </c>
      <c r="B161" s="82">
        <f t="shared" si="14"/>
        <v>3.2921237647087764E-4</v>
      </c>
      <c r="C161" s="58">
        <f t="shared" si="18"/>
        <v>42.339137483875973</v>
      </c>
      <c r="D161" s="83">
        <f t="shared" si="15"/>
        <v>180.51791179472303</v>
      </c>
      <c r="E161">
        <f t="shared" si="11"/>
        <v>10.727989606997133</v>
      </c>
      <c r="G161">
        <v>111</v>
      </c>
      <c r="H161" s="13">
        <f t="shared" si="16"/>
        <v>5.1608656820910426E-2</v>
      </c>
      <c r="I161">
        <f t="shared" si="17"/>
        <v>48.031155817208763</v>
      </c>
      <c r="J161">
        <f t="shared" si="12"/>
        <v>189.0360303462422</v>
      </c>
      <c r="K161" s="27">
        <f t="shared" si="13"/>
        <v>1844.7939057302972</v>
      </c>
    </row>
    <row r="162" spans="1:11">
      <c r="A162" s="26">
        <v>112</v>
      </c>
      <c r="B162" s="82">
        <f t="shared" si="14"/>
        <v>3.2921237647087764E-4</v>
      </c>
      <c r="C162" s="58">
        <f t="shared" si="18"/>
        <v>42.339466696252444</v>
      </c>
      <c r="D162" s="83">
        <f t="shared" si="15"/>
        <v>180.51857197380238</v>
      </c>
      <c r="E162">
        <f t="shared" si="11"/>
        <v>10.728068072708615</v>
      </c>
      <c r="G162">
        <v>112</v>
      </c>
      <c r="H162" s="13">
        <f t="shared" si="16"/>
        <v>5.1608656820910426E-2</v>
      </c>
      <c r="I162">
        <f t="shared" si="17"/>
        <v>48.082764474029673</v>
      </c>
      <c r="J162">
        <f t="shared" si="12"/>
        <v>189.09528327996912</v>
      </c>
      <c r="K162" s="27">
        <f t="shared" si="13"/>
        <v>1845.9481463569039</v>
      </c>
    </row>
    <row r="163" spans="1:11">
      <c r="A163" s="26">
        <v>113</v>
      </c>
      <c r="B163" s="82">
        <f t="shared" si="14"/>
        <v>3.2921237647087764E-4</v>
      </c>
      <c r="C163" s="58">
        <f t="shared" si="18"/>
        <v>42.339795908628915</v>
      </c>
      <c r="D163" s="83">
        <f t="shared" si="15"/>
        <v>180.5192321228464</v>
      </c>
      <c r="E163">
        <f t="shared" si="11"/>
        <v>10.728146535137292</v>
      </c>
      <c r="G163">
        <v>113</v>
      </c>
      <c r="H163" s="13">
        <f t="shared" si="16"/>
        <v>5.1608656820910426E-2</v>
      </c>
      <c r="I163">
        <f t="shared" si="17"/>
        <v>48.134373130850584</v>
      </c>
      <c r="J163">
        <f t="shared" si="12"/>
        <v>189.15430543450424</v>
      </c>
      <c r="K163" s="27">
        <f t="shared" si="13"/>
        <v>1847.0982564052963</v>
      </c>
    </row>
    <row r="164" spans="1:11">
      <c r="A164" s="26">
        <v>114</v>
      </c>
      <c r="B164" s="82">
        <f t="shared" si="14"/>
        <v>3.2921237647087764E-4</v>
      </c>
      <c r="C164" s="58">
        <f t="shared" si="18"/>
        <v>42.340125121005386</v>
      </c>
      <c r="D164" s="83">
        <f t="shared" si="15"/>
        <v>180.51989224185837</v>
      </c>
      <c r="E164">
        <f t="shared" si="11"/>
        <v>10.728224994283508</v>
      </c>
      <c r="G164">
        <v>114</v>
      </c>
      <c r="H164" s="13">
        <f t="shared" si="16"/>
        <v>5.1608656820910426E-2</v>
      </c>
      <c r="I164">
        <f t="shared" si="17"/>
        <v>48.185981787671494</v>
      </c>
      <c r="J164">
        <f t="shared" si="12"/>
        <v>189.21309833385115</v>
      </c>
      <c r="K164" s="27">
        <f t="shared" si="13"/>
        <v>1848.2442612604248</v>
      </c>
    </row>
    <row r="165" spans="1:11">
      <c r="A165" s="26">
        <v>115</v>
      </c>
      <c r="B165" s="82">
        <f t="shared" si="14"/>
        <v>3.2921237647087764E-4</v>
      </c>
      <c r="C165" s="58">
        <f t="shared" si="18"/>
        <v>42.340454333381857</v>
      </c>
      <c r="D165" s="83">
        <f t="shared" si="15"/>
        <v>180.52055233084155</v>
      </c>
      <c r="E165">
        <f t="shared" si="11"/>
        <v>10.728303450147616</v>
      </c>
      <c r="G165">
        <v>115</v>
      </c>
      <c r="H165" s="13">
        <f t="shared" si="16"/>
        <v>5.1608656820910426E-2</v>
      </c>
      <c r="I165">
        <f t="shared" si="17"/>
        <v>48.237590444492405</v>
      </c>
      <c r="J165">
        <f t="shared" si="12"/>
        <v>189.271663482782</v>
      </c>
      <c r="K165" s="27">
        <f t="shared" si="13"/>
        <v>1849.3861859877059</v>
      </c>
    </row>
    <row r="166" spans="1:11">
      <c r="A166" s="26">
        <v>116</v>
      </c>
      <c r="B166" s="82">
        <f t="shared" si="14"/>
        <v>3.2921237647087764E-4</v>
      </c>
      <c r="C166" s="58">
        <f t="shared" si="18"/>
        <v>42.340783545758327</v>
      </c>
      <c r="D166" s="83">
        <f t="shared" si="15"/>
        <v>180.52121238979927</v>
      </c>
      <c r="E166">
        <f t="shared" si="11"/>
        <v>10.728381902729971</v>
      </c>
      <c r="G166">
        <v>116</v>
      </c>
      <c r="H166" s="13">
        <f t="shared" si="16"/>
        <v>5.1608656820910426E-2</v>
      </c>
      <c r="I166">
        <f t="shared" si="17"/>
        <v>48.289199101313315</v>
      </c>
      <c r="J166">
        <f t="shared" si="12"/>
        <v>189.33000236717538</v>
      </c>
      <c r="K166" s="27">
        <f t="shared" si="13"/>
        <v>1850.5240553386145</v>
      </c>
    </row>
    <row r="167" spans="1:11">
      <c r="A167" s="26">
        <v>117</v>
      </c>
      <c r="B167" s="82">
        <f t="shared" si="14"/>
        <v>3.2921237647087764E-4</v>
      </c>
      <c r="C167" s="58">
        <f t="shared" si="18"/>
        <v>42.341112758134798</v>
      </c>
      <c r="D167" s="83">
        <f t="shared" si="15"/>
        <v>180.52187241873477</v>
      </c>
      <c r="E167">
        <f t="shared" si="11"/>
        <v>10.72846035203092</v>
      </c>
      <c r="G167">
        <v>117</v>
      </c>
      <c r="H167" s="13">
        <f t="shared" si="16"/>
        <v>5.1608656820910426E-2</v>
      </c>
      <c r="I167">
        <f t="shared" si="17"/>
        <v>48.340807758134225</v>
      </c>
      <c r="J167">
        <f t="shared" si="12"/>
        <v>189.38811645434609</v>
      </c>
      <c r="K167" s="27">
        <f t="shared" si="13"/>
        <v>1851.6578937561555</v>
      </c>
    </row>
    <row r="168" spans="1:11">
      <c r="A168" s="26">
        <v>118</v>
      </c>
      <c r="B168" s="82">
        <f t="shared" si="14"/>
        <v>3.2921237647087764E-4</v>
      </c>
      <c r="C168" s="58">
        <f t="shared" si="18"/>
        <v>42.341441970511269</v>
      </c>
      <c r="D168" s="83">
        <f t="shared" si="15"/>
        <v>180.52253241765132</v>
      </c>
      <c r="E168">
        <f t="shared" si="11"/>
        <v>10.728538798050813</v>
      </c>
      <c r="G168">
        <v>118</v>
      </c>
      <c r="H168" s="13">
        <f t="shared" si="16"/>
        <v>5.1608656820910426E-2</v>
      </c>
      <c r="I168">
        <f t="shared" si="17"/>
        <v>48.392416414955136</v>
      </c>
      <c r="J168">
        <f t="shared" si="12"/>
        <v>189.44600719336779</v>
      </c>
      <c r="K168" s="27">
        <f t="shared" si="13"/>
        <v>1852.7877253802083</v>
      </c>
    </row>
    <row r="169" spans="1:11">
      <c r="A169" s="26">
        <v>119</v>
      </c>
      <c r="B169" s="82">
        <f t="shared" si="14"/>
        <v>3.2921237647087764E-4</v>
      </c>
      <c r="C169" s="58">
        <f t="shared" si="18"/>
        <v>42.34177118288774</v>
      </c>
      <c r="D169" s="83">
        <f t="shared" si="15"/>
        <v>180.52319238655227</v>
      </c>
      <c r="E169">
        <f t="shared" si="11"/>
        <v>10.728617240790006</v>
      </c>
      <c r="G169">
        <v>119</v>
      </c>
      <c r="H169" s="13">
        <f t="shared" si="16"/>
        <v>5.1608656820910426E-2</v>
      </c>
      <c r="I169">
        <f t="shared" si="17"/>
        <v>48.444025071776046</v>
      </c>
      <c r="J169">
        <f t="shared" si="12"/>
        <v>189.50367601538841</v>
      </c>
      <c r="K169" s="27">
        <f t="shared" si="13"/>
        <v>1853.9135740527556</v>
      </c>
    </row>
    <row r="170" spans="1:11">
      <c r="A170" s="26">
        <v>120</v>
      </c>
      <c r="B170" s="82">
        <f t="shared" si="14"/>
        <v>3.2921237647087764E-4</v>
      </c>
      <c r="C170" s="58">
        <f t="shared" si="18"/>
        <v>42.342100395264211</v>
      </c>
      <c r="D170" s="83">
        <f t="shared" si="15"/>
        <v>180.52385232544083</v>
      </c>
      <c r="E170">
        <f t="shared" si="11"/>
        <v>10.72869568024884</v>
      </c>
      <c r="G170">
        <v>120</v>
      </c>
      <c r="H170" s="13">
        <f t="shared" si="16"/>
        <v>5.1608656820910426E-2</v>
      </c>
      <c r="I170">
        <f t="shared" si="17"/>
        <v>48.495633728596957</v>
      </c>
      <c r="J170">
        <f t="shared" si="12"/>
        <v>189.56112433393844</v>
      </c>
      <c r="K170" s="27">
        <f t="shared" si="13"/>
        <v>1855.0354633229954</v>
      </c>
    </row>
    <row r="171" spans="1:11">
      <c r="A171" s="26">
        <v>121</v>
      </c>
      <c r="B171" s="82">
        <f t="shared" si="14"/>
        <v>3.2921237647087764E-4</v>
      </c>
      <c r="C171" s="58">
        <f t="shared" si="18"/>
        <v>42.342429607640682</v>
      </c>
      <c r="D171" s="83">
        <f t="shared" si="15"/>
        <v>180.52451223432027</v>
      </c>
      <c r="E171">
        <f t="shared" si="11"/>
        <v>10.728774116427672</v>
      </c>
      <c r="G171">
        <v>121</v>
      </c>
      <c r="H171" s="13">
        <f t="shared" si="16"/>
        <v>5.1608656820910426E-2</v>
      </c>
      <c r="I171">
        <f t="shared" si="17"/>
        <v>48.547242385417867</v>
      </c>
      <c r="J171">
        <f t="shared" si="12"/>
        <v>189.61835354523242</v>
      </c>
      <c r="K171" s="27">
        <f t="shared" si="13"/>
        <v>1856.1534164523373</v>
      </c>
    </row>
    <row r="172" spans="1:11">
      <c r="A172" s="26">
        <v>122</v>
      </c>
      <c r="B172" s="82">
        <f t="shared" si="14"/>
        <v>3.2921237647087764E-4</v>
      </c>
      <c r="C172" s="58">
        <f t="shared" si="18"/>
        <v>42.342758820017153</v>
      </c>
      <c r="D172" s="83">
        <f t="shared" si="15"/>
        <v>180.52517211319392</v>
      </c>
      <c r="E172">
        <f t="shared" si="11"/>
        <v>10.728852549326854</v>
      </c>
      <c r="G172">
        <v>122</v>
      </c>
      <c r="H172" s="13">
        <f t="shared" si="16"/>
        <v>5.1608656820910426E-2</v>
      </c>
      <c r="I172">
        <f t="shared" si="17"/>
        <v>48.598851042238778</v>
      </c>
      <c r="J172">
        <f t="shared" si="12"/>
        <v>189.67536502846389</v>
      </c>
      <c r="K172" s="27">
        <f t="shared" si="13"/>
        <v>1857.2674564192928</v>
      </c>
    </row>
    <row r="173" spans="1:11">
      <c r="A173" s="26">
        <v>123</v>
      </c>
      <c r="B173" s="82">
        <f t="shared" si="14"/>
        <v>3.2921237647087764E-4</v>
      </c>
      <c r="C173" s="58">
        <f t="shared" si="18"/>
        <v>42.343088032393624</v>
      </c>
      <c r="D173" s="83">
        <f t="shared" si="15"/>
        <v>180.52583196206504</v>
      </c>
      <c r="E173">
        <f t="shared" si="11"/>
        <v>10.728930978946737</v>
      </c>
      <c r="G173">
        <v>123</v>
      </c>
      <c r="H173" s="13">
        <f t="shared" si="16"/>
        <v>5.1608656820910426E-2</v>
      </c>
      <c r="I173">
        <f t="shared" si="17"/>
        <v>48.650459699059688</v>
      </c>
      <c r="J173">
        <f t="shared" si="12"/>
        <v>189.7321601460938</v>
      </c>
      <c r="K173" s="27">
        <f t="shared" si="13"/>
        <v>1858.3776059242582</v>
      </c>
    </row>
    <row r="174" spans="1:11">
      <c r="A174" s="26">
        <v>124</v>
      </c>
      <c r="B174" s="82">
        <f t="shared" si="14"/>
        <v>3.2921237647087764E-4</v>
      </c>
      <c r="C174" s="58">
        <f t="shared" si="18"/>
        <v>42.343417244770094</v>
      </c>
      <c r="D174" s="83">
        <f t="shared" si="15"/>
        <v>180.52649178093691</v>
      </c>
      <c r="E174">
        <f t="shared" si="11"/>
        <v>10.729009405287668</v>
      </c>
      <c r="G174">
        <v>124</v>
      </c>
      <c r="H174" s="13">
        <f t="shared" si="16"/>
        <v>5.1608656820910426E-2</v>
      </c>
      <c r="I174">
        <f t="shared" si="17"/>
        <v>48.702068355880598</v>
      </c>
      <c r="J174">
        <f t="shared" si="12"/>
        <v>189.78874024413261</v>
      </c>
      <c r="K174" s="27">
        <f t="shared" si="13"/>
        <v>1859.4838873941915</v>
      </c>
    </row>
    <row r="175" spans="1:11">
      <c r="A175" s="26">
        <v>125</v>
      </c>
      <c r="B175" s="82">
        <f t="shared" si="14"/>
        <v>3.2921237647087764E-4</v>
      </c>
      <c r="C175" s="58">
        <f t="shared" si="18"/>
        <v>42.343746457146565</v>
      </c>
      <c r="D175" s="83">
        <f t="shared" si="15"/>
        <v>180.52715156981279</v>
      </c>
      <c r="E175">
        <f t="shared" si="11"/>
        <v>10.729087828349995</v>
      </c>
      <c r="G175">
        <v>125</v>
      </c>
      <c r="H175" s="13">
        <f t="shared" si="16"/>
        <v>5.1608656820910426E-2</v>
      </c>
      <c r="I175">
        <f t="shared" si="17"/>
        <v>48.753677012701509</v>
      </c>
      <c r="J175">
        <f t="shared" si="12"/>
        <v>189.84510665241623</v>
      </c>
      <c r="K175" s="27">
        <f t="shared" si="13"/>
        <v>1860.5863229871859</v>
      </c>
    </row>
    <row r="176" spans="1:11">
      <c r="A176" s="26">
        <v>126</v>
      </c>
      <c r="B176" s="82">
        <f t="shared" si="14"/>
        <v>3.2921237647087764E-4</v>
      </c>
      <c r="C176" s="58">
        <f t="shared" si="18"/>
        <v>42.344075669523036</v>
      </c>
      <c r="D176" s="83">
        <f t="shared" si="15"/>
        <v>180.52781132869595</v>
      </c>
      <c r="E176">
        <f t="shared" si="11"/>
        <v>10.729166248134069</v>
      </c>
      <c r="G176">
        <v>126</v>
      </c>
      <c r="H176" s="13">
        <f t="shared" si="16"/>
        <v>5.1608656820910426E-2</v>
      </c>
      <c r="I176">
        <f t="shared" si="17"/>
        <v>48.805285669522419</v>
      </c>
      <c r="J176">
        <f t="shared" si="12"/>
        <v>189.90126068487618</v>
      </c>
      <c r="K176" s="27">
        <f t="shared" si="13"/>
        <v>1861.684934596954</v>
      </c>
    </row>
    <row r="177" spans="1:11">
      <c r="A177" s="26">
        <v>127</v>
      </c>
      <c r="B177" s="82">
        <f t="shared" si="14"/>
        <v>3.2921237647087764E-4</v>
      </c>
      <c r="C177" s="58">
        <f t="shared" si="18"/>
        <v>42.344404881899507</v>
      </c>
      <c r="D177" s="83">
        <f t="shared" si="15"/>
        <v>180.52847105758968</v>
      </c>
      <c r="E177">
        <f t="shared" si="11"/>
        <v>10.729244664640243</v>
      </c>
      <c r="G177">
        <v>127</v>
      </c>
      <c r="H177" s="13">
        <f t="shared" si="16"/>
        <v>5.1608656820910426E-2</v>
      </c>
      <c r="I177">
        <f t="shared" si="17"/>
        <v>48.85689432634333</v>
      </c>
      <c r="J177">
        <f t="shared" si="12"/>
        <v>189.95720363980377</v>
      </c>
      <c r="K177" s="27">
        <f t="shared" si="13"/>
        <v>1862.7797438572036</v>
      </c>
    </row>
    <row r="178" spans="1:11">
      <c r="A178" s="26">
        <v>128</v>
      </c>
      <c r="B178" s="82">
        <f t="shared" si="14"/>
        <v>3.2921237647087764E-4</v>
      </c>
      <c r="C178" s="58">
        <f t="shared" si="18"/>
        <v>42.344734094275978</v>
      </c>
      <c r="D178" s="83">
        <f t="shared" si="15"/>
        <v>180.52913075649727</v>
      </c>
      <c r="E178">
        <f t="shared" si="11"/>
        <v>10.729323077868868</v>
      </c>
      <c r="G178">
        <v>128</v>
      </c>
      <c r="H178" s="13">
        <f t="shared" si="16"/>
        <v>5.1608656820910426E-2</v>
      </c>
      <c r="I178">
        <f t="shared" si="17"/>
        <v>48.90850298316424</v>
      </c>
      <c r="J178">
        <f t="shared" si="12"/>
        <v>190.0129368001086</v>
      </c>
      <c r="K178" s="27">
        <f t="shared" si="13"/>
        <v>1863.8707721459298</v>
      </c>
    </row>
    <row r="179" spans="1:11">
      <c r="A179" s="26">
        <v>129</v>
      </c>
      <c r="B179" s="82">
        <f t="shared" si="14"/>
        <v>3.2921237647087764E-4</v>
      </c>
      <c r="C179" s="58">
        <f t="shared" si="18"/>
        <v>42.345063306652449</v>
      </c>
      <c r="D179" s="83">
        <f t="shared" si="15"/>
        <v>180.52979042542194</v>
      </c>
      <c r="E179">
        <f t="shared" ref="E179:E242" si="19">((D179^2)+(D179*D180)+(D180^2))*B180/3</f>
        <v>10.72940148782029</v>
      </c>
      <c r="G179">
        <v>129</v>
      </c>
      <c r="H179" s="13">
        <f t="shared" si="16"/>
        <v>5.1608656820910426E-2</v>
      </c>
      <c r="I179">
        <f t="shared" si="17"/>
        <v>48.960111639985151</v>
      </c>
      <c r="J179">
        <f t="shared" ref="J179:J242" si="20">IF($G$28&lt;$C$14,0,((($C$11^2)-((I179-$C$13)^2))^0.5)+$C$16)</f>
        <v>190.06846143357188</v>
      </c>
      <c r="K179" s="27">
        <f t="shared" ref="K179:K242" si="21">((J179^2)+(J179*J180)+(J180^2))*H180/3</f>
        <v>1864.9580405896113</v>
      </c>
    </row>
    <row r="180" spans="1:11">
      <c r="A180" s="26">
        <v>130</v>
      </c>
      <c r="B180" s="82">
        <f t="shared" ref="B180:B243" si="22">C180-C179</f>
        <v>3.2921237647087764E-4</v>
      </c>
      <c r="C180" s="58">
        <f t="shared" si="18"/>
        <v>42.34539251902892</v>
      </c>
      <c r="D180" s="83">
        <f t="shared" ref="D180:D243" si="23">IF($G$28&lt;$C$14,0,((($C$11^2)-((C180-$C$13)^2))^0.5)+$C$16)</f>
        <v>180.53045006436702</v>
      </c>
      <c r="E180">
        <f t="shared" si="19"/>
        <v>10.72947989449486</v>
      </c>
      <c r="G180">
        <v>130</v>
      </c>
      <c r="H180" s="13">
        <f t="shared" ref="H180:H243" si="24">I180-I179</f>
        <v>5.1608656820910426E-2</v>
      </c>
      <c r="I180">
        <f t="shared" ref="I180:I243" si="25">($G$27-$C$14)/2000+I179</f>
        <v>49.011720296806061</v>
      </c>
      <c r="J180">
        <f t="shared" si="20"/>
        <v>190.12377879309381</v>
      </c>
      <c r="K180" s="27">
        <f t="shared" si="21"/>
        <v>1866.0415700673177</v>
      </c>
    </row>
    <row r="181" spans="1:11">
      <c r="A181" s="26">
        <v>131</v>
      </c>
      <c r="B181" s="82">
        <f t="shared" si="22"/>
        <v>3.2921237647087764E-4</v>
      </c>
      <c r="C181" s="58">
        <f t="shared" si="18"/>
        <v>42.345721731405391</v>
      </c>
      <c r="D181" s="83">
        <f t="shared" si="23"/>
        <v>180.53110967333575</v>
      </c>
      <c r="E181">
        <f t="shared" si="19"/>
        <v>10.729558297892931</v>
      </c>
      <c r="G181">
        <v>131</v>
      </c>
      <c r="H181" s="13">
        <f t="shared" si="24"/>
        <v>5.1608656820910426E-2</v>
      </c>
      <c r="I181">
        <f t="shared" si="25"/>
        <v>49.063328953626971</v>
      </c>
      <c r="J181">
        <f t="shared" si="20"/>
        <v>190.17889011693634</v>
      </c>
      <c r="K181" s="27">
        <f t="shared" si="21"/>
        <v>1867.1213812147341</v>
      </c>
    </row>
    <row r="182" spans="1:11">
      <c r="A182" s="26">
        <v>132</v>
      </c>
      <c r="B182" s="82">
        <f t="shared" si="22"/>
        <v>3.2921237647087764E-4</v>
      </c>
      <c r="C182" s="58">
        <f t="shared" si="18"/>
        <v>42.346050943781862</v>
      </c>
      <c r="D182" s="83">
        <f t="shared" si="23"/>
        <v>180.53176925233143</v>
      </c>
      <c r="E182">
        <f t="shared" si="19"/>
        <v>10.729636698014852</v>
      </c>
      <c r="G182">
        <v>132</v>
      </c>
      <c r="H182" s="13">
        <f t="shared" si="24"/>
        <v>5.1608656820910426E-2</v>
      </c>
      <c r="I182">
        <f t="shared" si="25"/>
        <v>49.114937610447882</v>
      </c>
      <c r="J182">
        <f t="shared" si="20"/>
        <v>190.2337966289605</v>
      </c>
      <c r="K182" s="27">
        <f t="shared" si="21"/>
        <v>1868.1974944280964</v>
      </c>
    </row>
    <row r="183" spans="1:11">
      <c r="A183" s="26">
        <v>133</v>
      </c>
      <c r="B183" s="82">
        <f t="shared" si="22"/>
        <v>3.2921237647087764E-4</v>
      </c>
      <c r="C183" s="58">
        <f t="shared" si="18"/>
        <v>42.346380156158332</v>
      </c>
      <c r="D183" s="83">
        <f t="shared" si="23"/>
        <v>180.5324288013573</v>
      </c>
      <c r="E183">
        <f t="shared" si="19"/>
        <v>10.729715094860969</v>
      </c>
      <c r="G183">
        <v>133</v>
      </c>
      <c r="H183" s="13">
        <f t="shared" si="24"/>
        <v>5.1608656820910426E-2</v>
      </c>
      <c r="I183">
        <f t="shared" si="25"/>
        <v>49.166546267268792</v>
      </c>
      <c r="J183">
        <f t="shared" si="20"/>
        <v>190.28849953885873</v>
      </c>
      <c r="K183" s="27">
        <f t="shared" si="21"/>
        <v>1869.2699298680484</v>
      </c>
    </row>
    <row r="184" spans="1:11">
      <c r="A184" s="26">
        <v>134</v>
      </c>
      <c r="B184" s="82">
        <f t="shared" si="22"/>
        <v>3.2921237647087764E-4</v>
      </c>
      <c r="C184" s="58">
        <f t="shared" si="18"/>
        <v>42.346709368534803</v>
      </c>
      <c r="D184" s="83">
        <f t="shared" si="23"/>
        <v>180.53308832041662</v>
      </c>
      <c r="E184">
        <f t="shared" si="19"/>
        <v>10.729793488431634</v>
      </c>
      <c r="G184">
        <v>134</v>
      </c>
      <c r="H184" s="13">
        <f t="shared" si="24"/>
        <v>5.1608656820910426E-2</v>
      </c>
      <c r="I184">
        <f t="shared" si="25"/>
        <v>49.218154924089703</v>
      </c>
      <c r="J184">
        <f t="shared" si="20"/>
        <v>190.34300004238264</v>
      </c>
      <c r="K184" s="27">
        <f t="shared" si="21"/>
        <v>1870.3387074634177</v>
      </c>
    </row>
    <row r="185" spans="1:11">
      <c r="A185" s="26">
        <v>135</v>
      </c>
      <c r="B185" s="82">
        <f t="shared" si="22"/>
        <v>3.2921237647087764E-4</v>
      </c>
      <c r="C185" s="58">
        <f t="shared" si="18"/>
        <v>42.347038580911274</v>
      </c>
      <c r="D185" s="83">
        <f t="shared" si="23"/>
        <v>180.5337478095127</v>
      </c>
      <c r="E185">
        <f t="shared" si="19"/>
        <v>10.729871878727197</v>
      </c>
      <c r="G185">
        <v>135</v>
      </c>
      <c r="H185" s="13">
        <f t="shared" si="24"/>
        <v>5.1608656820910426E-2</v>
      </c>
      <c r="I185">
        <f t="shared" si="25"/>
        <v>49.269763580910613</v>
      </c>
      <c r="J185">
        <f t="shared" si="20"/>
        <v>190.39729932156584</v>
      </c>
      <c r="K185" s="27">
        <f t="shared" si="21"/>
        <v>1871.4038469149143</v>
      </c>
    </row>
    <row r="186" spans="1:11">
      <c r="A186" s="26">
        <v>136</v>
      </c>
      <c r="B186" s="82">
        <f t="shared" si="22"/>
        <v>3.2921237647087764E-4</v>
      </c>
      <c r="C186" s="58">
        <f t="shared" si="18"/>
        <v>42.347367793287745</v>
      </c>
      <c r="D186" s="83">
        <f t="shared" si="23"/>
        <v>180.53440726864881</v>
      </c>
      <c r="E186">
        <f t="shared" si="19"/>
        <v>10.729950265748007</v>
      </c>
      <c r="G186">
        <v>136</v>
      </c>
      <c r="H186" s="13">
        <f t="shared" si="24"/>
        <v>5.1608656820910426E-2</v>
      </c>
      <c r="I186">
        <f t="shared" si="25"/>
        <v>49.321372237731524</v>
      </c>
      <c r="J186">
        <f t="shared" si="20"/>
        <v>190.45139854494226</v>
      </c>
      <c r="K186" s="27">
        <f t="shared" si="21"/>
        <v>1872.4653676987502</v>
      </c>
    </row>
    <row r="187" spans="1:11">
      <c r="A187" s="26">
        <v>137</v>
      </c>
      <c r="B187" s="82">
        <f t="shared" si="22"/>
        <v>3.2921237647087764E-4</v>
      </c>
      <c r="C187" s="58">
        <f t="shared" si="18"/>
        <v>42.347697005664216</v>
      </c>
      <c r="D187" s="83">
        <f t="shared" si="23"/>
        <v>180.53506669782817</v>
      </c>
      <c r="E187">
        <f t="shared" si="19"/>
        <v>10.730028649494415</v>
      </c>
      <c r="G187">
        <v>137</v>
      </c>
      <c r="H187" s="13">
        <f t="shared" si="24"/>
        <v>5.1608656820910426E-2</v>
      </c>
      <c r="I187">
        <f t="shared" si="25"/>
        <v>49.372980894552434</v>
      </c>
      <c r="J187">
        <f t="shared" si="20"/>
        <v>190.50529886775996</v>
      </c>
      <c r="K187" s="27">
        <f t="shared" si="21"/>
        <v>1873.5232890701893</v>
      </c>
    </row>
    <row r="188" spans="1:11">
      <c r="A188" s="26">
        <v>138</v>
      </c>
      <c r="B188" s="82">
        <f t="shared" si="22"/>
        <v>3.2921237647087764E-4</v>
      </c>
      <c r="C188" s="58">
        <f t="shared" si="18"/>
        <v>42.348026218040687</v>
      </c>
      <c r="D188" s="83">
        <f t="shared" si="23"/>
        <v>180.53572609705409</v>
      </c>
      <c r="E188">
        <f t="shared" si="19"/>
        <v>10.730107029966765</v>
      </c>
      <c r="G188">
        <v>138</v>
      </c>
      <c r="H188" s="13">
        <f t="shared" si="24"/>
        <v>5.1608656820910426E-2</v>
      </c>
      <c r="I188">
        <f t="shared" si="25"/>
        <v>49.424589551373344</v>
      </c>
      <c r="J188">
        <f t="shared" si="20"/>
        <v>190.55900143219057</v>
      </c>
      <c r="K188" s="27">
        <f t="shared" si="21"/>
        <v>1874.5776300670211</v>
      </c>
    </row>
    <row r="189" spans="1:11">
      <c r="A189" s="26">
        <v>139</v>
      </c>
      <c r="B189" s="82">
        <f t="shared" si="22"/>
        <v>3.2921237647087764E-4</v>
      </c>
      <c r="C189" s="58">
        <f t="shared" si="18"/>
        <v>42.348355430417158</v>
      </c>
      <c r="D189" s="83">
        <f t="shared" si="23"/>
        <v>180.53638546632982</v>
      </c>
      <c r="E189">
        <f t="shared" si="19"/>
        <v>10.730185407165413</v>
      </c>
      <c r="G189">
        <v>139</v>
      </c>
      <c r="H189" s="13">
        <f t="shared" si="24"/>
        <v>5.1608656820910426E-2</v>
      </c>
      <c r="I189">
        <f t="shared" si="25"/>
        <v>49.476198208194255</v>
      </c>
      <c r="J189">
        <f t="shared" si="20"/>
        <v>190.61250736753462</v>
      </c>
      <c r="K189" s="27">
        <f t="shared" si="21"/>
        <v>1875.6284095129677</v>
      </c>
    </row>
    <row r="190" spans="1:11">
      <c r="A190" s="26">
        <v>140</v>
      </c>
      <c r="B190" s="82">
        <f t="shared" si="22"/>
        <v>3.2921237647087764E-4</v>
      </c>
      <c r="C190" s="58">
        <f t="shared" si="18"/>
        <v>42.348684642793629</v>
      </c>
      <c r="D190" s="83">
        <f t="shared" si="23"/>
        <v>180.53704480565861</v>
      </c>
      <c r="E190">
        <f t="shared" si="19"/>
        <v>10.7302637810907</v>
      </c>
      <c r="G190">
        <v>140</v>
      </c>
      <c r="H190" s="13">
        <f t="shared" si="24"/>
        <v>5.1608656820910426E-2</v>
      </c>
      <c r="I190">
        <f t="shared" si="25"/>
        <v>49.527806865015165</v>
      </c>
      <c r="J190">
        <f t="shared" si="20"/>
        <v>190.66581779042244</v>
      </c>
      <c r="K190" s="27">
        <f t="shared" si="21"/>
        <v>1876.6756460210181</v>
      </c>
    </row>
    <row r="191" spans="1:11">
      <c r="A191" s="26">
        <v>141</v>
      </c>
      <c r="B191" s="82">
        <f t="shared" si="22"/>
        <v>3.2921237647087764E-4</v>
      </c>
      <c r="C191" s="58">
        <f t="shared" si="18"/>
        <v>42.349013855170099</v>
      </c>
      <c r="D191" s="83">
        <f t="shared" si="23"/>
        <v>180.53770411504377</v>
      </c>
      <c r="E191">
        <f t="shared" si="19"/>
        <v>10.730342151742988</v>
      </c>
      <c r="G191">
        <v>141</v>
      </c>
      <c r="H191" s="13">
        <f t="shared" si="24"/>
        <v>5.1608656820910426E-2</v>
      </c>
      <c r="I191">
        <f t="shared" si="25"/>
        <v>49.579415521836076</v>
      </c>
      <c r="J191">
        <f t="shared" si="20"/>
        <v>190.71893380501129</v>
      </c>
      <c r="K191" s="27">
        <f t="shared" si="21"/>
        <v>1877.7193579966997</v>
      </c>
    </row>
    <row r="192" spans="1:11">
      <c r="A192" s="26">
        <v>142</v>
      </c>
      <c r="B192" s="82">
        <f t="shared" si="22"/>
        <v>3.2921237647087764E-4</v>
      </c>
      <c r="C192" s="58">
        <f t="shared" si="18"/>
        <v>42.34934306754657</v>
      </c>
      <c r="D192" s="83">
        <f t="shared" si="23"/>
        <v>180.53836339448856</v>
      </c>
      <c r="E192">
        <f t="shared" si="19"/>
        <v>10.730420519122616</v>
      </c>
      <c r="G192">
        <v>142</v>
      </c>
      <c r="H192" s="13">
        <f t="shared" si="24"/>
        <v>5.1608656820910426E-2</v>
      </c>
      <c r="I192">
        <f t="shared" si="25"/>
        <v>49.631024178656986</v>
      </c>
      <c r="J192">
        <f t="shared" si="20"/>
        <v>190.77185650317833</v>
      </c>
      <c r="K192" s="27">
        <f t="shared" si="21"/>
        <v>1878.7595636412796</v>
      </c>
    </row>
    <row r="193" spans="1:11">
      <c r="A193" s="26">
        <v>143</v>
      </c>
      <c r="B193" s="82">
        <f t="shared" si="22"/>
        <v>3.2921237647087764E-4</v>
      </c>
      <c r="C193" s="58">
        <f t="shared" si="18"/>
        <v>42.349672279923041</v>
      </c>
      <c r="D193" s="83">
        <f t="shared" si="23"/>
        <v>180.53902264399619</v>
      </c>
      <c r="E193">
        <f t="shared" si="19"/>
        <v>10.730498883229934</v>
      </c>
      <c r="G193">
        <v>143</v>
      </c>
      <c r="H193" s="13">
        <f t="shared" si="24"/>
        <v>5.1608656820910426E-2</v>
      </c>
      <c r="I193">
        <f t="shared" si="25"/>
        <v>49.682632835477897</v>
      </c>
      <c r="J193">
        <f t="shared" si="20"/>
        <v>190.82458696470991</v>
      </c>
      <c r="K193" s="27">
        <f t="shared" si="21"/>
        <v>1879.7962809549072</v>
      </c>
    </row>
    <row r="194" spans="1:11">
      <c r="A194" s="26">
        <v>144</v>
      </c>
      <c r="B194" s="82">
        <f t="shared" si="22"/>
        <v>3.2921237647087764E-4</v>
      </c>
      <c r="C194" s="58">
        <f t="shared" si="18"/>
        <v>42.350001492299512</v>
      </c>
      <c r="D194" s="83">
        <f t="shared" si="23"/>
        <v>180.53968186356997</v>
      </c>
      <c r="E194">
        <f t="shared" si="19"/>
        <v>10.730577244065296</v>
      </c>
      <c r="G194">
        <v>144</v>
      </c>
      <c r="H194" s="13">
        <f t="shared" si="24"/>
        <v>5.1608656820910426E-2</v>
      </c>
      <c r="I194">
        <f t="shared" si="25"/>
        <v>49.734241492298807</v>
      </c>
      <c r="J194">
        <f t="shared" si="20"/>
        <v>190.87712625748694</v>
      </c>
      <c r="K194" s="27">
        <f t="shared" si="21"/>
        <v>1880.8295277396901</v>
      </c>
    </row>
    <row r="195" spans="1:11">
      <c r="A195" s="26">
        <v>145</v>
      </c>
      <c r="B195" s="82">
        <f t="shared" si="22"/>
        <v>3.2921237647087764E-4</v>
      </c>
      <c r="C195" s="58">
        <f t="shared" si="18"/>
        <v>42.350330704675983</v>
      </c>
      <c r="D195" s="83">
        <f t="shared" si="23"/>
        <v>180.54034105321315</v>
      </c>
      <c r="E195">
        <f t="shared" si="19"/>
        <v>10.730655601629044</v>
      </c>
      <c r="G195">
        <v>145</v>
      </c>
      <c r="H195" s="13">
        <f t="shared" si="24"/>
        <v>5.1608656820910426E-2</v>
      </c>
      <c r="I195">
        <f t="shared" si="25"/>
        <v>49.785850149119717</v>
      </c>
      <c r="J195">
        <f t="shared" si="20"/>
        <v>190.92947543766672</v>
      </c>
      <c r="K195" s="27">
        <f t="shared" si="21"/>
        <v>1881.859321602712</v>
      </c>
    </row>
    <row r="196" spans="1:11">
      <c r="A196" s="26">
        <v>146</v>
      </c>
      <c r="B196" s="82">
        <f t="shared" si="22"/>
        <v>3.2921237647087764E-4</v>
      </c>
      <c r="C196" s="58">
        <f t="shared" si="18"/>
        <v>42.350659917052454</v>
      </c>
      <c r="D196" s="83">
        <f t="shared" si="23"/>
        <v>180.54100021292899</v>
      </c>
      <c r="E196">
        <f t="shared" si="19"/>
        <v>10.730733955921531</v>
      </c>
      <c r="G196">
        <v>146</v>
      </c>
      <c r="H196" s="13">
        <f t="shared" si="24"/>
        <v>5.1608656820910426E-2</v>
      </c>
      <c r="I196">
        <f t="shared" si="25"/>
        <v>49.837458805940628</v>
      </c>
      <c r="J196">
        <f t="shared" si="20"/>
        <v>190.98163554986121</v>
      </c>
      <c r="K196" s="27">
        <f t="shared" si="21"/>
        <v>1882.885679958991</v>
      </c>
    </row>
    <row r="197" spans="1:11">
      <c r="A197" s="26">
        <v>147</v>
      </c>
      <c r="B197" s="82">
        <f t="shared" si="22"/>
        <v>3.2921237647087764E-4</v>
      </c>
      <c r="C197" s="58">
        <f t="shared" si="18"/>
        <v>42.350989129428925</v>
      </c>
      <c r="D197" s="83">
        <f t="shared" si="23"/>
        <v>180.54165934272078</v>
      </c>
      <c r="E197">
        <f t="shared" si="19"/>
        <v>10.730812306943108</v>
      </c>
      <c r="G197">
        <v>147</v>
      </c>
      <c r="H197" s="13">
        <f t="shared" si="24"/>
        <v>5.1608656820910426E-2</v>
      </c>
      <c r="I197">
        <f t="shared" si="25"/>
        <v>49.889067462761538</v>
      </c>
      <c r="J197">
        <f t="shared" si="20"/>
        <v>191.03360762731154</v>
      </c>
      <c r="K197" s="27">
        <f t="shared" si="21"/>
        <v>1883.9086200343784</v>
      </c>
    </row>
    <row r="198" spans="1:11">
      <c r="A198" s="26">
        <v>148</v>
      </c>
      <c r="B198" s="82">
        <f t="shared" si="22"/>
        <v>3.2921237647087764E-4</v>
      </c>
      <c r="C198" s="58">
        <f t="shared" si="18"/>
        <v>42.351318341805396</v>
      </c>
      <c r="D198" s="83">
        <f t="shared" si="23"/>
        <v>180.54231844259175</v>
      </c>
      <c r="E198">
        <f t="shared" si="19"/>
        <v>10.730890654694116</v>
      </c>
      <c r="G198">
        <v>148</v>
      </c>
      <c r="H198" s="13">
        <f t="shared" si="24"/>
        <v>5.1608656820910426E-2</v>
      </c>
      <c r="I198">
        <f t="shared" si="25"/>
        <v>49.940676119582449</v>
      </c>
      <c r="J198">
        <f t="shared" si="20"/>
        <v>191.08539269205946</v>
      </c>
      <c r="K198" s="27">
        <f t="shared" si="21"/>
        <v>1884.9281588684041</v>
      </c>
    </row>
    <row r="199" spans="1:11">
      <c r="A199" s="26">
        <v>149</v>
      </c>
      <c r="B199" s="82">
        <f t="shared" si="22"/>
        <v>3.2921237647087764E-4</v>
      </c>
      <c r="C199" s="58">
        <f t="shared" si="18"/>
        <v>42.351647554181866</v>
      </c>
      <c r="D199" s="83">
        <f t="shared" si="23"/>
        <v>180.54297751254515</v>
      </c>
      <c r="E199">
        <f t="shared" si="19"/>
        <v>10.730968999174914</v>
      </c>
      <c r="G199">
        <v>149</v>
      </c>
      <c r="H199" s="13">
        <f t="shared" si="24"/>
        <v>5.1608656820910426E-2</v>
      </c>
      <c r="I199">
        <f t="shared" si="25"/>
        <v>49.992284776403359</v>
      </c>
      <c r="J199">
        <f t="shared" si="20"/>
        <v>191.1369917551153</v>
      </c>
      <c r="K199" s="27">
        <f t="shared" si="21"/>
        <v>1885.9443133170614</v>
      </c>
    </row>
    <row r="200" spans="1:11">
      <c r="A200" s="26">
        <v>150</v>
      </c>
      <c r="B200" s="82">
        <f t="shared" si="22"/>
        <v>3.2921237647087764E-4</v>
      </c>
      <c r="C200" s="58">
        <f t="shared" si="18"/>
        <v>42.351976766558337</v>
      </c>
      <c r="D200" s="83">
        <f t="shared" si="23"/>
        <v>180.5436365525843</v>
      </c>
      <c r="E200">
        <f t="shared" si="19"/>
        <v>10.731047340385844</v>
      </c>
      <c r="G200">
        <v>150</v>
      </c>
      <c r="H200" s="13">
        <f t="shared" si="24"/>
        <v>5.1608656820910426E-2</v>
      </c>
      <c r="I200">
        <f t="shared" si="25"/>
        <v>50.04389343322427</v>
      </c>
      <c r="J200">
        <f t="shared" si="20"/>
        <v>191.18840581662266</v>
      </c>
      <c r="K200" s="27">
        <f t="shared" si="21"/>
        <v>1886.9571000555463</v>
      </c>
    </row>
    <row r="201" spans="1:11">
      <c r="A201" s="26">
        <v>151</v>
      </c>
      <c r="B201" s="82">
        <f t="shared" si="22"/>
        <v>3.2921237647087764E-4</v>
      </c>
      <c r="C201" s="58">
        <f t="shared" si="18"/>
        <v>42.352305978934808</v>
      </c>
      <c r="D201" s="83">
        <f t="shared" si="23"/>
        <v>180.54429556271239</v>
      </c>
      <c r="E201">
        <f t="shared" si="19"/>
        <v>10.731125678327253</v>
      </c>
      <c r="G201">
        <v>151</v>
      </c>
      <c r="H201" s="13">
        <f t="shared" si="24"/>
        <v>5.1608656820910426E-2</v>
      </c>
      <c r="I201">
        <f t="shared" si="25"/>
        <v>50.09550209004518</v>
      </c>
      <c r="J201">
        <f t="shared" si="20"/>
        <v>191.23963586601997</v>
      </c>
      <c r="K201" s="27">
        <f t="shared" si="21"/>
        <v>1887.9665355809364</v>
      </c>
    </row>
    <row r="202" spans="1:11">
      <c r="A202" s="26">
        <v>152</v>
      </c>
      <c r="B202" s="82">
        <f t="shared" si="22"/>
        <v>3.2921237647087764E-4</v>
      </c>
      <c r="C202" s="58">
        <f t="shared" si="18"/>
        <v>42.352635191311279</v>
      </c>
      <c r="D202" s="83">
        <f t="shared" si="23"/>
        <v>180.54495454293271</v>
      </c>
      <c r="E202">
        <f t="shared" si="19"/>
        <v>10.731204012999493</v>
      </c>
      <c r="G202">
        <v>152</v>
      </c>
      <c r="H202" s="13">
        <f t="shared" si="24"/>
        <v>5.1608656820910426E-2</v>
      </c>
      <c r="I202">
        <f t="shared" si="25"/>
        <v>50.14711074686609</v>
      </c>
      <c r="J202">
        <f t="shared" si="20"/>
        <v>191.29068288219889</v>
      </c>
      <c r="K202" s="27">
        <f t="shared" si="21"/>
        <v>1888.9726362148201</v>
      </c>
    </row>
    <row r="203" spans="1:11">
      <c r="A203" s="26">
        <v>153</v>
      </c>
      <c r="B203" s="82">
        <f t="shared" si="22"/>
        <v>3.2921237647087764E-4</v>
      </c>
      <c r="C203" s="58">
        <f t="shared" si="18"/>
        <v>42.35296440368775</v>
      </c>
      <c r="D203" s="83">
        <f t="shared" si="23"/>
        <v>180.54561349324854</v>
      </c>
      <c r="E203">
        <f t="shared" si="19"/>
        <v>10.731282344402914</v>
      </c>
      <c r="G203">
        <v>153</v>
      </c>
      <c r="H203" s="13">
        <f t="shared" si="24"/>
        <v>5.1608656820910426E-2</v>
      </c>
      <c r="I203">
        <f t="shared" si="25"/>
        <v>50.198719403687001</v>
      </c>
      <c r="J203">
        <f t="shared" si="20"/>
        <v>191.34154783365977</v>
      </c>
      <c r="K203" s="27">
        <f t="shared" si="21"/>
        <v>1889.9754181058809</v>
      </c>
    </row>
    <row r="204" spans="1:11">
      <c r="A204" s="26">
        <v>154</v>
      </c>
      <c r="B204" s="82">
        <f t="shared" si="22"/>
        <v>3.2921237647087764E-4</v>
      </c>
      <c r="C204" s="58">
        <f t="shared" si="18"/>
        <v>42.353293616064221</v>
      </c>
      <c r="D204" s="83">
        <f t="shared" si="23"/>
        <v>180.5462724136631</v>
      </c>
      <c r="E204">
        <f t="shared" si="19"/>
        <v>10.731360672537861</v>
      </c>
      <c r="G204">
        <v>154</v>
      </c>
      <c r="H204" s="13">
        <f t="shared" si="24"/>
        <v>5.1608656820910426E-2</v>
      </c>
      <c r="I204">
        <f t="shared" si="25"/>
        <v>50.250328060507911</v>
      </c>
      <c r="J204">
        <f t="shared" si="20"/>
        <v>191.39223167866413</v>
      </c>
      <c r="K204" s="27">
        <f t="shared" si="21"/>
        <v>1890.9748972324267</v>
      </c>
    </row>
    <row r="205" spans="1:11">
      <c r="A205" s="26">
        <v>155</v>
      </c>
      <c r="B205" s="82">
        <f t="shared" si="22"/>
        <v>3.2921237647087764E-4</v>
      </c>
      <c r="C205" s="58">
        <f t="shared" si="18"/>
        <v>42.353622828440692</v>
      </c>
      <c r="D205" s="83">
        <f t="shared" si="23"/>
        <v>180.54693130417965</v>
      </c>
      <c r="E205">
        <f t="shared" si="19"/>
        <v>10.73143899740468</v>
      </c>
      <c r="G205">
        <v>155</v>
      </c>
      <c r="H205" s="13">
        <f t="shared" si="24"/>
        <v>5.1608656820910426E-2</v>
      </c>
      <c r="I205">
        <f t="shared" si="25"/>
        <v>50.301936717328822</v>
      </c>
      <c r="J205">
        <f t="shared" si="20"/>
        <v>191.44273536538415</v>
      </c>
      <c r="K205" s="27">
        <f t="shared" si="21"/>
        <v>1891.9710894048724</v>
      </c>
    </row>
    <row r="206" spans="1:11">
      <c r="A206" s="26">
        <v>156</v>
      </c>
      <c r="B206" s="82">
        <f t="shared" si="22"/>
        <v>3.2921237647087764E-4</v>
      </c>
      <c r="C206" s="58">
        <f t="shared" si="18"/>
        <v>42.353952040817163</v>
      </c>
      <c r="D206" s="83">
        <f t="shared" si="23"/>
        <v>180.54759016480148</v>
      </c>
      <c r="E206">
        <f t="shared" si="19"/>
        <v>10.731517319003723</v>
      </c>
      <c r="G206">
        <v>156</v>
      </c>
      <c r="H206" s="13">
        <f t="shared" si="24"/>
        <v>5.1608656820910426E-2</v>
      </c>
      <c r="I206">
        <f t="shared" si="25"/>
        <v>50.353545374149732</v>
      </c>
      <c r="J206">
        <f t="shared" si="20"/>
        <v>191.49305983204962</v>
      </c>
      <c r="K206" s="27">
        <f t="shared" si="21"/>
        <v>1892.9640102681806</v>
      </c>
    </row>
    <row r="207" spans="1:11">
      <c r="A207" s="26">
        <v>157</v>
      </c>
      <c r="B207" s="82">
        <f t="shared" si="22"/>
        <v>3.2921237647087764E-4</v>
      </c>
      <c r="C207" s="58">
        <f t="shared" si="18"/>
        <v>42.354281253193633</v>
      </c>
      <c r="D207" s="83">
        <f t="shared" si="23"/>
        <v>180.54824899553182</v>
      </c>
      <c r="E207">
        <f t="shared" si="19"/>
        <v>10.73159563733534</v>
      </c>
      <c r="G207">
        <v>157</v>
      </c>
      <c r="H207" s="13">
        <f t="shared" si="24"/>
        <v>5.1608656820910426E-2</v>
      </c>
      <c r="I207">
        <f t="shared" si="25"/>
        <v>50.405154030970643</v>
      </c>
      <c r="J207">
        <f t="shared" si="20"/>
        <v>191.54320600709167</v>
      </c>
      <c r="K207" s="27">
        <f t="shared" si="21"/>
        <v>1893.9536753042473</v>
      </c>
    </row>
    <row r="208" spans="1:11">
      <c r="A208" s="26">
        <v>158</v>
      </c>
      <c r="B208" s="82">
        <f t="shared" si="22"/>
        <v>3.2921237647087764E-4</v>
      </c>
      <c r="C208" s="58">
        <f t="shared" ref="C208:C271" si="26">($C$37-$C$36)/2000+C207</f>
        <v>42.354610465570104</v>
      </c>
      <c r="D208" s="83">
        <f t="shared" si="23"/>
        <v>180.54890779637392</v>
      </c>
      <c r="E208">
        <f t="shared" si="19"/>
        <v>10.731673952399875</v>
      </c>
      <c r="G208">
        <v>158</v>
      </c>
      <c r="H208" s="13">
        <f t="shared" si="24"/>
        <v>5.1608656820910426E-2</v>
      </c>
      <c r="I208">
        <f t="shared" si="25"/>
        <v>50.456762687791553</v>
      </c>
      <c r="J208">
        <f t="shared" si="20"/>
        <v>191.59317480928431</v>
      </c>
      <c r="K208" s="27">
        <f t="shared" si="21"/>
        <v>1894.9400998342542</v>
      </c>
    </row>
    <row r="209" spans="1:11">
      <c r="A209" s="26">
        <v>159</v>
      </c>
      <c r="B209" s="82">
        <f t="shared" si="22"/>
        <v>3.2921237647087764E-4</v>
      </c>
      <c r="C209" s="58">
        <f t="shared" si="26"/>
        <v>42.354939677946575</v>
      </c>
      <c r="D209" s="83">
        <f t="shared" si="23"/>
        <v>180.54956656733106</v>
      </c>
      <c r="E209">
        <f t="shared" si="19"/>
        <v>10.731752264197679</v>
      </c>
      <c r="G209">
        <v>159</v>
      </c>
      <c r="H209" s="13">
        <f t="shared" si="24"/>
        <v>5.1608656820910426E-2</v>
      </c>
      <c r="I209">
        <f t="shared" si="25"/>
        <v>50.508371344612463</v>
      </c>
      <c r="J209">
        <f t="shared" si="20"/>
        <v>191.64296714788296</v>
      </c>
      <c r="K209" s="27">
        <f t="shared" si="21"/>
        <v>1895.9232990209673</v>
      </c>
    </row>
    <row r="210" spans="1:11">
      <c r="A210" s="26">
        <v>160</v>
      </c>
      <c r="B210" s="82">
        <f t="shared" si="22"/>
        <v>3.2921237647087764E-4</v>
      </c>
      <c r="C210" s="58">
        <f t="shared" si="26"/>
        <v>42.355268890323046</v>
      </c>
      <c r="D210" s="83">
        <f t="shared" si="23"/>
        <v>180.55022530840648</v>
      </c>
      <c r="E210">
        <f t="shared" si="19"/>
        <v>10.731830572729095</v>
      </c>
      <c r="G210">
        <v>160</v>
      </c>
      <c r="H210" s="13">
        <f t="shared" si="24"/>
        <v>5.1608656820910426E-2</v>
      </c>
      <c r="I210">
        <f t="shared" si="25"/>
        <v>50.559980001433374</v>
      </c>
      <c r="J210">
        <f t="shared" si="20"/>
        <v>191.69258392276063</v>
      </c>
      <c r="K210" s="27">
        <f t="shared" si="21"/>
        <v>1896.9032878710002</v>
      </c>
    </row>
    <row r="211" spans="1:11">
      <c r="A211" s="26">
        <v>161</v>
      </c>
      <c r="B211" s="82">
        <f t="shared" si="22"/>
        <v>3.2921237647087764E-4</v>
      </c>
      <c r="C211" s="58">
        <f t="shared" si="26"/>
        <v>42.355598102699517</v>
      </c>
      <c r="D211" s="83">
        <f t="shared" si="23"/>
        <v>180.55088401960342</v>
      </c>
      <c r="E211">
        <f t="shared" si="19"/>
        <v>10.731908877994478</v>
      </c>
      <c r="G211">
        <v>161</v>
      </c>
      <c r="H211" s="13">
        <f t="shared" si="24"/>
        <v>5.1608656820910426E-2</v>
      </c>
      <c r="I211">
        <f t="shared" si="25"/>
        <v>50.611588658254284</v>
      </c>
      <c r="J211">
        <f t="shared" si="20"/>
        <v>191.74202602454147</v>
      </c>
      <c r="K211" s="27">
        <f t="shared" si="21"/>
        <v>1897.8800812370298</v>
      </c>
    </row>
    <row r="212" spans="1:11">
      <c r="A212" s="26">
        <v>162</v>
      </c>
      <c r="B212" s="82">
        <f t="shared" si="22"/>
        <v>3.2921237647087764E-4</v>
      </c>
      <c r="C212" s="58">
        <f t="shared" si="26"/>
        <v>42.355927315075988</v>
      </c>
      <c r="D212" s="83">
        <f t="shared" si="23"/>
        <v>180.55154270092515</v>
      </c>
      <c r="E212">
        <f t="shared" si="19"/>
        <v>10.731987179994171</v>
      </c>
      <c r="G212">
        <v>162</v>
      </c>
      <c r="H212" s="13">
        <f t="shared" si="24"/>
        <v>5.1608656820910426E-2</v>
      </c>
      <c r="I212">
        <f t="shared" si="25"/>
        <v>50.663197315075195</v>
      </c>
      <c r="J212">
        <f t="shared" si="20"/>
        <v>191.79129433473196</v>
      </c>
      <c r="K212" s="27">
        <f t="shared" si="21"/>
        <v>1898.8536938199779</v>
      </c>
    </row>
    <row r="213" spans="1:11">
      <c r="A213" s="26">
        <v>163</v>
      </c>
      <c r="B213" s="82">
        <f t="shared" si="22"/>
        <v>3.2921237647087764E-4</v>
      </c>
      <c r="C213" s="58">
        <f t="shared" si="26"/>
        <v>42.356256527452459</v>
      </c>
      <c r="D213" s="83">
        <f t="shared" si="23"/>
        <v>180.55220135237494</v>
      </c>
      <c r="E213">
        <f t="shared" si="19"/>
        <v>10.732065478728522</v>
      </c>
      <c r="G213">
        <v>163</v>
      </c>
      <c r="H213" s="13">
        <f t="shared" si="24"/>
        <v>5.1608656820910426E-2</v>
      </c>
      <c r="I213">
        <f t="shared" si="25"/>
        <v>50.714805971896105</v>
      </c>
      <c r="J213">
        <f t="shared" si="20"/>
        <v>191.84038972584952</v>
      </c>
      <c r="K213" s="27">
        <f t="shared" si="21"/>
        <v>1899.8241401711475</v>
      </c>
    </row>
    <row r="214" spans="1:11">
      <c r="A214" s="26">
        <v>164</v>
      </c>
      <c r="B214" s="82">
        <f t="shared" si="22"/>
        <v>3.2921237647087764E-4</v>
      </c>
      <c r="C214" s="58">
        <f t="shared" si="26"/>
        <v>42.35658573982893</v>
      </c>
      <c r="D214" s="83">
        <f t="shared" si="23"/>
        <v>180.552859973956</v>
      </c>
      <c r="E214">
        <f t="shared" si="19"/>
        <v>10.732143774197878</v>
      </c>
      <c r="G214">
        <v>164</v>
      </c>
      <c r="H214" s="13">
        <f t="shared" si="24"/>
        <v>5.1608656820910426E-2</v>
      </c>
      <c r="I214">
        <f t="shared" si="25"/>
        <v>50.766414628717015</v>
      </c>
      <c r="J214">
        <f t="shared" si="20"/>
        <v>191.88931306154905</v>
      </c>
      <c r="K214" s="27">
        <f t="shared" si="21"/>
        <v>1900.7914346943207</v>
      </c>
    </row>
    <row r="215" spans="1:11">
      <c r="A215" s="26">
        <v>165</v>
      </c>
      <c r="B215" s="82">
        <f t="shared" si="22"/>
        <v>3.2921237647087764E-4</v>
      </c>
      <c r="C215" s="58">
        <f t="shared" si="26"/>
        <v>42.3569149522054</v>
      </c>
      <c r="D215" s="83">
        <f t="shared" si="23"/>
        <v>180.5535185656716</v>
      </c>
      <c r="E215">
        <f t="shared" si="19"/>
        <v>10.73222206640259</v>
      </c>
      <c r="G215">
        <v>165</v>
      </c>
      <c r="H215" s="13">
        <f t="shared" si="24"/>
        <v>5.1608656820910426E-2</v>
      </c>
      <c r="I215">
        <f t="shared" si="25"/>
        <v>50.818023285537926</v>
      </c>
      <c r="J215">
        <f t="shared" si="20"/>
        <v>191.93806519674689</v>
      </c>
      <c r="K215" s="27">
        <f t="shared" si="21"/>
        <v>1901.7555916478232</v>
      </c>
    </row>
    <row r="216" spans="1:11">
      <c r="A216" s="26">
        <v>166</v>
      </c>
      <c r="B216" s="82">
        <f t="shared" si="22"/>
        <v>3.2921237647087764E-4</v>
      </c>
      <c r="C216" s="58">
        <f t="shared" si="26"/>
        <v>42.357244164581871</v>
      </c>
      <c r="D216" s="83">
        <f t="shared" si="23"/>
        <v>180.55417712752498</v>
      </c>
      <c r="E216">
        <f t="shared" si="19"/>
        <v>10.732300355343002</v>
      </c>
      <c r="G216">
        <v>166</v>
      </c>
      <c r="H216" s="13">
        <f t="shared" si="24"/>
        <v>5.1608656820910426E-2</v>
      </c>
      <c r="I216">
        <f t="shared" si="25"/>
        <v>50.869631942358836</v>
      </c>
      <c r="J216">
        <f t="shared" si="20"/>
        <v>191.98664697774279</v>
      </c>
      <c r="K216" s="27">
        <f t="shared" si="21"/>
        <v>1902.7166251465451</v>
      </c>
    </row>
    <row r="217" spans="1:11">
      <c r="A217" s="26">
        <v>167</v>
      </c>
      <c r="B217" s="82">
        <f t="shared" si="22"/>
        <v>3.2921237647087764E-4</v>
      </c>
      <c r="C217" s="58">
        <f t="shared" si="26"/>
        <v>42.357573376958342</v>
      </c>
      <c r="D217" s="83">
        <f t="shared" si="23"/>
        <v>180.55483565951943</v>
      </c>
      <c r="E217">
        <f t="shared" si="19"/>
        <v>10.732378641019466</v>
      </c>
      <c r="G217">
        <v>167</v>
      </c>
      <c r="H217" s="13">
        <f t="shared" si="24"/>
        <v>5.1608656820910426E-2</v>
      </c>
      <c r="I217">
        <f t="shared" si="25"/>
        <v>50.921240599179747</v>
      </c>
      <c r="J217">
        <f t="shared" si="20"/>
        <v>192.03505924233937</v>
      </c>
      <c r="K217" s="27">
        <f t="shared" si="21"/>
        <v>1903.6745491639304</v>
      </c>
    </row>
    <row r="218" spans="1:11">
      <c r="A218" s="26">
        <v>168</v>
      </c>
      <c r="B218" s="82">
        <f t="shared" si="22"/>
        <v>3.2921237647087764E-4</v>
      </c>
      <c r="C218" s="58">
        <f t="shared" si="26"/>
        <v>42.357902589334813</v>
      </c>
      <c r="D218" s="83">
        <f t="shared" si="23"/>
        <v>180.55549416165815</v>
      </c>
      <c r="E218">
        <f t="shared" si="19"/>
        <v>10.732456923432323</v>
      </c>
      <c r="G218">
        <v>168</v>
      </c>
      <c r="H218" s="13">
        <f t="shared" si="24"/>
        <v>5.1608656820910426E-2</v>
      </c>
      <c r="I218">
        <f t="shared" si="25"/>
        <v>50.972849256000657</v>
      </c>
      <c r="J218">
        <f t="shared" si="20"/>
        <v>192.08330281995984</v>
      </c>
      <c r="K218" s="27">
        <f t="shared" si="21"/>
        <v>1904.6293775339288</v>
      </c>
    </row>
    <row r="219" spans="1:11">
      <c r="A219" s="26">
        <v>169</v>
      </c>
      <c r="B219" s="82">
        <f t="shared" si="22"/>
        <v>3.2921237647087764E-4</v>
      </c>
      <c r="C219" s="58">
        <f t="shared" si="26"/>
        <v>42.358231801711284</v>
      </c>
      <c r="D219" s="83">
        <f t="shared" si="23"/>
        <v>180.55615263394441</v>
      </c>
      <c r="E219">
        <f t="shared" si="19"/>
        <v>10.732535202581923</v>
      </c>
      <c r="G219">
        <v>169</v>
      </c>
      <c r="H219" s="13">
        <f t="shared" si="24"/>
        <v>5.1608656820910426E-2</v>
      </c>
      <c r="I219">
        <f t="shared" si="25"/>
        <v>51.024457912821568</v>
      </c>
      <c r="J219">
        <f t="shared" si="20"/>
        <v>192.13137853176318</v>
      </c>
      <c r="K219" s="27">
        <f t="shared" si="21"/>
        <v>1905.581123952911</v>
      </c>
    </row>
    <row r="220" spans="1:11">
      <c r="A220" s="26">
        <v>170</v>
      </c>
      <c r="B220" s="82">
        <f t="shared" si="22"/>
        <v>3.2921237647087764E-4</v>
      </c>
      <c r="C220" s="58">
        <f t="shared" si="26"/>
        <v>42.358561014087755</v>
      </c>
      <c r="D220" s="83">
        <f t="shared" si="23"/>
        <v>180.55681107638145</v>
      </c>
      <c r="E220">
        <f t="shared" si="19"/>
        <v>10.732613478468615</v>
      </c>
      <c r="G220">
        <v>170</v>
      </c>
      <c r="H220" s="13">
        <f t="shared" si="24"/>
        <v>5.1608656820910426E-2</v>
      </c>
      <c r="I220">
        <f t="shared" si="25"/>
        <v>51.076066569642478</v>
      </c>
      <c r="J220">
        <f t="shared" si="20"/>
        <v>192.17928719075766</v>
      </c>
      <c r="K220" s="27">
        <f t="shared" si="21"/>
        <v>1906.5298019815552</v>
      </c>
    </row>
    <row r="221" spans="1:11">
      <c r="A221" s="26">
        <v>171</v>
      </c>
      <c r="B221" s="82">
        <f t="shared" si="22"/>
        <v>3.2921237647087764E-4</v>
      </c>
      <c r="C221" s="58">
        <f t="shared" si="26"/>
        <v>42.358890226464226</v>
      </c>
      <c r="D221" s="83">
        <f t="shared" si="23"/>
        <v>180.55746948897252</v>
      </c>
      <c r="E221">
        <f t="shared" si="19"/>
        <v>10.732691751092744</v>
      </c>
      <c r="G221">
        <v>171</v>
      </c>
      <c r="H221" s="13">
        <f t="shared" si="24"/>
        <v>5.1608656820910426E-2</v>
      </c>
      <c r="I221">
        <f t="shared" si="25"/>
        <v>51.127675226463388</v>
      </c>
      <c r="J221">
        <f t="shared" si="20"/>
        <v>192.22702960191211</v>
      </c>
      <c r="K221" s="27">
        <f t="shared" si="21"/>
        <v>1907.4754250466929</v>
      </c>
    </row>
    <row r="222" spans="1:11">
      <c r="A222" s="26">
        <v>172</v>
      </c>
      <c r="B222" s="82">
        <f t="shared" si="22"/>
        <v>3.2921237647087764E-4</v>
      </c>
      <c r="C222" s="58">
        <f t="shared" si="26"/>
        <v>42.359219438840697</v>
      </c>
      <c r="D222" s="83">
        <f t="shared" si="23"/>
        <v>180.55812787172087</v>
      </c>
      <c r="E222">
        <f t="shared" si="19"/>
        <v>10.732770020454659</v>
      </c>
      <c r="G222">
        <v>172</v>
      </c>
      <c r="H222" s="13">
        <f t="shared" si="24"/>
        <v>5.1608656820910426E-2</v>
      </c>
      <c r="I222">
        <f t="shared" si="25"/>
        <v>51.179283883284299</v>
      </c>
      <c r="J222">
        <f t="shared" si="20"/>
        <v>192.27460656226523</v>
      </c>
      <c r="K222" s="27">
        <f t="shared" si="21"/>
        <v>1908.4180064431293</v>
      </c>
    </row>
    <row r="223" spans="1:11">
      <c r="A223" s="26">
        <v>173</v>
      </c>
      <c r="B223" s="82">
        <f t="shared" si="22"/>
        <v>3.2921237647087764E-4</v>
      </c>
      <c r="C223" s="58">
        <f t="shared" si="26"/>
        <v>42.359548651217168</v>
      </c>
      <c r="D223" s="83">
        <f t="shared" si="23"/>
        <v>180.55878622462976</v>
      </c>
      <c r="E223">
        <f t="shared" si="19"/>
        <v>10.732848286554711</v>
      </c>
      <c r="G223">
        <v>173</v>
      </c>
      <c r="H223" s="13">
        <f t="shared" si="24"/>
        <v>5.1608656820910426E-2</v>
      </c>
      <c r="I223">
        <f t="shared" si="25"/>
        <v>51.230892540105209</v>
      </c>
      <c r="J223">
        <f t="shared" si="20"/>
        <v>192.32201886103314</v>
      </c>
      <c r="K223" s="27">
        <f t="shared" si="21"/>
        <v>1909.3575593354274</v>
      </c>
    </row>
    <row r="224" spans="1:11">
      <c r="A224" s="26">
        <v>174</v>
      </c>
      <c r="B224" s="82">
        <f t="shared" si="22"/>
        <v>3.2921237647087764E-4</v>
      </c>
      <c r="C224" s="58">
        <f t="shared" si="26"/>
        <v>42.359877863593638</v>
      </c>
      <c r="D224" s="83">
        <f t="shared" si="23"/>
        <v>180.55944454770241</v>
      </c>
      <c r="E224">
        <f t="shared" si="19"/>
        <v>10.732926549393236</v>
      </c>
      <c r="G224">
        <v>174</v>
      </c>
      <c r="H224" s="13">
        <f t="shared" si="24"/>
        <v>5.1608656820910426E-2</v>
      </c>
      <c r="I224">
        <f t="shared" si="25"/>
        <v>51.28250119692612</v>
      </c>
      <c r="J224">
        <f t="shared" si="20"/>
        <v>192.36926727971485</v>
      </c>
      <c r="K224" s="27">
        <f t="shared" si="21"/>
        <v>1910.2940967596612</v>
      </c>
    </row>
    <row r="225" spans="1:11">
      <c r="A225" s="26">
        <v>175</v>
      </c>
      <c r="B225" s="82">
        <f t="shared" si="22"/>
        <v>3.2921237647087764E-4</v>
      </c>
      <c r="C225" s="58">
        <f t="shared" si="26"/>
        <v>42.360207075970109</v>
      </c>
      <c r="D225" s="83">
        <f t="shared" si="23"/>
        <v>180.56010284094208</v>
      </c>
      <c r="E225">
        <f t="shared" si="19"/>
        <v>10.733004808970589</v>
      </c>
      <c r="G225">
        <v>175</v>
      </c>
      <c r="H225" s="13">
        <f t="shared" si="24"/>
        <v>5.1608656820910426E-2</v>
      </c>
      <c r="I225">
        <f t="shared" si="25"/>
        <v>51.33410985374703</v>
      </c>
      <c r="J225">
        <f t="shared" si="20"/>
        <v>192.41635259219603</v>
      </c>
      <c r="K225" s="27">
        <f t="shared" si="21"/>
        <v>1911.22763162514</v>
      </c>
    </row>
    <row r="226" spans="1:11">
      <c r="A226" s="26">
        <v>176</v>
      </c>
      <c r="B226" s="82">
        <f t="shared" si="22"/>
        <v>3.2921237647087764E-4</v>
      </c>
      <c r="C226" s="58">
        <f t="shared" si="26"/>
        <v>42.36053628834658</v>
      </c>
      <c r="D226" s="83">
        <f t="shared" si="23"/>
        <v>180.56076110435203</v>
      </c>
      <c r="E226">
        <f t="shared" si="19"/>
        <v>10.733083065287119</v>
      </c>
      <c r="G226">
        <v>176</v>
      </c>
      <c r="H226" s="13">
        <f t="shared" si="24"/>
        <v>5.1608656820910426E-2</v>
      </c>
      <c r="I226">
        <f t="shared" si="25"/>
        <v>51.385718510567941</v>
      </c>
      <c r="J226">
        <f t="shared" si="20"/>
        <v>192.46327556485093</v>
      </c>
      <c r="K226" s="27">
        <f t="shared" si="21"/>
        <v>1912.1581767161024</v>
      </c>
    </row>
    <row r="227" spans="1:11">
      <c r="A227" s="26">
        <v>177</v>
      </c>
      <c r="B227" s="82">
        <f t="shared" si="22"/>
        <v>3.2921237647087764E-4</v>
      </c>
      <c r="C227" s="58">
        <f t="shared" si="26"/>
        <v>42.360865500723051</v>
      </c>
      <c r="D227" s="83">
        <f t="shared" si="23"/>
        <v>180.56141933793546</v>
      </c>
      <c r="E227">
        <f t="shared" si="19"/>
        <v>10.733161318343164</v>
      </c>
      <c r="G227">
        <v>177</v>
      </c>
      <c r="H227" s="13">
        <f t="shared" si="24"/>
        <v>5.1608656820910426E-2</v>
      </c>
      <c r="I227">
        <f t="shared" si="25"/>
        <v>51.437327167388851</v>
      </c>
      <c r="J227">
        <f t="shared" si="20"/>
        <v>192.51003695664244</v>
      </c>
      <c r="K227" s="27">
        <f t="shared" si="21"/>
        <v>1913.085744693379</v>
      </c>
    </row>
    <row r="228" spans="1:11">
      <c r="A228" s="26">
        <v>178</v>
      </c>
      <c r="B228" s="82">
        <f t="shared" si="22"/>
        <v>3.2921237647087764E-4</v>
      </c>
      <c r="C228" s="58">
        <f t="shared" si="26"/>
        <v>42.361194713099522</v>
      </c>
      <c r="D228" s="83">
        <f t="shared" si="23"/>
        <v>180.56207754169566</v>
      </c>
      <c r="E228">
        <f t="shared" si="19"/>
        <v>10.733239568139078</v>
      </c>
      <c r="G228">
        <v>178</v>
      </c>
      <c r="H228" s="13">
        <f t="shared" si="24"/>
        <v>5.1608656820910426E-2</v>
      </c>
      <c r="I228">
        <f t="shared" si="25"/>
        <v>51.488935824209761</v>
      </c>
      <c r="J228">
        <f t="shared" si="20"/>
        <v>192.55663751922066</v>
      </c>
      <c r="K228" s="27">
        <f t="shared" si="21"/>
        <v>1914.0103480960299</v>
      </c>
    </row>
    <row r="229" spans="1:11">
      <c r="A229" s="26">
        <v>179</v>
      </c>
      <c r="B229" s="82">
        <f t="shared" si="22"/>
        <v>3.2921237647087764E-4</v>
      </c>
      <c r="C229" s="58">
        <f t="shared" si="26"/>
        <v>42.361523925475993</v>
      </c>
      <c r="D229" s="83">
        <f t="shared" si="23"/>
        <v>180.56273571563582</v>
      </c>
      <c r="E229">
        <f t="shared" si="19"/>
        <v>10.733317814675203</v>
      </c>
      <c r="G229">
        <v>179</v>
      </c>
      <c r="H229" s="13">
        <f t="shared" si="24"/>
        <v>5.1608656820910426E-2</v>
      </c>
      <c r="I229">
        <f t="shared" si="25"/>
        <v>51.540544481030672</v>
      </c>
      <c r="J229">
        <f t="shared" si="20"/>
        <v>192.60307799701948</v>
      </c>
      <c r="K229" s="27">
        <f t="shared" si="21"/>
        <v>1914.9319993429506</v>
      </c>
    </row>
    <row r="230" spans="1:11">
      <c r="A230" s="26">
        <v>180</v>
      </c>
      <c r="B230" s="82">
        <f t="shared" si="22"/>
        <v>3.2921237647087764E-4</v>
      </c>
      <c r="C230" s="58">
        <f t="shared" si="26"/>
        <v>42.361853137852464</v>
      </c>
      <c r="D230" s="83">
        <f t="shared" si="23"/>
        <v>180.56339385975923</v>
      </c>
      <c r="E230">
        <f t="shared" si="19"/>
        <v>10.733396057951888</v>
      </c>
      <c r="G230">
        <v>180</v>
      </c>
      <c r="H230" s="13">
        <f t="shared" si="24"/>
        <v>5.1608656820910426E-2</v>
      </c>
      <c r="I230">
        <f t="shared" si="25"/>
        <v>51.592153137851582</v>
      </c>
      <c r="J230">
        <f t="shared" si="20"/>
        <v>192.64935912735177</v>
      </c>
      <c r="K230" s="27">
        <f t="shared" si="21"/>
        <v>1915.8507107344537</v>
      </c>
    </row>
    <row r="231" spans="1:11">
      <c r="A231" s="26">
        <v>181</v>
      </c>
      <c r="B231" s="82">
        <f t="shared" si="22"/>
        <v>3.2921237647087764E-4</v>
      </c>
      <c r="C231" s="58">
        <f t="shared" si="26"/>
        <v>42.362182350228935</v>
      </c>
      <c r="D231" s="83">
        <f t="shared" si="23"/>
        <v>180.56405197406909</v>
      </c>
      <c r="E231">
        <f t="shared" si="19"/>
        <v>10.733474297969479</v>
      </c>
      <c r="G231">
        <v>181</v>
      </c>
      <c r="H231" s="13">
        <f t="shared" si="24"/>
        <v>5.1608656820910426E-2</v>
      </c>
      <c r="I231">
        <f t="shared" si="25"/>
        <v>51.643761794672493</v>
      </c>
      <c r="J231">
        <f t="shared" si="20"/>
        <v>192.69548164050278</v>
      </c>
      <c r="K231" s="27">
        <f t="shared" si="21"/>
        <v>1916.7664944538194</v>
      </c>
    </row>
    <row r="232" spans="1:11">
      <c r="A232" s="26">
        <v>182</v>
      </c>
      <c r="B232" s="82">
        <f t="shared" si="22"/>
        <v>3.2921237647087764E-4</v>
      </c>
      <c r="C232" s="58">
        <f t="shared" si="26"/>
        <v>42.362511562605405</v>
      </c>
      <c r="D232" s="83">
        <f t="shared" si="23"/>
        <v>180.56471005856866</v>
      </c>
      <c r="E232">
        <f t="shared" si="19"/>
        <v>10.733552534728325</v>
      </c>
      <c r="G232">
        <v>182</v>
      </c>
      <c r="H232" s="13">
        <f t="shared" si="24"/>
        <v>5.1608656820910426E-2</v>
      </c>
      <c r="I232">
        <f t="shared" si="25"/>
        <v>51.695370451493403</v>
      </c>
      <c r="J232">
        <f t="shared" si="20"/>
        <v>192.74144625982194</v>
      </c>
      <c r="K232" s="27">
        <f t="shared" si="21"/>
        <v>1917.6793625688269</v>
      </c>
    </row>
    <row r="233" spans="1:11">
      <c r="A233" s="26">
        <v>183</v>
      </c>
      <c r="B233" s="82">
        <f t="shared" si="22"/>
        <v>3.2921237647087764E-4</v>
      </c>
      <c r="C233" s="58">
        <f t="shared" si="26"/>
        <v>42.362840774981876</v>
      </c>
      <c r="D233" s="83">
        <f t="shared" si="23"/>
        <v>180.56536811326123</v>
      </c>
      <c r="E233">
        <f t="shared" si="19"/>
        <v>10.733630768228771</v>
      </c>
      <c r="G233">
        <v>183</v>
      </c>
      <c r="H233" s="13">
        <f t="shared" si="24"/>
        <v>5.1608656820910426E-2</v>
      </c>
      <c r="I233">
        <f t="shared" si="25"/>
        <v>51.746979108314314</v>
      </c>
      <c r="J233">
        <f t="shared" si="20"/>
        <v>192.78725370181334</v>
      </c>
      <c r="K233" s="27">
        <f t="shared" si="21"/>
        <v>1918.5893270332497</v>
      </c>
    </row>
    <row r="234" spans="1:11">
      <c r="A234" s="26">
        <v>184</v>
      </c>
      <c r="B234" s="82">
        <f t="shared" si="22"/>
        <v>3.2921237647087764E-4</v>
      </c>
      <c r="C234" s="58">
        <f t="shared" si="26"/>
        <v>42.363169987358347</v>
      </c>
      <c r="D234" s="83">
        <f t="shared" si="23"/>
        <v>180.56602613814994</v>
      </c>
      <c r="E234">
        <f t="shared" si="19"/>
        <v>10.73370899847116</v>
      </c>
      <c r="G234">
        <v>184</v>
      </c>
      <c r="H234" s="13">
        <f t="shared" si="24"/>
        <v>5.1608656820910426E-2</v>
      </c>
      <c r="I234">
        <f t="shared" si="25"/>
        <v>51.798587765135224</v>
      </c>
      <c r="J234">
        <f t="shared" si="20"/>
        <v>192.8329046762243</v>
      </c>
      <c r="K234" s="27">
        <f t="shared" si="21"/>
        <v>1919.4963996883362</v>
      </c>
    </row>
    <row r="235" spans="1:11">
      <c r="A235" s="26">
        <v>185</v>
      </c>
      <c r="B235" s="82">
        <f t="shared" si="22"/>
        <v>3.2921237647087764E-4</v>
      </c>
      <c r="C235" s="58">
        <f t="shared" si="26"/>
        <v>42.363499199734818</v>
      </c>
      <c r="D235" s="83">
        <f t="shared" si="23"/>
        <v>180.56668413323811</v>
      </c>
      <c r="E235">
        <f t="shared" si="19"/>
        <v>10.733787225455842</v>
      </c>
      <c r="G235">
        <v>185</v>
      </c>
      <c r="H235" s="13">
        <f t="shared" si="24"/>
        <v>5.1608656820910426E-2</v>
      </c>
      <c r="I235">
        <f t="shared" si="25"/>
        <v>51.850196421956134</v>
      </c>
      <c r="J235">
        <f t="shared" si="20"/>
        <v>192.87839988613288</v>
      </c>
      <c r="K235" s="27">
        <f t="shared" si="21"/>
        <v>1920.4005922642584</v>
      </c>
    </row>
    <row r="236" spans="1:11">
      <c r="A236" s="26">
        <v>186</v>
      </c>
      <c r="B236" s="82">
        <f t="shared" si="22"/>
        <v>3.2921237647087764E-4</v>
      </c>
      <c r="C236" s="58">
        <f t="shared" si="26"/>
        <v>42.363828412111289</v>
      </c>
      <c r="D236" s="83">
        <f t="shared" si="23"/>
        <v>180.56734209852894</v>
      </c>
      <c r="E236">
        <f t="shared" si="19"/>
        <v>10.733865449183162</v>
      </c>
      <c r="G236">
        <v>186</v>
      </c>
      <c r="H236" s="13">
        <f t="shared" si="24"/>
        <v>5.1608656820910426E-2</v>
      </c>
      <c r="I236">
        <f t="shared" si="25"/>
        <v>51.901805078777045</v>
      </c>
      <c r="J236">
        <f t="shared" si="20"/>
        <v>192.92374002803354</v>
      </c>
      <c r="K236" s="27">
        <f t="shared" si="21"/>
        <v>1921.3019163815391</v>
      </c>
    </row>
    <row r="237" spans="1:11">
      <c r="A237" s="26">
        <v>187</v>
      </c>
      <c r="B237" s="82">
        <f t="shared" si="22"/>
        <v>3.2921237647087764E-4</v>
      </c>
      <c r="C237" s="58">
        <f t="shared" si="26"/>
        <v>42.36415762448776</v>
      </c>
      <c r="D237" s="83">
        <f t="shared" si="23"/>
        <v>180.56800003402566</v>
      </c>
      <c r="E237">
        <f t="shared" si="19"/>
        <v>10.733943669653463</v>
      </c>
      <c r="G237">
        <v>187</v>
      </c>
      <c r="H237" s="13">
        <f t="shared" si="24"/>
        <v>5.1608656820910426E-2</v>
      </c>
      <c r="I237">
        <f t="shared" si="25"/>
        <v>51.953413735597955</v>
      </c>
      <c r="J237">
        <f t="shared" si="20"/>
        <v>192.96892579192161</v>
      </c>
      <c r="K237" s="27">
        <f t="shared" si="21"/>
        <v>1922.2003835524554</v>
      </c>
    </row>
    <row r="238" spans="1:11">
      <c r="A238" s="26">
        <v>188</v>
      </c>
      <c r="B238" s="82">
        <f t="shared" si="22"/>
        <v>3.2921237647087764E-4</v>
      </c>
      <c r="C238" s="58">
        <f t="shared" si="26"/>
        <v>42.364486836864231</v>
      </c>
      <c r="D238" s="83">
        <f t="shared" si="23"/>
        <v>180.56865793973154</v>
      </c>
      <c r="E238">
        <f t="shared" si="19"/>
        <v>10.734021886867097</v>
      </c>
      <c r="G238">
        <v>188</v>
      </c>
      <c r="H238" s="13">
        <f t="shared" si="24"/>
        <v>5.1608656820910426E-2</v>
      </c>
      <c r="I238">
        <f t="shared" si="25"/>
        <v>52.005022392418866</v>
      </c>
      <c r="J238">
        <f t="shared" si="20"/>
        <v>193.01395786137635</v>
      </c>
      <c r="K238" s="27">
        <f t="shared" si="21"/>
        <v>1923.0960051824165</v>
      </c>
    </row>
    <row r="239" spans="1:11">
      <c r="A239" s="26">
        <v>189</v>
      </c>
      <c r="B239" s="82">
        <f t="shared" si="22"/>
        <v>3.2921237647087764E-4</v>
      </c>
      <c r="C239" s="58">
        <f t="shared" si="26"/>
        <v>42.364816049240702</v>
      </c>
      <c r="D239" s="83">
        <f t="shared" si="23"/>
        <v>180.56931581564979</v>
      </c>
      <c r="E239">
        <f t="shared" si="19"/>
        <v>10.734100100824408</v>
      </c>
      <c r="G239">
        <v>189</v>
      </c>
      <c r="H239" s="13">
        <f t="shared" si="24"/>
        <v>5.1608656820910426E-2</v>
      </c>
      <c r="I239">
        <f t="shared" si="25"/>
        <v>52.056631049239776</v>
      </c>
      <c r="J239">
        <f t="shared" si="20"/>
        <v>193.05883691364247</v>
      </c>
      <c r="K239" s="27">
        <f t="shared" si="21"/>
        <v>1923.9887925713244</v>
      </c>
    </row>
    <row r="240" spans="1:11">
      <c r="A240" s="26">
        <v>190</v>
      </c>
      <c r="B240" s="82">
        <f t="shared" si="22"/>
        <v>3.2921237647087764E-4</v>
      </c>
      <c r="C240" s="58">
        <f t="shared" si="26"/>
        <v>42.365145261617172</v>
      </c>
      <c r="D240" s="83">
        <f t="shared" si="23"/>
        <v>180.56997366178368</v>
      </c>
      <c r="E240">
        <f t="shared" si="19"/>
        <v>10.73417831152574</v>
      </c>
      <c r="G240">
        <v>190</v>
      </c>
      <c r="H240" s="13">
        <f t="shared" si="24"/>
        <v>5.1608656820910426E-2</v>
      </c>
      <c r="I240">
        <f t="shared" si="25"/>
        <v>52.108239706060687</v>
      </c>
      <c r="J240">
        <f t="shared" si="20"/>
        <v>193.10356361971043</v>
      </c>
      <c r="K240" s="27">
        <f t="shared" si="21"/>
        <v>1924.8787569149047</v>
      </c>
    </row>
    <row r="241" spans="1:11">
      <c r="A241" s="26">
        <v>191</v>
      </c>
      <c r="B241" s="82">
        <f t="shared" si="22"/>
        <v>3.2921237647087764E-4</v>
      </c>
      <c r="C241" s="58">
        <f t="shared" si="26"/>
        <v>42.365474473993643</v>
      </c>
      <c r="D241" s="83">
        <f t="shared" si="23"/>
        <v>180.57063147813639</v>
      </c>
      <c r="E241">
        <f t="shared" si="19"/>
        <v>10.734256518971442</v>
      </c>
      <c r="G241">
        <v>191</v>
      </c>
      <c r="H241" s="13">
        <f t="shared" si="24"/>
        <v>5.1608656820910426E-2</v>
      </c>
      <c r="I241">
        <f t="shared" si="25"/>
        <v>52.159848362881597</v>
      </c>
      <c r="J241">
        <f t="shared" si="20"/>
        <v>193.14813864439552</v>
      </c>
      <c r="K241" s="27">
        <f t="shared" si="21"/>
        <v>1925.7659093060226</v>
      </c>
    </row>
    <row r="242" spans="1:11">
      <c r="A242" s="26">
        <v>192</v>
      </c>
      <c r="B242" s="82">
        <f t="shared" si="22"/>
        <v>3.2921237647087764E-4</v>
      </c>
      <c r="C242" s="58">
        <f t="shared" si="26"/>
        <v>42.365803686370114</v>
      </c>
      <c r="D242" s="83">
        <f t="shared" si="23"/>
        <v>180.57128926471117</v>
      </c>
      <c r="E242">
        <f t="shared" si="19"/>
        <v>10.734334723161856</v>
      </c>
      <c r="G242">
        <v>192</v>
      </c>
      <c r="H242" s="13">
        <f t="shared" si="24"/>
        <v>5.1608656820910426E-2</v>
      </c>
      <c r="I242">
        <f t="shared" si="25"/>
        <v>52.211457019702507</v>
      </c>
      <c r="J242">
        <f t="shared" si="20"/>
        <v>193.19256264641535</v>
      </c>
      <c r="K242" s="27">
        <f t="shared" si="21"/>
        <v>1926.6502607359714</v>
      </c>
    </row>
    <row r="243" spans="1:11">
      <c r="A243" s="26">
        <v>193</v>
      </c>
      <c r="B243" s="82">
        <f t="shared" si="22"/>
        <v>3.2921237647087764E-4</v>
      </c>
      <c r="C243" s="58">
        <f t="shared" si="26"/>
        <v>42.366132898746585</v>
      </c>
      <c r="D243" s="83">
        <f t="shared" si="23"/>
        <v>180.57194702151131</v>
      </c>
      <c r="E243">
        <f t="shared" ref="E243:E306" si="27">((D243^2)+(D243*D244)+(D244^2))*B244/3</f>
        <v>10.734412924097329</v>
      </c>
      <c r="G243">
        <v>193</v>
      </c>
      <c r="H243" s="13">
        <f t="shared" si="24"/>
        <v>5.1608656820910426E-2</v>
      </c>
      <c r="I243">
        <f t="shared" si="25"/>
        <v>52.263065676523418</v>
      </c>
      <c r="J243">
        <f t="shared" ref="J243:J306" si="28">IF($G$28&lt;$C$14,0,((($C$11^2)-((I243-$C$13)^2))^0.5)+$C$16)</f>
        <v>193.2368362784664</v>
      </c>
      <c r="K243" s="27">
        <f t="shared" ref="K243:K306" si="29">((J243^2)+(J243*J244)+(J244^2))*H244/3</f>
        <v>1927.5318220957445</v>
      </c>
    </row>
    <row r="244" spans="1:11">
      <c r="A244" s="26">
        <v>194</v>
      </c>
      <c r="B244" s="82">
        <f t="shared" ref="B244:B307" si="30">C244-C243</f>
        <v>3.2921237647087764E-4</v>
      </c>
      <c r="C244" s="58">
        <f t="shared" si="26"/>
        <v>42.366462111123056</v>
      </c>
      <c r="D244" s="83">
        <f t="shared" ref="D244:D307" si="31">IF($G$28&lt;$C$14,0,((($C$11^2)-((C244-$C$13)^2))^0.5)+$C$16)</f>
        <v>180.57260474853996</v>
      </c>
      <c r="E244">
        <f t="shared" si="27"/>
        <v>10.734491121778211</v>
      </c>
      <c r="G244">
        <v>194</v>
      </c>
      <c r="H244" s="13">
        <f t="shared" ref="H244:H307" si="32">I244-I243</f>
        <v>5.1608656820910426E-2</v>
      </c>
      <c r="I244">
        <f t="shared" ref="I244:I307" si="33">($G$27-$C$14)/2000+I243</f>
        <v>52.314674333344328</v>
      </c>
      <c r="J244">
        <f t="shared" si="28"/>
        <v>193.28096018729912</v>
      </c>
      <c r="K244" s="27">
        <f t="shared" si="29"/>
        <v>1928.410604177285</v>
      </c>
    </row>
    <row r="245" spans="1:11">
      <c r="A245" s="26">
        <v>195</v>
      </c>
      <c r="B245" s="82">
        <f t="shared" si="30"/>
        <v>3.2921237647087764E-4</v>
      </c>
      <c r="C245" s="58">
        <f t="shared" si="26"/>
        <v>42.366791323499527</v>
      </c>
      <c r="D245" s="83">
        <f t="shared" si="31"/>
        <v>180.57326244580042</v>
      </c>
      <c r="E245">
        <f t="shared" si="27"/>
        <v>10.734569316204841</v>
      </c>
      <c r="G245">
        <v>195</v>
      </c>
      <c r="H245" s="13">
        <f t="shared" si="32"/>
        <v>5.1608656820910426E-2</v>
      </c>
      <c r="I245">
        <f t="shared" si="33"/>
        <v>52.366282990165239</v>
      </c>
      <c r="J245">
        <f t="shared" si="28"/>
        <v>193.32493501379179</v>
      </c>
      <c r="K245" s="27">
        <f t="shared" si="29"/>
        <v>1929.2866176747141</v>
      </c>
    </row>
    <row r="246" spans="1:11">
      <c r="A246" s="26">
        <v>196</v>
      </c>
      <c r="B246" s="82">
        <f t="shared" si="30"/>
        <v>3.2921237647087764E-4</v>
      </c>
      <c r="C246" s="58">
        <f t="shared" si="26"/>
        <v>42.367120535875998</v>
      </c>
      <c r="D246" s="83">
        <f t="shared" si="31"/>
        <v>180.57392011329588</v>
      </c>
      <c r="E246">
        <f t="shared" si="27"/>
        <v>10.734647507377566</v>
      </c>
      <c r="G246">
        <v>196</v>
      </c>
      <c r="H246" s="13">
        <f t="shared" si="32"/>
        <v>5.1608656820910426E-2</v>
      </c>
      <c r="I246">
        <f t="shared" si="33"/>
        <v>52.417891646986149</v>
      </c>
      <c r="J246">
        <f t="shared" si="28"/>
        <v>193.36876139302345</v>
      </c>
      <c r="K246" s="27">
        <f t="shared" si="29"/>
        <v>1930.1598731855418</v>
      </c>
    </row>
    <row r="247" spans="1:11">
      <c r="A247" s="26">
        <v>197</v>
      </c>
      <c r="B247" s="82">
        <f t="shared" si="30"/>
        <v>3.2921237647087764E-4</v>
      </c>
      <c r="C247" s="58">
        <f t="shared" si="26"/>
        <v>42.367449748252469</v>
      </c>
      <c r="D247" s="83">
        <f t="shared" si="31"/>
        <v>180.57457775102958</v>
      </c>
      <c r="E247">
        <f t="shared" si="27"/>
        <v>10.734725695296733</v>
      </c>
      <c r="G247">
        <v>197</v>
      </c>
      <c r="H247" s="13">
        <f t="shared" si="32"/>
        <v>5.1608656820910426E-2</v>
      </c>
      <c r="I247">
        <f t="shared" si="33"/>
        <v>52.46950030380706</v>
      </c>
      <c r="J247">
        <f t="shared" si="28"/>
        <v>193.41243995434536</v>
      </c>
      <c r="K247" s="27">
        <f t="shared" si="29"/>
        <v>1931.0303812118566</v>
      </c>
    </row>
    <row r="248" spans="1:11">
      <c r="A248" s="26">
        <v>198</v>
      </c>
      <c r="B248" s="82">
        <f t="shared" si="30"/>
        <v>3.2921237647087764E-4</v>
      </c>
      <c r="C248" s="58">
        <f t="shared" si="26"/>
        <v>42.367778960628939</v>
      </c>
      <c r="D248" s="83">
        <f t="shared" si="31"/>
        <v>180.57523535900478</v>
      </c>
      <c r="E248">
        <f t="shared" si="27"/>
        <v>10.734803879962691</v>
      </c>
      <c r="G248">
        <v>198</v>
      </c>
      <c r="H248" s="13">
        <f t="shared" si="32"/>
        <v>5.1608656820910426E-2</v>
      </c>
      <c r="I248">
        <f t="shared" si="33"/>
        <v>52.52110896062797</v>
      </c>
      <c r="J248">
        <f t="shared" si="28"/>
        <v>193.45597132145144</v>
      </c>
      <c r="K248" s="27">
        <f t="shared" si="29"/>
        <v>1931.8981521614987</v>
      </c>
    </row>
    <row r="249" spans="1:11">
      <c r="A249" s="26">
        <v>199</v>
      </c>
      <c r="B249" s="82">
        <f t="shared" si="30"/>
        <v>3.2921237647087764E-4</v>
      </c>
      <c r="C249" s="58">
        <f t="shared" si="26"/>
        <v>42.36810817300541</v>
      </c>
      <c r="D249" s="83">
        <f t="shared" si="31"/>
        <v>180.57589293722467</v>
      </c>
      <c r="E249">
        <f t="shared" si="27"/>
        <v>10.734882061375778</v>
      </c>
      <c r="G249">
        <v>199</v>
      </c>
      <c r="H249" s="13">
        <f t="shared" si="32"/>
        <v>5.1608656820910426E-2</v>
      </c>
      <c r="I249">
        <f t="shared" si="33"/>
        <v>52.57271761744888</v>
      </c>
      <c r="J249">
        <f t="shared" si="28"/>
        <v>193.49935611244766</v>
      </c>
      <c r="K249" s="27">
        <f t="shared" si="29"/>
        <v>1932.7631963492092</v>
      </c>
    </row>
    <row r="250" spans="1:11">
      <c r="A250" s="26">
        <v>200</v>
      </c>
      <c r="B250" s="82">
        <f t="shared" si="30"/>
        <v>3.2921237647087764E-4</v>
      </c>
      <c r="C250" s="58">
        <f t="shared" si="26"/>
        <v>42.368437385381881</v>
      </c>
      <c r="D250" s="83">
        <f t="shared" si="31"/>
        <v>180.57655048569248</v>
      </c>
      <c r="E250">
        <f t="shared" si="27"/>
        <v>10.734960239536342</v>
      </c>
      <c r="G250">
        <v>200</v>
      </c>
      <c r="H250" s="13">
        <f t="shared" si="32"/>
        <v>5.1608656820910426E-2</v>
      </c>
      <c r="I250">
        <f t="shared" si="33"/>
        <v>52.624326274269791</v>
      </c>
      <c r="J250">
        <f t="shared" si="28"/>
        <v>193.54259493992015</v>
      </c>
      <c r="K250" s="27">
        <f t="shared" si="29"/>
        <v>1933.6255239977663</v>
      </c>
    </row>
    <row r="251" spans="1:11">
      <c r="A251" s="26">
        <v>201</v>
      </c>
      <c r="B251" s="82">
        <f t="shared" si="30"/>
        <v>3.2921237647087764E-4</v>
      </c>
      <c r="C251" s="58">
        <f t="shared" si="26"/>
        <v>42.368766597758352</v>
      </c>
      <c r="D251" s="83">
        <f t="shared" si="31"/>
        <v>180.57720800441146</v>
      </c>
      <c r="E251">
        <f t="shared" si="27"/>
        <v>10.735038414444732</v>
      </c>
      <c r="G251">
        <v>201</v>
      </c>
      <c r="H251" s="13">
        <f t="shared" si="32"/>
        <v>5.1608656820910426E-2</v>
      </c>
      <c r="I251">
        <f t="shared" si="33"/>
        <v>52.675934931090701</v>
      </c>
      <c r="J251">
        <f t="shared" si="28"/>
        <v>193.58568841100234</v>
      </c>
      <c r="K251" s="27">
        <f t="shared" si="29"/>
        <v>1934.4851452391019</v>
      </c>
    </row>
    <row r="252" spans="1:11">
      <c r="A252" s="26">
        <v>202</v>
      </c>
      <c r="B252" s="82">
        <f t="shared" si="30"/>
        <v>3.2921237647087764E-4</v>
      </c>
      <c r="C252" s="58">
        <f t="shared" si="26"/>
        <v>42.369095810134823</v>
      </c>
      <c r="D252" s="83">
        <f t="shared" si="31"/>
        <v>180.57786549338485</v>
      </c>
      <c r="E252">
        <f t="shared" si="27"/>
        <v>10.73511658610129</v>
      </c>
      <c r="G252">
        <v>202</v>
      </c>
      <c r="H252" s="13">
        <f t="shared" si="32"/>
        <v>5.1608656820910426E-2</v>
      </c>
      <c r="I252">
        <f t="shared" si="33"/>
        <v>52.727543587911612</v>
      </c>
      <c r="J252">
        <f t="shared" si="28"/>
        <v>193.62863712744112</v>
      </c>
      <c r="K252" s="27">
        <f t="shared" si="29"/>
        <v>1935.3420701153998</v>
      </c>
    </row>
    <row r="253" spans="1:11">
      <c r="A253" s="26">
        <v>203</v>
      </c>
      <c r="B253" s="82">
        <f t="shared" si="30"/>
        <v>3.2921237647087764E-4</v>
      </c>
      <c r="C253" s="58">
        <f t="shared" si="26"/>
        <v>42.369425022511294</v>
      </c>
      <c r="D253" s="83">
        <f t="shared" si="31"/>
        <v>180.57852295261586</v>
      </c>
      <c r="E253">
        <f t="shared" si="27"/>
        <v>10.73519475450636</v>
      </c>
      <c r="G253">
        <v>203</v>
      </c>
      <c r="H253" s="13">
        <f t="shared" si="32"/>
        <v>5.1608656820910426E-2</v>
      </c>
      <c r="I253">
        <f t="shared" si="33"/>
        <v>52.779152244732522</v>
      </c>
      <c r="J253">
        <f t="shared" si="28"/>
        <v>193.67144168566176</v>
      </c>
      <c r="K253" s="27">
        <f t="shared" si="29"/>
        <v>1936.1963085801772</v>
      </c>
    </row>
    <row r="254" spans="1:11">
      <c r="A254" s="26">
        <v>204</v>
      </c>
      <c r="B254" s="82">
        <f t="shared" si="30"/>
        <v>3.2921237647087764E-4</v>
      </c>
      <c r="C254" s="58">
        <f t="shared" si="26"/>
        <v>42.369754234887765</v>
      </c>
      <c r="D254" s="83">
        <f t="shared" si="31"/>
        <v>180.57918038210769</v>
      </c>
      <c r="E254">
        <f t="shared" si="27"/>
        <v>10.735272919660291</v>
      </c>
      <c r="G254">
        <v>204</v>
      </c>
      <c r="H254" s="13">
        <f t="shared" si="32"/>
        <v>5.1608656820910426E-2</v>
      </c>
      <c r="I254">
        <f t="shared" si="33"/>
        <v>52.830760901553433</v>
      </c>
      <c r="J254">
        <f t="shared" si="28"/>
        <v>193.714102676832</v>
      </c>
      <c r="K254" s="27">
        <f t="shared" si="29"/>
        <v>1937.0478704993495</v>
      </c>
    </row>
    <row r="255" spans="1:11">
      <c r="A255" s="26">
        <v>205</v>
      </c>
      <c r="B255" s="82">
        <f t="shared" si="30"/>
        <v>3.2921237647087764E-4</v>
      </c>
      <c r="C255" s="58">
        <f t="shared" si="26"/>
        <v>42.370083447264236</v>
      </c>
      <c r="D255" s="83">
        <f t="shared" si="31"/>
        <v>180.57983778186363</v>
      </c>
      <c r="E255">
        <f t="shared" si="27"/>
        <v>10.735351081563422</v>
      </c>
      <c r="G255">
        <v>205</v>
      </c>
      <c r="H255" s="13">
        <f t="shared" si="32"/>
        <v>5.1608656820910426E-2</v>
      </c>
      <c r="I255">
        <f t="shared" si="33"/>
        <v>52.882369558374343</v>
      </c>
      <c r="J255">
        <f t="shared" si="28"/>
        <v>193.75662068692498</v>
      </c>
      <c r="K255" s="27">
        <f t="shared" si="29"/>
        <v>1937.8967656522784</v>
      </c>
    </row>
    <row r="256" spans="1:11">
      <c r="A256" s="26">
        <v>206</v>
      </c>
      <c r="B256" s="82">
        <f t="shared" si="30"/>
        <v>3.2921237647087764E-4</v>
      </c>
      <c r="C256" s="58">
        <f t="shared" si="26"/>
        <v>42.370412659640706</v>
      </c>
      <c r="D256" s="83">
        <f t="shared" si="31"/>
        <v>180.58049515188685</v>
      </c>
      <c r="E256">
        <f t="shared" si="27"/>
        <v>10.735429240216105</v>
      </c>
      <c r="G256">
        <v>206</v>
      </c>
      <c r="H256" s="13">
        <f t="shared" si="32"/>
        <v>5.1608656820910426E-2</v>
      </c>
      <c r="I256">
        <f t="shared" si="33"/>
        <v>52.933978215195253</v>
      </c>
      <c r="J256">
        <f t="shared" si="28"/>
        <v>193.79899629678135</v>
      </c>
      <c r="K256" s="27">
        <f t="shared" si="29"/>
        <v>1938.7430037328029</v>
      </c>
    </row>
    <row r="257" spans="1:11">
      <c r="A257" s="26">
        <v>207</v>
      </c>
      <c r="B257" s="82">
        <f t="shared" si="30"/>
        <v>3.2921237647087764E-4</v>
      </c>
      <c r="C257" s="58">
        <f t="shared" si="26"/>
        <v>42.370741872017177</v>
      </c>
      <c r="D257" s="83">
        <f t="shared" si="31"/>
        <v>180.58115249218059</v>
      </c>
      <c r="E257">
        <f t="shared" si="27"/>
        <v>10.735507395618676</v>
      </c>
      <c r="G257">
        <v>207</v>
      </c>
      <c r="H257" s="13">
        <f t="shared" si="32"/>
        <v>5.1608656820910426E-2</v>
      </c>
      <c r="I257">
        <f t="shared" si="33"/>
        <v>52.985586872016164</v>
      </c>
      <c r="J257">
        <f t="shared" si="28"/>
        <v>193.84123008217028</v>
      </c>
      <c r="K257" s="27">
        <f t="shared" si="29"/>
        <v>1939.5865943502542</v>
      </c>
    </row>
    <row r="258" spans="1:11">
      <c r="A258" s="26">
        <v>208</v>
      </c>
      <c r="B258" s="82">
        <f t="shared" si="30"/>
        <v>3.2921237647087764E-4</v>
      </c>
      <c r="C258" s="58">
        <f t="shared" si="26"/>
        <v>42.371071084393648</v>
      </c>
      <c r="D258" s="83">
        <f t="shared" si="31"/>
        <v>180.58180980274807</v>
      </c>
      <c r="E258">
        <f t="shared" si="27"/>
        <v>10.735585547771487</v>
      </c>
      <c r="G258">
        <v>208</v>
      </c>
      <c r="H258" s="13">
        <f t="shared" si="32"/>
        <v>5.1608656820910426E-2</v>
      </c>
      <c r="I258">
        <f t="shared" si="33"/>
        <v>53.037195528837074</v>
      </c>
      <c r="J258">
        <f t="shared" si="28"/>
        <v>193.88332261384954</v>
      </c>
      <c r="K258" s="27">
        <f t="shared" si="29"/>
        <v>1940.4275470304594</v>
      </c>
    </row>
    <row r="259" spans="1:11">
      <c r="A259" s="26">
        <v>209</v>
      </c>
      <c r="B259" s="82">
        <f t="shared" si="30"/>
        <v>3.2921237647087764E-4</v>
      </c>
      <c r="C259" s="58">
        <f t="shared" si="26"/>
        <v>42.371400296770119</v>
      </c>
      <c r="D259" s="83">
        <f t="shared" si="31"/>
        <v>180.58246708359255</v>
      </c>
      <c r="E259">
        <f t="shared" si="27"/>
        <v>10.735663696674884</v>
      </c>
      <c r="G259">
        <v>209</v>
      </c>
      <c r="H259" s="13">
        <f t="shared" si="32"/>
        <v>5.1608656820910426E-2</v>
      </c>
      <c r="I259">
        <f t="shared" si="33"/>
        <v>53.088804185657985</v>
      </c>
      <c r="J259">
        <f t="shared" si="28"/>
        <v>193.92527445762488</v>
      </c>
      <c r="K259" s="27">
        <f t="shared" si="29"/>
        <v>1941.2658712167224</v>
      </c>
    </row>
    <row r="260" spans="1:11">
      <c r="A260" s="26">
        <v>210</v>
      </c>
      <c r="B260" s="82">
        <f t="shared" si="30"/>
        <v>3.2921237647087764E-4</v>
      </c>
      <c r="C260" s="58">
        <f t="shared" si="26"/>
        <v>42.37172950914659</v>
      </c>
      <c r="D260" s="83">
        <f t="shared" si="31"/>
        <v>180.58312433471721</v>
      </c>
      <c r="E260">
        <f t="shared" si="27"/>
        <v>10.735741842329205</v>
      </c>
      <c r="G260">
        <v>210</v>
      </c>
      <c r="H260" s="13">
        <f t="shared" si="32"/>
        <v>5.1608656820910426E-2</v>
      </c>
      <c r="I260">
        <f t="shared" si="33"/>
        <v>53.140412842478895</v>
      </c>
      <c r="J260">
        <f t="shared" si="28"/>
        <v>193.96708617440802</v>
      </c>
      <c r="K260" s="27">
        <f t="shared" si="29"/>
        <v>1942.101576270793</v>
      </c>
    </row>
    <row r="261" spans="1:11">
      <c r="A261" s="26">
        <v>211</v>
      </c>
      <c r="B261" s="82">
        <f t="shared" si="30"/>
        <v>3.2921237647087764E-4</v>
      </c>
      <c r="C261" s="58">
        <f t="shared" si="26"/>
        <v>42.372058721523061</v>
      </c>
      <c r="D261" s="83">
        <f t="shared" si="31"/>
        <v>180.5837815561253</v>
      </c>
      <c r="E261">
        <f t="shared" si="27"/>
        <v>10.735819984734796</v>
      </c>
      <c r="G261">
        <v>211</v>
      </c>
      <c r="H261" s="13">
        <f t="shared" si="32"/>
        <v>5.1608656820910426E-2</v>
      </c>
      <c r="I261">
        <f t="shared" si="33"/>
        <v>53.192021499299805</v>
      </c>
      <c r="J261">
        <f t="shared" si="28"/>
        <v>194.0087583202743</v>
      </c>
      <c r="K261" s="27">
        <f t="shared" si="29"/>
        <v>1942.9346714738251</v>
      </c>
    </row>
    <row r="262" spans="1:11">
      <c r="A262" s="26">
        <v>212</v>
      </c>
      <c r="B262" s="82">
        <f t="shared" si="30"/>
        <v>3.2921237647087764E-4</v>
      </c>
      <c r="C262" s="58">
        <f t="shared" si="26"/>
        <v>42.372387933899532</v>
      </c>
      <c r="D262" s="83">
        <f t="shared" si="31"/>
        <v>180.58443874782</v>
      </c>
      <c r="E262">
        <f t="shared" si="27"/>
        <v>10.735898123892005</v>
      </c>
      <c r="G262">
        <v>212</v>
      </c>
      <c r="H262" s="13">
        <f t="shared" si="32"/>
        <v>5.1608656820910426E-2</v>
      </c>
      <c r="I262">
        <f t="shared" si="33"/>
        <v>53.243630156120716</v>
      </c>
      <c r="J262">
        <f t="shared" si="28"/>
        <v>194.05029144651911</v>
      </c>
      <c r="K262" s="27">
        <f t="shared" si="29"/>
        <v>1943.7651660273157</v>
      </c>
    </row>
    <row r="263" spans="1:11">
      <c r="A263" s="26">
        <v>213</v>
      </c>
      <c r="B263" s="82">
        <f t="shared" si="30"/>
        <v>3.2921237647087764E-4</v>
      </c>
      <c r="C263" s="58">
        <f t="shared" si="26"/>
        <v>42.372717146276003</v>
      </c>
      <c r="D263" s="83">
        <f t="shared" si="31"/>
        <v>180.58509590980461</v>
      </c>
      <c r="E263">
        <f t="shared" si="27"/>
        <v>10.735976259801177</v>
      </c>
      <c r="G263">
        <v>213</v>
      </c>
      <c r="H263" s="13">
        <f t="shared" si="32"/>
        <v>5.1608656820910426E-2</v>
      </c>
      <c r="I263">
        <f t="shared" si="33"/>
        <v>53.295238812941626</v>
      </c>
      <c r="J263">
        <f t="shared" si="28"/>
        <v>194.09168609971351</v>
      </c>
      <c r="K263" s="27">
        <f t="shared" si="29"/>
        <v>1944.593069054027</v>
      </c>
    </row>
    <row r="264" spans="1:11">
      <c r="A264" s="26">
        <v>214</v>
      </c>
      <c r="B264" s="82">
        <f t="shared" si="30"/>
        <v>3.2921237647087764E-4</v>
      </c>
      <c r="C264" s="58">
        <f t="shared" si="26"/>
        <v>42.373046358652473</v>
      </c>
      <c r="D264" s="83">
        <f t="shared" si="31"/>
        <v>180.58575304208227</v>
      </c>
      <c r="E264">
        <f t="shared" si="27"/>
        <v>10.73605439246265</v>
      </c>
      <c r="G264">
        <v>214</v>
      </c>
      <c r="H264" s="13">
        <f t="shared" si="32"/>
        <v>5.1608656820910426E-2</v>
      </c>
      <c r="I264">
        <f t="shared" si="33"/>
        <v>53.346847469762537</v>
      </c>
      <c r="J264">
        <f t="shared" si="28"/>
        <v>194.13294282175906</v>
      </c>
      <c r="K264" s="27">
        <f t="shared" si="29"/>
        <v>1945.4183895989052</v>
      </c>
    </row>
    <row r="265" spans="1:11">
      <c r="A265" s="26">
        <v>215</v>
      </c>
      <c r="B265" s="82">
        <f t="shared" si="30"/>
        <v>3.2921237647087764E-4</v>
      </c>
      <c r="C265" s="58">
        <f t="shared" si="26"/>
        <v>42.373375571028944</v>
      </c>
      <c r="D265" s="83">
        <f t="shared" si="31"/>
        <v>180.58641014465624</v>
      </c>
      <c r="E265">
        <f t="shared" si="27"/>
        <v>10.736132521876776</v>
      </c>
      <c r="G265">
        <v>215</v>
      </c>
      <c r="H265" s="13">
        <f t="shared" si="32"/>
        <v>5.1608656820910426E-2</v>
      </c>
      <c r="I265">
        <f t="shared" si="33"/>
        <v>53.398456126583447</v>
      </c>
      <c r="J265">
        <f t="shared" si="28"/>
        <v>194.17406214994188</v>
      </c>
      <c r="K265" s="27">
        <f t="shared" si="29"/>
        <v>1946.2411366299714</v>
      </c>
    </row>
    <row r="266" spans="1:11">
      <c r="A266" s="26">
        <v>216</v>
      </c>
      <c r="B266" s="82">
        <f t="shared" si="30"/>
        <v>3.2921237647087764E-4</v>
      </c>
      <c r="C266" s="58">
        <f t="shared" si="26"/>
        <v>42.373704783405415</v>
      </c>
      <c r="D266" s="83">
        <f t="shared" si="31"/>
        <v>180.58706721752972</v>
      </c>
      <c r="E266">
        <f t="shared" si="27"/>
        <v>10.736210648043892</v>
      </c>
      <c r="G266">
        <v>216</v>
      </c>
      <c r="H266" s="13">
        <f t="shared" si="32"/>
        <v>5.1608656820910426E-2</v>
      </c>
      <c r="I266">
        <f t="shared" si="33"/>
        <v>53.450064783404358</v>
      </c>
      <c r="J266">
        <f t="shared" si="28"/>
        <v>194.21504461698567</v>
      </c>
      <c r="K266" s="27">
        <f t="shared" si="29"/>
        <v>1947.0613190392116</v>
      </c>
    </row>
    <row r="267" spans="1:11">
      <c r="A267" s="26">
        <v>217</v>
      </c>
      <c r="B267" s="82">
        <f t="shared" si="30"/>
        <v>3.2921237647087764E-4</v>
      </c>
      <c r="C267" s="58">
        <f t="shared" si="26"/>
        <v>42.374033995781886</v>
      </c>
      <c r="D267" s="83">
        <f t="shared" si="31"/>
        <v>180.58772426070595</v>
      </c>
      <c r="E267">
        <f t="shared" si="27"/>
        <v>10.736288770964348</v>
      </c>
      <c r="G267">
        <v>217</v>
      </c>
      <c r="H267" s="13">
        <f t="shared" si="32"/>
        <v>5.1608656820910426E-2</v>
      </c>
      <c r="I267">
        <f t="shared" si="33"/>
        <v>53.501673440225268</v>
      </c>
      <c r="J267">
        <f t="shared" si="28"/>
        <v>194.25589075110429</v>
      </c>
      <c r="K267" s="27">
        <f t="shared" si="29"/>
        <v>1947.8789456434461</v>
      </c>
    </row>
    <row r="268" spans="1:11">
      <c r="A268" s="26">
        <v>218</v>
      </c>
      <c r="B268" s="82">
        <f t="shared" si="30"/>
        <v>3.2921237647087764E-4</v>
      </c>
      <c r="C268" s="58">
        <f t="shared" si="26"/>
        <v>42.374363208158357</v>
      </c>
      <c r="D268" s="83">
        <f t="shared" si="31"/>
        <v>180.58838127418815</v>
      </c>
      <c r="E268">
        <f t="shared" si="27"/>
        <v>10.736366890638486</v>
      </c>
      <c r="G268">
        <v>218</v>
      </c>
      <c r="H268" s="13">
        <f t="shared" si="32"/>
        <v>5.1608656820910426E-2</v>
      </c>
      <c r="I268">
        <f t="shared" si="33"/>
        <v>53.553282097046178</v>
      </c>
      <c r="J268">
        <f t="shared" si="28"/>
        <v>194.29660107605315</v>
      </c>
      <c r="K268" s="27">
        <f t="shared" si="29"/>
        <v>1948.6940251851868</v>
      </c>
    </row>
    <row r="269" spans="1:11">
      <c r="A269" s="26">
        <v>219</v>
      </c>
      <c r="B269" s="82">
        <f t="shared" si="30"/>
        <v>3.2921237647087764E-4</v>
      </c>
      <c r="C269" s="58">
        <f t="shared" si="26"/>
        <v>42.374692420534828</v>
      </c>
      <c r="D269" s="83">
        <f t="shared" si="31"/>
        <v>180.58903825797952</v>
      </c>
      <c r="E269">
        <f t="shared" si="27"/>
        <v>10.736445007066648</v>
      </c>
      <c r="G269">
        <v>219</v>
      </c>
      <c r="H269" s="13">
        <f t="shared" si="32"/>
        <v>5.1608656820910426E-2</v>
      </c>
      <c r="I269">
        <f t="shared" si="33"/>
        <v>53.604890753867089</v>
      </c>
      <c r="J269">
        <f t="shared" si="28"/>
        <v>194.33717611118027</v>
      </c>
      <c r="K269" s="27">
        <f t="shared" si="29"/>
        <v>1949.506566333486</v>
      </c>
    </row>
    <row r="270" spans="1:11">
      <c r="A270" s="26">
        <v>220</v>
      </c>
      <c r="B270" s="82">
        <f t="shared" si="30"/>
        <v>3.2921237647087764E-4</v>
      </c>
      <c r="C270" s="58">
        <f t="shared" si="26"/>
        <v>42.375021632911299</v>
      </c>
      <c r="D270" s="83">
        <f t="shared" si="31"/>
        <v>180.58969521208329</v>
      </c>
      <c r="E270">
        <f t="shared" si="27"/>
        <v>10.73652312024918</v>
      </c>
      <c r="G270">
        <v>220</v>
      </c>
      <c r="H270" s="13">
        <f t="shared" si="32"/>
        <v>5.1608656820910426E-2</v>
      </c>
      <c r="I270">
        <f t="shared" si="33"/>
        <v>53.656499410687999</v>
      </c>
      <c r="J270">
        <f t="shared" si="28"/>
        <v>194.37761637147602</v>
      </c>
      <c r="K270" s="27">
        <f t="shared" si="29"/>
        <v>1950.3165776847652</v>
      </c>
    </row>
    <row r="271" spans="1:11">
      <c r="A271" s="26">
        <v>221</v>
      </c>
      <c r="B271" s="82">
        <f t="shared" si="30"/>
        <v>3.2921237647087764E-4</v>
      </c>
      <c r="C271" s="58">
        <f t="shared" si="26"/>
        <v>42.37535084528777</v>
      </c>
      <c r="D271" s="83">
        <f t="shared" si="31"/>
        <v>180.59035213650264</v>
      </c>
      <c r="E271">
        <f t="shared" si="27"/>
        <v>10.736601230186425</v>
      </c>
      <c r="G271">
        <v>221</v>
      </c>
      <c r="H271" s="13">
        <f t="shared" si="32"/>
        <v>5.1608656820910426E-2</v>
      </c>
      <c r="I271">
        <f t="shared" si="33"/>
        <v>53.70810806750891</v>
      </c>
      <c r="J271">
        <f t="shared" si="28"/>
        <v>194.41792236762285</v>
      </c>
      <c r="K271" s="27">
        <f t="shared" si="29"/>
        <v>1951.1240677636406</v>
      </c>
    </row>
    <row r="272" spans="1:11">
      <c r="A272" s="26">
        <v>222</v>
      </c>
      <c r="B272" s="82">
        <f t="shared" si="30"/>
        <v>3.2921237647087764E-4</v>
      </c>
      <c r="C272" s="58">
        <f t="shared" ref="C272:C335" si="34">($C$37-$C$36)/2000+C271</f>
        <v>42.375680057664241</v>
      </c>
      <c r="D272" s="83">
        <f t="shared" si="31"/>
        <v>180.59100903124084</v>
      </c>
      <c r="E272">
        <f t="shared" si="27"/>
        <v>10.736679336878728</v>
      </c>
      <c r="G272">
        <v>222</v>
      </c>
      <c r="H272" s="13">
        <f t="shared" si="32"/>
        <v>5.1608656820910426E-2</v>
      </c>
      <c r="I272">
        <f t="shared" si="33"/>
        <v>53.75971672432982</v>
      </c>
      <c r="J272">
        <f t="shared" si="28"/>
        <v>194.45809460604352</v>
      </c>
      <c r="K272" s="27">
        <f t="shared" si="29"/>
        <v>1951.9290450237279</v>
      </c>
    </row>
    <row r="273" spans="1:11">
      <c r="A273" s="26">
        <v>223</v>
      </c>
      <c r="B273" s="82">
        <f t="shared" si="30"/>
        <v>3.2921237647087764E-4</v>
      </c>
      <c r="C273" s="58">
        <f t="shared" si="34"/>
        <v>42.376009270040711</v>
      </c>
      <c r="D273" s="83">
        <f t="shared" si="31"/>
        <v>180.59166589630109</v>
      </c>
      <c r="E273">
        <f t="shared" si="27"/>
        <v>10.736757440326434</v>
      </c>
      <c r="G273">
        <v>223</v>
      </c>
      <c r="H273" s="13">
        <f t="shared" si="32"/>
        <v>5.1608656820910426E-2</v>
      </c>
      <c r="I273">
        <f t="shared" si="33"/>
        <v>53.811325381150731</v>
      </c>
      <c r="J273">
        <f t="shared" si="28"/>
        <v>194.49813358894926</v>
      </c>
      <c r="K273" s="27">
        <f t="shared" si="29"/>
        <v>1952.7315178484412</v>
      </c>
    </row>
    <row r="274" spans="1:11">
      <c r="A274" s="26">
        <v>224</v>
      </c>
      <c r="B274" s="82">
        <f t="shared" si="30"/>
        <v>3.2921237647087764E-4</v>
      </c>
      <c r="C274" s="58">
        <f t="shared" si="34"/>
        <v>42.376338482417182</v>
      </c>
      <c r="D274" s="83">
        <f t="shared" si="31"/>
        <v>180.59232273168661</v>
      </c>
      <c r="E274">
        <f t="shared" si="27"/>
        <v>10.736835540529883</v>
      </c>
      <c r="G274">
        <v>224</v>
      </c>
      <c r="H274" s="13">
        <f t="shared" si="32"/>
        <v>5.1608656820910426E-2</v>
      </c>
      <c r="I274">
        <f t="shared" si="33"/>
        <v>53.862934037971641</v>
      </c>
      <c r="J274">
        <f t="shared" si="28"/>
        <v>194.53803981438682</v>
      </c>
      <c r="K274" s="27">
        <f t="shared" si="29"/>
        <v>1953.5314945517773</v>
      </c>
    </row>
    <row r="275" spans="1:11">
      <c r="A275" s="26">
        <v>225</v>
      </c>
      <c r="B275" s="82">
        <f t="shared" si="30"/>
        <v>3.2921237647087764E-4</v>
      </c>
      <c r="C275" s="58">
        <f t="shared" si="34"/>
        <v>42.376667694793653</v>
      </c>
      <c r="D275" s="83">
        <f t="shared" si="31"/>
        <v>180.59297953740057</v>
      </c>
      <c r="E275">
        <f t="shared" si="27"/>
        <v>10.736913637489423</v>
      </c>
      <c r="G275">
        <v>225</v>
      </c>
      <c r="H275" s="13">
        <f t="shared" si="32"/>
        <v>5.1608656820910426E-2</v>
      </c>
      <c r="I275">
        <f t="shared" si="33"/>
        <v>53.914542694792551</v>
      </c>
      <c r="J275">
        <f t="shared" si="28"/>
        <v>194.57781377628493</v>
      </c>
      <c r="K275" s="27">
        <f t="shared" si="29"/>
        <v>1954.3289833790902</v>
      </c>
    </row>
    <row r="276" spans="1:11">
      <c r="A276" s="26">
        <v>226</v>
      </c>
      <c r="B276" s="82">
        <f t="shared" si="30"/>
        <v>3.2921237647087764E-4</v>
      </c>
      <c r="C276" s="58">
        <f t="shared" si="34"/>
        <v>42.376996907170124</v>
      </c>
      <c r="D276" s="83">
        <f t="shared" si="31"/>
        <v>180.59363631344624</v>
      </c>
      <c r="E276">
        <f t="shared" si="27"/>
        <v>10.736991731205395</v>
      </c>
      <c r="G276">
        <v>226</v>
      </c>
      <c r="H276" s="13">
        <f t="shared" si="32"/>
        <v>5.1608656820910426E-2</v>
      </c>
      <c r="I276">
        <f t="shared" si="33"/>
        <v>53.966151351613462</v>
      </c>
      <c r="J276">
        <f t="shared" si="28"/>
        <v>194.61745596450029</v>
      </c>
      <c r="K276" s="27">
        <f t="shared" si="29"/>
        <v>1955.1239925078526</v>
      </c>
    </row>
    <row r="277" spans="1:11">
      <c r="A277" s="26">
        <v>227</v>
      </c>
      <c r="B277" s="82">
        <f t="shared" si="30"/>
        <v>3.2921237647087764E-4</v>
      </c>
      <c r="C277" s="58">
        <f t="shared" si="34"/>
        <v>42.377326119546595</v>
      </c>
      <c r="D277" s="83">
        <f t="shared" si="31"/>
        <v>180.59429305982678</v>
      </c>
      <c r="E277">
        <f t="shared" si="27"/>
        <v>10.737069821678141</v>
      </c>
      <c r="G277">
        <v>227</v>
      </c>
      <c r="H277" s="13">
        <f t="shared" si="32"/>
        <v>5.1608656820910426E-2</v>
      </c>
      <c r="I277">
        <f t="shared" si="33"/>
        <v>54.017760008434372</v>
      </c>
      <c r="J277">
        <f t="shared" si="28"/>
        <v>194.65696686486257</v>
      </c>
      <c r="K277" s="27">
        <f t="shared" si="29"/>
        <v>1955.916530048408</v>
      </c>
    </row>
    <row r="278" spans="1:11">
      <c r="A278" s="26">
        <v>228</v>
      </c>
      <c r="B278" s="82">
        <f t="shared" si="30"/>
        <v>3.2921237647087764E-4</v>
      </c>
      <c r="C278" s="58">
        <f t="shared" si="34"/>
        <v>42.377655331923066</v>
      </c>
      <c r="D278" s="83">
        <f t="shared" si="31"/>
        <v>180.59494977654546</v>
      </c>
      <c r="E278">
        <f t="shared" si="27"/>
        <v>10.737147908908007</v>
      </c>
      <c r="G278">
        <v>228</v>
      </c>
      <c r="H278" s="13">
        <f t="shared" si="32"/>
        <v>5.1608656820910426E-2</v>
      </c>
      <c r="I278">
        <f t="shared" si="33"/>
        <v>54.069368665255283</v>
      </c>
      <c r="J278">
        <f t="shared" si="28"/>
        <v>194.69634695921891</v>
      </c>
      <c r="K278" s="27">
        <f t="shared" si="29"/>
        <v>1956.7066040447116</v>
      </c>
    </row>
    <row r="279" spans="1:11">
      <c r="A279" s="26">
        <v>229</v>
      </c>
      <c r="B279" s="82">
        <f t="shared" si="30"/>
        <v>3.2921237647087764E-4</v>
      </c>
      <c r="C279" s="58">
        <f t="shared" si="34"/>
        <v>42.377984544299537</v>
      </c>
      <c r="D279" s="83">
        <f t="shared" si="31"/>
        <v>180.59560646360544</v>
      </c>
      <c r="E279">
        <f t="shared" si="27"/>
        <v>10.737225992895334</v>
      </c>
      <c r="G279">
        <v>229</v>
      </c>
      <c r="H279" s="13">
        <f t="shared" si="32"/>
        <v>5.1608656820910426E-2</v>
      </c>
      <c r="I279">
        <f t="shared" si="33"/>
        <v>54.120977322076193</v>
      </c>
      <c r="J279">
        <f t="shared" si="28"/>
        <v>194.73559672547793</v>
      </c>
      <c r="K279" s="27">
        <f t="shared" si="29"/>
        <v>1957.4942224750596</v>
      </c>
    </row>
    <row r="280" spans="1:11">
      <c r="A280" s="26">
        <v>230</v>
      </c>
      <c r="B280" s="82">
        <f t="shared" si="30"/>
        <v>3.2921237647087764E-4</v>
      </c>
      <c r="C280" s="58">
        <f t="shared" si="34"/>
        <v>42.378313756676008</v>
      </c>
      <c r="D280" s="83">
        <f t="shared" si="31"/>
        <v>180.59626312100997</v>
      </c>
      <c r="E280">
        <f t="shared" si="27"/>
        <v>10.737304073640471</v>
      </c>
      <c r="G280">
        <v>230</v>
      </c>
      <c r="H280" s="13">
        <f t="shared" si="32"/>
        <v>5.1608656820910426E-2</v>
      </c>
      <c r="I280">
        <f t="shared" si="33"/>
        <v>54.172585978897104</v>
      </c>
      <c r="J280">
        <f t="shared" si="28"/>
        <v>194.77471663765277</v>
      </c>
      <c r="K280" s="27">
        <f t="shared" si="29"/>
        <v>1958.2793932528082</v>
      </c>
    </row>
    <row r="281" spans="1:11">
      <c r="A281" s="26">
        <v>231</v>
      </c>
      <c r="B281" s="82">
        <f t="shared" si="30"/>
        <v>3.2921237647087764E-4</v>
      </c>
      <c r="C281" s="58">
        <f t="shared" si="34"/>
        <v>42.378642969052478</v>
      </c>
      <c r="D281" s="83">
        <f t="shared" si="31"/>
        <v>180.59691974876225</v>
      </c>
      <c r="E281">
        <f t="shared" si="27"/>
        <v>10.737382151143755</v>
      </c>
      <c r="G281">
        <v>231</v>
      </c>
      <c r="H281" s="13">
        <f t="shared" si="32"/>
        <v>5.1608656820910426E-2</v>
      </c>
      <c r="I281">
        <f t="shared" si="33"/>
        <v>54.224194635718014</v>
      </c>
      <c r="J281">
        <f t="shared" si="28"/>
        <v>194.81370716590382</v>
      </c>
      <c r="K281" s="27">
        <f t="shared" si="29"/>
        <v>1959.0621242270836</v>
      </c>
    </row>
    <row r="282" spans="1:11">
      <c r="A282" s="26">
        <v>232</v>
      </c>
      <c r="B282" s="82">
        <f t="shared" si="30"/>
        <v>3.2921237647087764E-4</v>
      </c>
      <c r="C282" s="58">
        <f t="shared" si="34"/>
        <v>42.378972181428949</v>
      </c>
      <c r="D282" s="83">
        <f t="shared" si="31"/>
        <v>180.59757634686545</v>
      </c>
      <c r="E282">
        <f t="shared" si="27"/>
        <v>10.737460225405528</v>
      </c>
      <c r="G282">
        <v>232</v>
      </c>
      <c r="H282" s="13">
        <f t="shared" si="32"/>
        <v>5.1608656820910426E-2</v>
      </c>
      <c r="I282">
        <f t="shared" si="33"/>
        <v>54.275803292538924</v>
      </c>
      <c r="J282">
        <f t="shared" si="28"/>
        <v>194.85256877658071</v>
      </c>
      <c r="K282" s="27">
        <f t="shared" si="29"/>
        <v>1959.8424231834806</v>
      </c>
    </row>
    <row r="283" spans="1:11">
      <c r="A283" s="26">
        <v>233</v>
      </c>
      <c r="B283" s="82">
        <f t="shared" si="30"/>
        <v>3.2921237647087764E-4</v>
      </c>
      <c r="C283" s="58">
        <f t="shared" si="34"/>
        <v>42.37930139380542</v>
      </c>
      <c r="D283" s="83">
        <f t="shared" si="31"/>
        <v>180.59823291532282</v>
      </c>
      <c r="E283">
        <f t="shared" si="27"/>
        <v>10.737538296426139</v>
      </c>
      <c r="G283">
        <v>233</v>
      </c>
      <c r="H283" s="13">
        <f t="shared" si="32"/>
        <v>5.1608656820910426E-2</v>
      </c>
      <c r="I283">
        <f t="shared" si="33"/>
        <v>54.327411949359835</v>
      </c>
      <c r="J283">
        <f t="shared" si="28"/>
        <v>194.89130193226367</v>
      </c>
      <c r="K283" s="27">
        <f t="shared" si="29"/>
        <v>1960.6202978447529</v>
      </c>
    </row>
    <row r="284" spans="1:11">
      <c r="A284" s="26">
        <v>234</v>
      </c>
      <c r="B284" s="82">
        <f t="shared" si="30"/>
        <v>3.2921237647087764E-4</v>
      </c>
      <c r="C284" s="58">
        <f t="shared" si="34"/>
        <v>42.379630606181891</v>
      </c>
      <c r="D284" s="83">
        <f t="shared" si="31"/>
        <v>180.59888945413758</v>
      </c>
      <c r="E284">
        <f t="shared" si="27"/>
        <v>10.737616364205932</v>
      </c>
      <c r="G284">
        <v>234</v>
      </c>
      <c r="H284" s="13">
        <f t="shared" si="32"/>
        <v>5.1608656820910426E-2</v>
      </c>
      <c r="I284">
        <f t="shared" si="33"/>
        <v>54.379020606180745</v>
      </c>
      <c r="J284">
        <f t="shared" si="28"/>
        <v>194.92990709180435</v>
      </c>
      <c r="K284" s="27">
        <f t="shared" si="29"/>
        <v>1961.3957558714894</v>
      </c>
    </row>
    <row r="285" spans="1:11">
      <c r="A285" s="26">
        <v>235</v>
      </c>
      <c r="B285" s="82">
        <f t="shared" si="30"/>
        <v>3.2921237647087764E-4</v>
      </c>
      <c r="C285" s="58">
        <f t="shared" si="34"/>
        <v>42.379959818558362</v>
      </c>
      <c r="D285" s="83">
        <f t="shared" si="31"/>
        <v>180.59954596331292</v>
      </c>
      <c r="E285">
        <f t="shared" si="27"/>
        <v>10.737694428745243</v>
      </c>
      <c r="G285">
        <v>235</v>
      </c>
      <c r="H285" s="13">
        <f t="shared" si="32"/>
        <v>5.1608656820910426E-2</v>
      </c>
      <c r="I285">
        <f t="shared" si="33"/>
        <v>54.430629263001656</v>
      </c>
      <c r="J285">
        <f t="shared" si="28"/>
        <v>194.96838471036605</v>
      </c>
      <c r="K285" s="27">
        <f t="shared" si="29"/>
        <v>1962.1688048627868</v>
      </c>
    </row>
    <row r="286" spans="1:11">
      <c r="A286" s="26">
        <v>236</v>
      </c>
      <c r="B286" s="82">
        <f t="shared" si="30"/>
        <v>3.2921237647087764E-4</v>
      </c>
      <c r="C286" s="58">
        <f t="shared" si="34"/>
        <v>42.380289030934833</v>
      </c>
      <c r="D286" s="83">
        <f t="shared" si="31"/>
        <v>180.60020244285204</v>
      </c>
      <c r="E286">
        <f t="shared" si="27"/>
        <v>10.737772490044421</v>
      </c>
      <c r="G286">
        <v>236</v>
      </c>
      <c r="H286" s="13">
        <f t="shared" si="32"/>
        <v>5.1608656820910426E-2</v>
      </c>
      <c r="I286">
        <f t="shared" si="33"/>
        <v>54.482237919822566</v>
      </c>
      <c r="J286">
        <f t="shared" si="28"/>
        <v>195.00673523946352</v>
      </c>
      <c r="K286" s="27">
        <f t="shared" si="29"/>
        <v>1962.9394523569099</v>
      </c>
    </row>
    <row r="287" spans="1:11">
      <c r="A287" s="26">
        <v>237</v>
      </c>
      <c r="B287" s="82">
        <f t="shared" si="30"/>
        <v>3.2921237647087764E-4</v>
      </c>
      <c r="C287" s="58">
        <f t="shared" si="34"/>
        <v>42.380618243311304</v>
      </c>
      <c r="D287" s="83">
        <f t="shared" si="31"/>
        <v>180.60085889275814</v>
      </c>
      <c r="E287">
        <f t="shared" si="27"/>
        <v>10.737850548103802</v>
      </c>
      <c r="G287">
        <v>237</v>
      </c>
      <c r="H287" s="13">
        <f t="shared" si="32"/>
        <v>5.1608656820910426E-2</v>
      </c>
      <c r="I287">
        <f t="shared" si="33"/>
        <v>54.533846576643477</v>
      </c>
      <c r="J287">
        <f t="shared" si="28"/>
        <v>195.04495912700182</v>
      </c>
      <c r="K287" s="27">
        <f t="shared" si="29"/>
        <v>1963.7077058319398</v>
      </c>
    </row>
    <row r="288" spans="1:11">
      <c r="A288" s="26">
        <v>238</v>
      </c>
      <c r="B288" s="82">
        <f t="shared" si="30"/>
        <v>3.2921237647087764E-4</v>
      </c>
      <c r="C288" s="58">
        <f t="shared" si="34"/>
        <v>42.380947455687775</v>
      </c>
      <c r="D288" s="83">
        <f t="shared" si="31"/>
        <v>180.60151531303444</v>
      </c>
      <c r="E288">
        <f t="shared" si="27"/>
        <v>10.737928602923736</v>
      </c>
      <c r="G288">
        <v>238</v>
      </c>
      <c r="H288" s="13">
        <f t="shared" si="32"/>
        <v>5.1608656820910426E-2</v>
      </c>
      <c r="I288">
        <f t="shared" si="33"/>
        <v>54.585455233464387</v>
      </c>
      <c r="J288">
        <f t="shared" si="28"/>
        <v>195.08305681731514</v>
      </c>
      <c r="K288" s="27">
        <f t="shared" si="29"/>
        <v>1964.4735727064192</v>
      </c>
    </row>
    <row r="289" spans="1:11">
      <c r="A289" s="26">
        <v>239</v>
      </c>
      <c r="B289" s="82">
        <f t="shared" si="30"/>
        <v>3.2921237647087764E-4</v>
      </c>
      <c r="C289" s="58">
        <f t="shared" si="34"/>
        <v>42.381276668064245</v>
      </c>
      <c r="D289" s="83">
        <f t="shared" si="31"/>
        <v>180.60217170368418</v>
      </c>
      <c r="E289">
        <f t="shared" si="27"/>
        <v>10.738006654504565</v>
      </c>
      <c r="G289">
        <v>239</v>
      </c>
      <c r="H289" s="13">
        <f t="shared" si="32"/>
        <v>5.1608656820910426E-2</v>
      </c>
      <c r="I289">
        <f t="shared" si="33"/>
        <v>54.637063890285297</v>
      </c>
      <c r="J289">
        <f t="shared" si="28"/>
        <v>195.12102875120468</v>
      </c>
      <c r="K289" s="27">
        <f t="shared" si="29"/>
        <v>1965.2370603399829</v>
      </c>
    </row>
    <row r="290" spans="1:11">
      <c r="A290" s="26">
        <v>240</v>
      </c>
      <c r="B290" s="82">
        <f t="shared" si="30"/>
        <v>3.2921237647087764E-4</v>
      </c>
      <c r="C290" s="58">
        <f t="shared" si="34"/>
        <v>42.381605880440716</v>
      </c>
      <c r="D290" s="83">
        <f t="shared" si="31"/>
        <v>180.60282806471048</v>
      </c>
      <c r="E290">
        <f t="shared" si="27"/>
        <v>10.738084702846626</v>
      </c>
      <c r="G290">
        <v>240</v>
      </c>
      <c r="H290" s="13">
        <f t="shared" si="32"/>
        <v>5.1608656820910426E-2</v>
      </c>
      <c r="I290">
        <f t="shared" si="33"/>
        <v>54.688672547106208</v>
      </c>
      <c r="J290">
        <f t="shared" si="28"/>
        <v>195.15887536597614</v>
      </c>
      <c r="K290" s="27">
        <f t="shared" si="29"/>
        <v>1965.9981760339833</v>
      </c>
    </row>
    <row r="291" spans="1:11">
      <c r="A291" s="26">
        <v>241</v>
      </c>
      <c r="B291" s="82">
        <f t="shared" si="30"/>
        <v>3.2921237647087764E-4</v>
      </c>
      <c r="C291" s="58">
        <f t="shared" si="34"/>
        <v>42.381935092817187</v>
      </c>
      <c r="D291" s="83">
        <f t="shared" si="31"/>
        <v>180.60348439611664</v>
      </c>
      <c r="E291">
        <f t="shared" si="27"/>
        <v>10.738162747950264</v>
      </c>
      <c r="G291">
        <v>241</v>
      </c>
      <c r="H291" s="13">
        <f t="shared" si="32"/>
        <v>5.1608656820910426E-2</v>
      </c>
      <c r="I291">
        <f t="shared" si="33"/>
        <v>54.740281203927118</v>
      </c>
      <c r="J291">
        <f t="shared" si="28"/>
        <v>195.19659709547676</v>
      </c>
      <c r="K291" s="27">
        <f t="shared" si="29"/>
        <v>1966.7569270321053</v>
      </c>
    </row>
    <row r="292" spans="1:11">
      <c r="A292" s="26">
        <v>242</v>
      </c>
      <c r="B292" s="82">
        <f t="shared" si="30"/>
        <v>3.2921237647087764E-4</v>
      </c>
      <c r="C292" s="58">
        <f t="shared" si="34"/>
        <v>42.382264305193658</v>
      </c>
      <c r="D292" s="83">
        <f t="shared" si="31"/>
        <v>180.60414069790579</v>
      </c>
      <c r="E292">
        <f t="shared" si="27"/>
        <v>10.738240789815826</v>
      </c>
      <c r="G292">
        <v>242</v>
      </c>
      <c r="H292" s="13">
        <f t="shared" si="32"/>
        <v>5.1608656820910426E-2</v>
      </c>
      <c r="I292">
        <f t="shared" si="33"/>
        <v>54.791889860748029</v>
      </c>
      <c r="J292">
        <f t="shared" si="28"/>
        <v>195.23419437013177</v>
      </c>
      <c r="K292" s="27">
        <f t="shared" si="29"/>
        <v>1967.5133205209743</v>
      </c>
    </row>
    <row r="293" spans="1:11">
      <c r="A293" s="26">
        <v>243</v>
      </c>
      <c r="B293" s="82">
        <f t="shared" si="30"/>
        <v>3.2921237647087764E-4</v>
      </c>
      <c r="C293" s="58">
        <f t="shared" si="34"/>
        <v>42.382593517570129</v>
      </c>
      <c r="D293" s="83">
        <f t="shared" si="31"/>
        <v>180.60479697008117</v>
      </c>
      <c r="E293">
        <f t="shared" si="27"/>
        <v>10.738318828443651</v>
      </c>
      <c r="G293">
        <v>243</v>
      </c>
      <c r="H293" s="13">
        <f t="shared" si="32"/>
        <v>5.1608656820910426E-2</v>
      </c>
      <c r="I293">
        <f t="shared" si="33"/>
        <v>54.843498517568939</v>
      </c>
      <c r="J293">
        <f t="shared" si="28"/>
        <v>195.27166761698038</v>
      </c>
      <c r="K293" s="27">
        <f t="shared" si="29"/>
        <v>1968.2673636307527</v>
      </c>
    </row>
    <row r="294" spans="1:11">
      <c r="A294" s="26">
        <v>244</v>
      </c>
      <c r="B294" s="82">
        <f t="shared" si="30"/>
        <v>3.2921237647087764E-4</v>
      </c>
      <c r="C294" s="58">
        <f t="shared" si="34"/>
        <v>42.3829227299466</v>
      </c>
      <c r="D294" s="83">
        <f t="shared" si="31"/>
        <v>180.60545321264598</v>
      </c>
      <c r="E294">
        <f t="shared" si="27"/>
        <v>10.738396863834081</v>
      </c>
      <c r="G294">
        <v>244</v>
      </c>
      <c r="H294" s="13">
        <f t="shared" si="32"/>
        <v>5.1608656820910426E-2</v>
      </c>
      <c r="I294">
        <f t="shared" si="33"/>
        <v>54.89510717438985</v>
      </c>
      <c r="J294">
        <f t="shared" si="28"/>
        <v>195.30901725971106</v>
      </c>
      <c r="K294" s="27">
        <f t="shared" si="29"/>
        <v>1969.0190634357323</v>
      </c>
    </row>
    <row r="295" spans="1:11">
      <c r="A295" s="26">
        <v>245</v>
      </c>
      <c r="B295" s="82">
        <f t="shared" si="30"/>
        <v>3.2921237647087764E-4</v>
      </c>
      <c r="C295" s="58">
        <f t="shared" si="34"/>
        <v>42.383251942323071</v>
      </c>
      <c r="D295" s="83">
        <f t="shared" si="31"/>
        <v>180.60610942560339</v>
      </c>
      <c r="E295">
        <f t="shared" si="27"/>
        <v>10.738474895987459</v>
      </c>
      <c r="G295">
        <v>245</v>
      </c>
      <c r="H295" s="13">
        <f t="shared" si="32"/>
        <v>5.1608656820910426E-2</v>
      </c>
      <c r="I295">
        <f t="shared" si="33"/>
        <v>54.94671583121076</v>
      </c>
      <c r="J295">
        <f t="shared" si="28"/>
        <v>195.34624371869677</v>
      </c>
      <c r="K295" s="27">
        <f t="shared" si="29"/>
        <v>1969.7684269549152</v>
      </c>
    </row>
    <row r="296" spans="1:11">
      <c r="A296" s="26">
        <v>246</v>
      </c>
      <c r="B296" s="82">
        <f t="shared" si="30"/>
        <v>3.2921237647087764E-4</v>
      </c>
      <c r="C296" s="58">
        <f t="shared" si="34"/>
        <v>42.383581154699542</v>
      </c>
      <c r="D296" s="83">
        <f t="shared" si="31"/>
        <v>180.60676560895666</v>
      </c>
      <c r="E296">
        <f t="shared" si="27"/>
        <v>10.738552924904127</v>
      </c>
      <c r="G296">
        <v>246</v>
      </c>
      <c r="H296" s="13">
        <f t="shared" si="32"/>
        <v>5.1608656820910426E-2</v>
      </c>
      <c r="I296">
        <f t="shared" si="33"/>
        <v>54.99832448803167</v>
      </c>
      <c r="J296">
        <f t="shared" si="28"/>
        <v>195.38334741102932</v>
      </c>
      <c r="K296" s="27">
        <f t="shared" si="29"/>
        <v>1970.5154611525902</v>
      </c>
    </row>
    <row r="297" spans="1:11">
      <c r="A297" s="26">
        <v>247</v>
      </c>
      <c r="B297" s="82">
        <f t="shared" si="30"/>
        <v>3.2921237647087764E-4</v>
      </c>
      <c r="C297" s="58">
        <f t="shared" si="34"/>
        <v>42.383910367076012</v>
      </c>
      <c r="D297" s="83">
        <f t="shared" si="31"/>
        <v>180.60742176270895</v>
      </c>
      <c r="E297">
        <f t="shared" si="27"/>
        <v>10.738630950584428</v>
      </c>
      <c r="G297">
        <v>247</v>
      </c>
      <c r="H297" s="13">
        <f t="shared" si="32"/>
        <v>5.1608656820910426E-2</v>
      </c>
      <c r="I297">
        <f t="shared" si="33"/>
        <v>55.049933144852581</v>
      </c>
      <c r="J297">
        <f t="shared" si="28"/>
        <v>195.42032875055344</v>
      </c>
      <c r="K297" s="27">
        <f t="shared" si="29"/>
        <v>1971.2601729388969</v>
      </c>
    </row>
    <row r="298" spans="1:11">
      <c r="A298" s="26">
        <v>248</v>
      </c>
      <c r="B298" s="82">
        <f t="shared" si="30"/>
        <v>3.2921237647087764E-4</v>
      </c>
      <c r="C298" s="58">
        <f t="shared" si="34"/>
        <v>42.384239579452483</v>
      </c>
      <c r="D298" s="83">
        <f t="shared" si="31"/>
        <v>180.60807788686344</v>
      </c>
      <c r="E298">
        <f t="shared" si="27"/>
        <v>10.7387089730287</v>
      </c>
      <c r="G298">
        <v>248</v>
      </c>
      <c r="H298" s="13">
        <f t="shared" si="32"/>
        <v>5.1608656820910426E-2</v>
      </c>
      <c r="I298">
        <f t="shared" si="33"/>
        <v>55.101541801673491</v>
      </c>
      <c r="J298">
        <f t="shared" si="28"/>
        <v>195.4571881479003</v>
      </c>
      <c r="K298" s="27">
        <f t="shared" si="29"/>
        <v>1972.0025691703856</v>
      </c>
    </row>
    <row r="299" spans="1:11">
      <c r="A299" s="26">
        <v>249</v>
      </c>
      <c r="B299" s="82">
        <f t="shared" si="30"/>
        <v>3.2921237647087764E-4</v>
      </c>
      <c r="C299" s="58">
        <f t="shared" si="34"/>
        <v>42.384568791828954</v>
      </c>
      <c r="D299" s="83">
        <f t="shared" si="31"/>
        <v>180.6087339814234</v>
      </c>
      <c r="E299">
        <f t="shared" si="27"/>
        <v>10.738786992237292</v>
      </c>
      <c r="G299">
        <v>249</v>
      </c>
      <c r="H299" s="13">
        <f t="shared" si="32"/>
        <v>5.1608656820910426E-2</v>
      </c>
      <c r="I299">
        <f t="shared" si="33"/>
        <v>55.153150458494402</v>
      </c>
      <c r="J299">
        <f t="shared" si="28"/>
        <v>195.49392601052065</v>
      </c>
      <c r="K299" s="27">
        <f t="shared" si="29"/>
        <v>1972.742656650569</v>
      </c>
    </row>
    <row r="300" spans="1:11">
      <c r="A300" s="26">
        <v>250</v>
      </c>
      <c r="B300" s="82">
        <f t="shared" si="30"/>
        <v>3.2921237647087764E-4</v>
      </c>
      <c r="C300" s="58">
        <f t="shared" si="34"/>
        <v>42.384898004205425</v>
      </c>
      <c r="D300" s="83">
        <f t="shared" si="31"/>
        <v>180.60939004639195</v>
      </c>
      <c r="E300">
        <f t="shared" si="27"/>
        <v>10.73886500821054</v>
      </c>
      <c r="G300">
        <v>250</v>
      </c>
      <c r="H300" s="13">
        <f t="shared" si="32"/>
        <v>5.1608656820910426E-2</v>
      </c>
      <c r="I300">
        <f t="shared" si="33"/>
        <v>55.204759115315312</v>
      </c>
      <c r="J300">
        <f t="shared" si="28"/>
        <v>195.53054274271753</v>
      </c>
      <c r="K300" s="27">
        <f t="shared" si="29"/>
        <v>1973.4804421304652</v>
      </c>
    </row>
    <row r="301" spans="1:11">
      <c r="A301" s="26">
        <v>251</v>
      </c>
      <c r="B301" s="82">
        <f t="shared" si="30"/>
        <v>3.2921237647087764E-4</v>
      </c>
      <c r="C301" s="58">
        <f t="shared" si="34"/>
        <v>42.385227216581896</v>
      </c>
      <c r="D301" s="83">
        <f t="shared" si="31"/>
        <v>180.61004608177234</v>
      </c>
      <c r="E301">
        <f t="shared" si="27"/>
        <v>10.738943020948794</v>
      </c>
      <c r="G301">
        <v>251</v>
      </c>
      <c r="H301" s="13">
        <f t="shared" si="32"/>
        <v>5.1608656820910426E-2</v>
      </c>
      <c r="I301">
        <f t="shared" si="33"/>
        <v>55.256367772136223</v>
      </c>
      <c r="J301">
        <f t="shared" si="28"/>
        <v>195.56703874567842</v>
      </c>
      <c r="K301" s="27">
        <f t="shared" si="29"/>
        <v>1974.2159323091362</v>
      </c>
    </row>
    <row r="302" spans="1:11">
      <c r="A302" s="26">
        <v>252</v>
      </c>
      <c r="B302" s="82">
        <f t="shared" si="30"/>
        <v>3.2921237647087764E-4</v>
      </c>
      <c r="C302" s="58">
        <f t="shared" si="34"/>
        <v>42.385556428958367</v>
      </c>
      <c r="D302" s="83">
        <f t="shared" si="31"/>
        <v>180.61070208756777</v>
      </c>
      <c r="E302">
        <f t="shared" si="27"/>
        <v>10.73902103045239</v>
      </c>
      <c r="G302">
        <v>252</v>
      </c>
      <c r="H302" s="13">
        <f t="shared" si="32"/>
        <v>5.1608656820910426E-2</v>
      </c>
      <c r="I302">
        <f t="shared" si="33"/>
        <v>55.307976428957133</v>
      </c>
      <c r="J302">
        <f t="shared" si="28"/>
        <v>195.60341441750705</v>
      </c>
      <c r="K302" s="27">
        <f t="shared" si="29"/>
        <v>1974.9491338342129</v>
      </c>
    </row>
    <row r="303" spans="1:11">
      <c r="A303" s="26">
        <v>253</v>
      </c>
      <c r="B303" s="82">
        <f t="shared" si="30"/>
        <v>3.2921237647087764E-4</v>
      </c>
      <c r="C303" s="58">
        <f t="shared" si="34"/>
        <v>42.385885641334838</v>
      </c>
      <c r="D303" s="83">
        <f t="shared" si="31"/>
        <v>180.61135806378141</v>
      </c>
      <c r="E303">
        <f t="shared" si="27"/>
        <v>10.739099036721669</v>
      </c>
      <c r="G303">
        <v>253</v>
      </c>
      <c r="H303" s="13">
        <f t="shared" si="32"/>
        <v>5.1608656820910426E-2</v>
      </c>
      <c r="I303">
        <f t="shared" si="33"/>
        <v>55.359585085778043</v>
      </c>
      <c r="J303">
        <f t="shared" si="28"/>
        <v>195.63967015325483</v>
      </c>
      <c r="K303" s="27">
        <f t="shared" si="29"/>
        <v>1975.6800533024227</v>
      </c>
    </row>
    <row r="304" spans="1:11">
      <c r="A304" s="26">
        <v>254</v>
      </c>
      <c r="B304" s="82">
        <f t="shared" si="30"/>
        <v>3.2921237647087764E-4</v>
      </c>
      <c r="C304" s="58">
        <f t="shared" si="34"/>
        <v>42.386214853711309</v>
      </c>
      <c r="D304" s="83">
        <f t="shared" si="31"/>
        <v>180.61201401041646</v>
      </c>
      <c r="E304">
        <f t="shared" si="27"/>
        <v>10.739177039756969</v>
      </c>
      <c r="G304">
        <v>254</v>
      </c>
      <c r="H304" s="13">
        <f t="shared" si="32"/>
        <v>5.1608656820910426E-2</v>
      </c>
      <c r="I304">
        <f t="shared" si="33"/>
        <v>55.411193742598954</v>
      </c>
      <c r="J304">
        <f t="shared" si="28"/>
        <v>195.6758063449517</v>
      </c>
      <c r="K304" s="27">
        <f t="shared" si="29"/>
        <v>1976.408697260101</v>
      </c>
    </row>
    <row r="305" spans="1:11">
      <c r="A305" s="26">
        <v>255</v>
      </c>
      <c r="B305" s="82">
        <f t="shared" si="30"/>
        <v>3.2921237647087764E-4</v>
      </c>
      <c r="C305" s="58">
        <f t="shared" si="34"/>
        <v>42.386544066087779</v>
      </c>
      <c r="D305" s="83">
        <f t="shared" si="31"/>
        <v>180.61266992747611</v>
      </c>
      <c r="E305">
        <f t="shared" si="27"/>
        <v>10.739255039558643</v>
      </c>
      <c r="G305">
        <v>255</v>
      </c>
      <c r="H305" s="13">
        <f t="shared" si="32"/>
        <v>5.1608656820910426E-2</v>
      </c>
      <c r="I305">
        <f t="shared" si="33"/>
        <v>55.462802399419864</v>
      </c>
      <c r="J305">
        <f t="shared" si="28"/>
        <v>195.71182338163669</v>
      </c>
      <c r="K305" s="27">
        <f t="shared" si="29"/>
        <v>1977.1350722037012</v>
      </c>
    </row>
    <row r="306" spans="1:11">
      <c r="A306" s="26">
        <v>256</v>
      </c>
      <c r="B306" s="82">
        <f t="shared" si="30"/>
        <v>3.2921237647087764E-4</v>
      </c>
      <c r="C306" s="58">
        <f t="shared" si="34"/>
        <v>42.38687327846425</v>
      </c>
      <c r="D306" s="83">
        <f t="shared" si="31"/>
        <v>180.61332581496359</v>
      </c>
      <c r="E306">
        <f t="shared" si="27"/>
        <v>10.739333036127023</v>
      </c>
      <c r="G306">
        <v>256</v>
      </c>
      <c r="H306" s="13">
        <f t="shared" si="32"/>
        <v>5.1608656820910426E-2</v>
      </c>
      <c r="I306">
        <f t="shared" si="33"/>
        <v>55.514411056240775</v>
      </c>
      <c r="J306">
        <f t="shared" si="28"/>
        <v>195.7477216493881</v>
      </c>
      <c r="K306" s="27">
        <f t="shared" si="29"/>
        <v>1977.8591845802957</v>
      </c>
    </row>
    <row r="307" spans="1:11">
      <c r="A307" s="26">
        <v>257</v>
      </c>
      <c r="B307" s="82">
        <f t="shared" si="30"/>
        <v>3.2921237647087764E-4</v>
      </c>
      <c r="C307" s="58">
        <f t="shared" si="34"/>
        <v>42.387202490840721</v>
      </c>
      <c r="D307" s="83">
        <f t="shared" si="31"/>
        <v>180.61398167288206</v>
      </c>
      <c r="E307">
        <f t="shared" ref="E307:E370" si="35">((D307^2)+(D307*D308)+(D308^2))*B308/3</f>
        <v>10.739411029462454</v>
      </c>
      <c r="G307">
        <v>257</v>
      </c>
      <c r="H307" s="13">
        <f t="shared" si="32"/>
        <v>5.1608656820910426E-2</v>
      </c>
      <c r="I307">
        <f t="shared" si="33"/>
        <v>55.566019713061685</v>
      </c>
      <c r="J307">
        <f t="shared" ref="J307:J370" si="36">IF($G$28&lt;$C$14,0,((($C$11^2)-((I307-$C$13)^2))^0.5)+$C$16)</f>
        <v>195.78350153135318</v>
      </c>
      <c r="K307" s="27">
        <f t="shared" ref="K307:K370" si="37">((J307^2)+(J307*J308)+(J308^2))*H308/3</f>
        <v>1978.581040788071</v>
      </c>
    </row>
    <row r="308" spans="1:11">
      <c r="A308" s="26">
        <v>258</v>
      </c>
      <c r="B308" s="82">
        <f t="shared" ref="B308:B371" si="38">C308-C307</f>
        <v>3.2921237647087764E-4</v>
      </c>
      <c r="C308" s="58">
        <f t="shared" si="34"/>
        <v>42.387531703217192</v>
      </c>
      <c r="D308" s="83">
        <f t="shared" ref="D308:D371" si="39">IF($G$28&lt;$C$14,0,((($C$11^2)-((C308-$C$13)^2))^0.5)+$C$16)</f>
        <v>180.61463750123471</v>
      </c>
      <c r="E308">
        <f t="shared" si="35"/>
        <v>10.739489019565278</v>
      </c>
      <c r="G308">
        <v>258</v>
      </c>
      <c r="H308" s="13">
        <f t="shared" ref="H308:H371" si="40">I308-I307</f>
        <v>5.1608656820910426E-2</v>
      </c>
      <c r="I308">
        <f t="shared" ref="I308:I371" si="41">($G$27-$C$14)/2000+I307</f>
        <v>55.617628369882596</v>
      </c>
      <c r="J308">
        <f t="shared" si="36"/>
        <v>195.81916340777752</v>
      </c>
      <c r="K308" s="27">
        <f t="shared" si="37"/>
        <v>1979.3006471768188</v>
      </c>
    </row>
    <row r="309" spans="1:11">
      <c r="A309" s="26">
        <v>259</v>
      </c>
      <c r="B309" s="82">
        <f t="shared" si="38"/>
        <v>3.2921237647087764E-4</v>
      </c>
      <c r="C309" s="58">
        <f t="shared" si="34"/>
        <v>42.387860915593663</v>
      </c>
      <c r="D309" s="83">
        <f t="shared" si="39"/>
        <v>180.61529330002477</v>
      </c>
      <c r="E309">
        <f t="shared" si="35"/>
        <v>10.73956700643584</v>
      </c>
      <c r="G309">
        <v>259</v>
      </c>
      <c r="H309" s="13">
        <f t="shared" si="40"/>
        <v>5.1608656820910426E-2</v>
      </c>
      <c r="I309">
        <f t="shared" si="41"/>
        <v>55.669237026703506</v>
      </c>
      <c r="J309">
        <f t="shared" si="36"/>
        <v>195.85470765603392</v>
      </c>
      <c r="K309" s="27">
        <f t="shared" si="37"/>
        <v>1980.0180100484122</v>
      </c>
    </row>
    <row r="310" spans="1:11">
      <c r="A310" s="26">
        <v>260</v>
      </c>
      <c r="B310" s="82">
        <f t="shared" si="38"/>
        <v>3.2921237647087764E-4</v>
      </c>
      <c r="C310" s="58">
        <f t="shared" si="34"/>
        <v>42.388190127970134</v>
      </c>
      <c r="D310" s="83">
        <f t="shared" si="39"/>
        <v>180.61594906925544</v>
      </c>
      <c r="E310">
        <f t="shared" si="35"/>
        <v>10.739644990074476</v>
      </c>
      <c r="G310">
        <v>260</v>
      </c>
      <c r="H310" s="13">
        <f t="shared" si="40"/>
        <v>5.1608656820910426E-2</v>
      </c>
      <c r="I310">
        <f t="shared" si="41"/>
        <v>55.720845683524416</v>
      </c>
      <c r="J310">
        <f t="shared" si="36"/>
        <v>195.89013465065102</v>
      </c>
      <c r="K310" s="27">
        <f t="shared" si="37"/>
        <v>1980.7331356572874</v>
      </c>
    </row>
    <row r="311" spans="1:11">
      <c r="A311" s="26">
        <v>261</v>
      </c>
      <c r="B311" s="82">
        <f t="shared" si="38"/>
        <v>3.2921237647087764E-4</v>
      </c>
      <c r="C311" s="58">
        <f t="shared" si="34"/>
        <v>42.388519340346605</v>
      </c>
      <c r="D311" s="83">
        <f t="shared" si="39"/>
        <v>180.61660480892985</v>
      </c>
      <c r="E311">
        <f t="shared" si="35"/>
        <v>10.739722970481528</v>
      </c>
      <c r="G311">
        <v>261</v>
      </c>
      <c r="H311" s="13">
        <f t="shared" si="40"/>
        <v>5.1608656820910426E-2</v>
      </c>
      <c r="I311">
        <f t="shared" si="41"/>
        <v>55.772454340345327</v>
      </c>
      <c r="J311">
        <f t="shared" si="36"/>
        <v>195.92544476334146</v>
      </c>
      <c r="K311" s="27">
        <f t="shared" si="37"/>
        <v>1981.446030210911</v>
      </c>
    </row>
    <row r="312" spans="1:11">
      <c r="A312" s="26">
        <v>262</v>
      </c>
      <c r="B312" s="82">
        <f t="shared" si="38"/>
        <v>3.2921237647087764E-4</v>
      </c>
      <c r="C312" s="58">
        <f t="shared" si="34"/>
        <v>42.388848552723076</v>
      </c>
      <c r="D312" s="83">
        <f t="shared" si="39"/>
        <v>180.61726051905123</v>
      </c>
      <c r="E312">
        <f t="shared" si="35"/>
        <v>10.739800947657335</v>
      </c>
      <c r="G312">
        <v>262</v>
      </c>
      <c r="H312" s="13">
        <f t="shared" si="40"/>
        <v>5.1608656820910426E-2</v>
      </c>
      <c r="I312">
        <f t="shared" si="41"/>
        <v>55.824062997166237</v>
      </c>
      <c r="J312">
        <f t="shared" si="36"/>
        <v>195.96063836302974</v>
      </c>
      <c r="K312" s="27">
        <f t="shared" si="37"/>
        <v>1982.1566998702426</v>
      </c>
    </row>
    <row r="313" spans="1:11">
      <c r="A313" s="26">
        <v>263</v>
      </c>
      <c r="B313" s="82">
        <f t="shared" si="38"/>
        <v>3.2921237647087764E-4</v>
      </c>
      <c r="C313" s="58">
        <f t="shared" si="34"/>
        <v>42.389177765099546</v>
      </c>
      <c r="D313" s="83">
        <f t="shared" si="39"/>
        <v>180.61791619962275</v>
      </c>
      <c r="E313">
        <f t="shared" si="35"/>
        <v>10.739878921602241</v>
      </c>
      <c r="G313">
        <v>263</v>
      </c>
      <c r="H313" s="13">
        <f t="shared" si="40"/>
        <v>5.1608656820910426E-2</v>
      </c>
      <c r="I313">
        <f t="shared" si="41"/>
        <v>55.875671653987148</v>
      </c>
      <c r="J313">
        <f t="shared" si="36"/>
        <v>195.99571581587975</v>
      </c>
      <c r="K313" s="27">
        <f t="shared" si="37"/>
        <v>1982.8651507501936</v>
      </c>
    </row>
    <row r="314" spans="1:11">
      <c r="A314" s="26">
        <v>264</v>
      </c>
      <c r="B314" s="82">
        <f t="shared" si="38"/>
        <v>3.2921237647087764E-4</v>
      </c>
      <c r="C314" s="58">
        <f t="shared" si="34"/>
        <v>42.389506977476017</v>
      </c>
      <c r="D314" s="83">
        <f t="shared" si="39"/>
        <v>180.61857185064764</v>
      </c>
      <c r="E314">
        <f t="shared" si="35"/>
        <v>10.73995689231659</v>
      </c>
      <c r="G314">
        <v>264</v>
      </c>
      <c r="H314" s="13">
        <f t="shared" si="40"/>
        <v>5.1608656820910426E-2</v>
      </c>
      <c r="I314">
        <f t="shared" si="41"/>
        <v>55.927280310808058</v>
      </c>
      <c r="J314">
        <f t="shared" si="36"/>
        <v>196.03067748532166</v>
      </c>
      <c r="K314" s="27">
        <f t="shared" si="37"/>
        <v>1983.5713889200779</v>
      </c>
    </row>
    <row r="315" spans="1:11">
      <c r="A315" s="26">
        <v>265</v>
      </c>
      <c r="B315" s="82">
        <f t="shared" si="38"/>
        <v>3.2921237647087764E-4</v>
      </c>
      <c r="C315" s="58">
        <f t="shared" si="34"/>
        <v>42.389836189852488</v>
      </c>
      <c r="D315" s="83">
        <f t="shared" si="39"/>
        <v>180.61922747212907</v>
      </c>
      <c r="E315">
        <f t="shared" si="35"/>
        <v>10.740034859800721</v>
      </c>
      <c r="G315">
        <v>265</v>
      </c>
      <c r="H315" s="13">
        <f t="shared" si="40"/>
        <v>5.1608656820910426E-2</v>
      </c>
      <c r="I315">
        <f t="shared" si="41"/>
        <v>55.978888967628968</v>
      </c>
      <c r="J315">
        <f t="shared" si="36"/>
        <v>196.06552373207899</v>
      </c>
      <c r="K315" s="27">
        <f t="shared" si="37"/>
        <v>1984.2754204040582</v>
      </c>
    </row>
    <row r="316" spans="1:11">
      <c r="A316" s="26">
        <v>266</v>
      </c>
      <c r="B316" s="82">
        <f t="shared" si="38"/>
        <v>3.2921237647087764E-4</v>
      </c>
      <c r="C316" s="58">
        <f t="shared" si="34"/>
        <v>42.390165402228959</v>
      </c>
      <c r="D316" s="83">
        <f t="shared" si="39"/>
        <v>180.61988306407022</v>
      </c>
      <c r="E316">
        <f t="shared" si="35"/>
        <v>10.740112824054973</v>
      </c>
      <c r="G316">
        <v>266</v>
      </c>
      <c r="H316" s="13">
        <f t="shared" si="40"/>
        <v>5.1608656820910426E-2</v>
      </c>
      <c r="I316">
        <f t="shared" si="41"/>
        <v>56.030497624449879</v>
      </c>
      <c r="J316">
        <f t="shared" si="36"/>
        <v>196.10025491419475</v>
      </c>
      <c r="K316" s="27">
        <f t="shared" si="37"/>
        <v>1984.9772511815854</v>
      </c>
    </row>
    <row r="317" spans="1:11">
      <c r="A317" s="26">
        <v>267</v>
      </c>
      <c r="B317" s="82">
        <f t="shared" si="38"/>
        <v>3.2921237647087764E-4</v>
      </c>
      <c r="C317" s="58">
        <f t="shared" si="34"/>
        <v>42.39049461460543</v>
      </c>
      <c r="D317" s="83">
        <f t="shared" si="39"/>
        <v>180.62053862647429</v>
      </c>
      <c r="E317">
        <f t="shared" si="35"/>
        <v>10.740190785079688</v>
      </c>
      <c r="G317">
        <v>267</v>
      </c>
      <c r="H317" s="13">
        <f t="shared" si="40"/>
        <v>5.1608656820910426E-2</v>
      </c>
      <c r="I317">
        <f t="shared" si="41"/>
        <v>56.082106281270789</v>
      </c>
      <c r="J317">
        <f t="shared" si="36"/>
        <v>196.1348713870577</v>
      </c>
      <c r="K317" s="27">
        <f t="shared" si="37"/>
        <v>1985.6768871878328</v>
      </c>
    </row>
    <row r="318" spans="1:11">
      <c r="A318" s="26">
        <v>268</v>
      </c>
      <c r="B318" s="82">
        <f t="shared" si="38"/>
        <v>3.2921237647087764E-4</v>
      </c>
      <c r="C318" s="58">
        <f t="shared" si="34"/>
        <v>42.390823826981901</v>
      </c>
      <c r="D318" s="83">
        <f t="shared" si="39"/>
        <v>180.62119415934447</v>
      </c>
      <c r="E318">
        <f t="shared" si="35"/>
        <v>10.740268742875207</v>
      </c>
      <c r="G318">
        <v>268</v>
      </c>
      <c r="H318" s="13">
        <f t="shared" si="40"/>
        <v>5.1608656820910426E-2</v>
      </c>
      <c r="I318">
        <f t="shared" si="41"/>
        <v>56.1337149380917</v>
      </c>
      <c r="J318">
        <f t="shared" si="36"/>
        <v>196.16937350342798</v>
      </c>
      <c r="K318" s="27">
        <f t="shared" si="37"/>
        <v>1986.3743343141252</v>
      </c>
    </row>
    <row r="319" spans="1:11">
      <c r="A319" s="26">
        <v>269</v>
      </c>
      <c r="B319" s="82">
        <f t="shared" si="38"/>
        <v>3.2921237647087764E-4</v>
      </c>
      <c r="C319" s="58">
        <f t="shared" si="34"/>
        <v>42.391153039358372</v>
      </c>
      <c r="D319" s="83">
        <f t="shared" si="39"/>
        <v>180.62184966268393</v>
      </c>
      <c r="E319">
        <f t="shared" si="35"/>
        <v>10.74034669744187</v>
      </c>
      <c r="G319">
        <v>269</v>
      </c>
      <c r="H319" s="13">
        <f t="shared" si="40"/>
        <v>5.1608656820910426E-2</v>
      </c>
      <c r="I319">
        <f t="shared" si="41"/>
        <v>56.18532359491261</v>
      </c>
      <c r="J319">
        <f t="shared" si="36"/>
        <v>196.20376161346255</v>
      </c>
      <c r="K319" s="27">
        <f t="shared" si="37"/>
        <v>1987.0695984083632</v>
      </c>
    </row>
    <row r="320" spans="1:11">
      <c r="A320" s="26">
        <v>270</v>
      </c>
      <c r="B320" s="82">
        <f t="shared" si="38"/>
        <v>3.2921237647087764E-4</v>
      </c>
      <c r="C320" s="58">
        <f t="shared" si="34"/>
        <v>42.391482251734843</v>
      </c>
      <c r="D320" s="83">
        <f t="shared" si="39"/>
        <v>180.62250513649587</v>
      </c>
      <c r="E320">
        <f t="shared" si="35"/>
        <v>10.740424648780021</v>
      </c>
      <c r="G320">
        <v>270</v>
      </c>
      <c r="H320" s="13">
        <f t="shared" si="40"/>
        <v>5.1608656820910426E-2</v>
      </c>
      <c r="I320">
        <f t="shared" si="41"/>
        <v>56.236932251733521</v>
      </c>
      <c r="J320">
        <f t="shared" si="36"/>
        <v>196.23803606474036</v>
      </c>
      <c r="K320" s="27">
        <f t="shared" si="37"/>
        <v>1987.7626852754374</v>
      </c>
    </row>
    <row r="321" spans="1:11">
      <c r="A321" s="26">
        <v>271</v>
      </c>
      <c r="B321" s="82">
        <f t="shared" si="38"/>
        <v>3.2921237647087764E-4</v>
      </c>
      <c r="C321" s="58">
        <f t="shared" si="34"/>
        <v>42.391811464111314</v>
      </c>
      <c r="D321" s="83">
        <f t="shared" si="39"/>
        <v>180.62316058078349</v>
      </c>
      <c r="E321">
        <f t="shared" si="35"/>
        <v>10.740502596889996</v>
      </c>
      <c r="G321">
        <v>271</v>
      </c>
      <c r="H321" s="13">
        <f t="shared" si="40"/>
        <v>5.1608656820910426E-2</v>
      </c>
      <c r="I321">
        <f t="shared" si="41"/>
        <v>56.288540908554431</v>
      </c>
      <c r="J321">
        <f t="shared" si="36"/>
        <v>196.27219720228692</v>
      </c>
      <c r="K321" s="27">
        <f t="shared" si="37"/>
        <v>1988.4536006776452</v>
      </c>
    </row>
    <row r="322" spans="1:11">
      <c r="A322" s="26">
        <v>272</v>
      </c>
      <c r="B322" s="82">
        <f t="shared" si="38"/>
        <v>3.2921237647087764E-4</v>
      </c>
      <c r="C322" s="58">
        <f t="shared" si="34"/>
        <v>42.392140676487784</v>
      </c>
      <c r="D322" s="83">
        <f t="shared" si="39"/>
        <v>180.62381599554993</v>
      </c>
      <c r="E322">
        <f t="shared" si="35"/>
        <v>10.74058054177214</v>
      </c>
      <c r="G322">
        <v>272</v>
      </c>
      <c r="H322" s="13">
        <f t="shared" si="40"/>
        <v>5.1608656820910426E-2</v>
      </c>
      <c r="I322">
        <f t="shared" si="41"/>
        <v>56.340149565375341</v>
      </c>
      <c r="J322">
        <f t="shared" si="36"/>
        <v>196.30624536859901</v>
      </c>
      <c r="K322" s="27">
        <f t="shared" si="37"/>
        <v>1989.1423503350964</v>
      </c>
    </row>
    <row r="323" spans="1:11">
      <c r="A323" s="26">
        <v>273</v>
      </c>
      <c r="B323" s="82">
        <f t="shared" si="38"/>
        <v>3.2921237647087764E-4</v>
      </c>
      <c r="C323" s="58">
        <f t="shared" si="34"/>
        <v>42.392469888864255</v>
      </c>
      <c r="D323" s="83">
        <f t="shared" si="39"/>
        <v>180.62447138079844</v>
      </c>
      <c r="E323">
        <f t="shared" si="35"/>
        <v>10.74065848342679</v>
      </c>
      <c r="G323">
        <v>273</v>
      </c>
      <c r="H323" s="13">
        <f t="shared" si="40"/>
        <v>5.1608656820910426E-2</v>
      </c>
      <c r="I323">
        <f t="shared" si="41"/>
        <v>56.391758222196252</v>
      </c>
      <c r="J323">
        <f t="shared" si="36"/>
        <v>196.34018090366862</v>
      </c>
      <c r="K323" s="27">
        <f t="shared" si="37"/>
        <v>1989.828939926115</v>
      </c>
    </row>
    <row r="324" spans="1:11">
      <c r="A324" s="26">
        <v>274</v>
      </c>
      <c r="B324" s="82">
        <f t="shared" si="38"/>
        <v>3.2921237647087764E-4</v>
      </c>
      <c r="C324" s="58">
        <f t="shared" si="34"/>
        <v>42.392799101240726</v>
      </c>
      <c r="D324" s="83">
        <f t="shared" si="39"/>
        <v>180.62512673653214</v>
      </c>
      <c r="E324">
        <f t="shared" si="35"/>
        <v>10.740736421854288</v>
      </c>
      <c r="G324">
        <v>274</v>
      </c>
      <c r="H324" s="13">
        <f t="shared" si="40"/>
        <v>5.1608656820910426E-2</v>
      </c>
      <c r="I324">
        <f t="shared" si="41"/>
        <v>56.443366879017162</v>
      </c>
      <c r="J324">
        <f t="shared" si="36"/>
        <v>196.37400414500689</v>
      </c>
      <c r="K324" s="27">
        <f t="shared" si="37"/>
        <v>1990.513375087635</v>
      </c>
    </row>
    <row r="325" spans="1:11">
      <c r="A325" s="26">
        <v>275</v>
      </c>
      <c r="B325" s="82">
        <f t="shared" si="38"/>
        <v>3.2921237647087764E-4</v>
      </c>
      <c r="C325" s="58">
        <f t="shared" si="34"/>
        <v>42.393128313617197</v>
      </c>
      <c r="D325" s="83">
        <f t="shared" si="39"/>
        <v>180.62578206275427</v>
      </c>
      <c r="E325">
        <f t="shared" si="35"/>
        <v>10.740814357054974</v>
      </c>
      <c r="G325">
        <v>275</v>
      </c>
      <c r="H325" s="13">
        <f t="shared" si="40"/>
        <v>5.1608656820910426E-2</v>
      </c>
      <c r="I325">
        <f t="shared" si="41"/>
        <v>56.494975535838073</v>
      </c>
      <c r="J325">
        <f t="shared" si="36"/>
        <v>196.40771542766757</v>
      </c>
      <c r="K325" s="27">
        <f t="shared" si="37"/>
        <v>1991.1956614155968</v>
      </c>
    </row>
    <row r="326" spans="1:11">
      <c r="A326" s="26">
        <v>276</v>
      </c>
      <c r="B326" s="82">
        <f t="shared" si="38"/>
        <v>3.2921237647087764E-4</v>
      </c>
      <c r="C326" s="58">
        <f t="shared" si="34"/>
        <v>42.393457525993668</v>
      </c>
      <c r="D326" s="83">
        <f t="shared" si="39"/>
        <v>180.62643735946796</v>
      </c>
      <c r="E326">
        <f t="shared" si="35"/>
        <v>10.74089228902919</v>
      </c>
      <c r="G326">
        <v>276</v>
      </c>
      <c r="H326" s="13">
        <f t="shared" si="40"/>
        <v>5.1608656820910426E-2</v>
      </c>
      <c r="I326">
        <f t="shared" si="41"/>
        <v>56.546584192658983</v>
      </c>
      <c r="J326">
        <f t="shared" si="36"/>
        <v>196.4413150842704</v>
      </c>
      <c r="K326" s="27">
        <f t="shared" si="37"/>
        <v>1991.8758044653293</v>
      </c>
    </row>
    <row r="327" spans="1:11">
      <c r="A327" s="26">
        <v>277</v>
      </c>
      <c r="B327" s="82">
        <f t="shared" si="38"/>
        <v>3.2921237647087764E-4</v>
      </c>
      <c r="C327" s="58">
        <f t="shared" si="34"/>
        <v>42.393786738370139</v>
      </c>
      <c r="D327" s="83">
        <f t="shared" si="39"/>
        <v>180.62709262667644</v>
      </c>
      <c r="E327">
        <f t="shared" si="35"/>
        <v>10.740970217777274</v>
      </c>
      <c r="G327">
        <v>277</v>
      </c>
      <c r="H327" s="13">
        <f t="shared" si="40"/>
        <v>5.1608656820910426E-2</v>
      </c>
      <c r="I327">
        <f t="shared" si="41"/>
        <v>56.598192849479894</v>
      </c>
      <c r="J327">
        <f t="shared" si="36"/>
        <v>196.47480344502395</v>
      </c>
      <c r="K327" s="27">
        <f t="shared" si="37"/>
        <v>1992.5538097519359</v>
      </c>
    </row>
    <row r="328" spans="1:11">
      <c r="A328" s="26">
        <v>278</v>
      </c>
      <c r="B328" s="82">
        <f t="shared" si="38"/>
        <v>3.2921237647087764E-4</v>
      </c>
      <c r="C328" s="58">
        <f t="shared" si="34"/>
        <v>42.39411595074661</v>
      </c>
      <c r="D328" s="83">
        <f t="shared" si="39"/>
        <v>180.62774786438285</v>
      </c>
      <c r="E328">
        <f t="shared" si="35"/>
        <v>10.741048143299567</v>
      </c>
      <c r="G328">
        <v>278</v>
      </c>
      <c r="H328" s="13">
        <f t="shared" si="40"/>
        <v>5.1608656820910426E-2</v>
      </c>
      <c r="I328">
        <f t="shared" si="41"/>
        <v>56.649801506300804</v>
      </c>
      <c r="J328">
        <f t="shared" si="36"/>
        <v>196.50818083774826</v>
      </c>
      <c r="K328" s="27">
        <f t="shared" si="37"/>
        <v>1993.2296827506714</v>
      </c>
    </row>
    <row r="329" spans="1:11">
      <c r="A329" s="26">
        <v>279</v>
      </c>
      <c r="B329" s="82">
        <f t="shared" si="38"/>
        <v>3.2921237647087764E-4</v>
      </c>
      <c r="C329" s="58">
        <f t="shared" si="34"/>
        <v>42.394445163123081</v>
      </c>
      <c r="D329" s="83">
        <f t="shared" si="39"/>
        <v>180.62840307259043</v>
      </c>
      <c r="E329">
        <f t="shared" si="35"/>
        <v>10.741126065596411</v>
      </c>
      <c r="G329">
        <v>279</v>
      </c>
      <c r="H329" s="13">
        <f t="shared" si="40"/>
        <v>5.1608656820910426E-2</v>
      </c>
      <c r="I329">
        <f t="shared" si="41"/>
        <v>56.701410163121714</v>
      </c>
      <c r="J329">
        <f t="shared" si="36"/>
        <v>196.54144758789735</v>
      </c>
      <c r="K329" s="27">
        <f t="shared" si="37"/>
        <v>1993.9034288973126</v>
      </c>
    </row>
    <row r="330" spans="1:11">
      <c r="A330" s="26">
        <v>280</v>
      </c>
      <c r="B330" s="82">
        <f t="shared" si="38"/>
        <v>3.2921237647087764E-4</v>
      </c>
      <c r="C330" s="58">
        <f t="shared" si="34"/>
        <v>42.394774375499551</v>
      </c>
      <c r="D330" s="83">
        <f t="shared" si="39"/>
        <v>180.6290582513023</v>
      </c>
      <c r="E330">
        <f t="shared" si="35"/>
        <v>10.741203984668141</v>
      </c>
      <c r="G330">
        <v>280</v>
      </c>
      <c r="H330" s="13">
        <f t="shared" si="40"/>
        <v>5.1608656820910426E-2</v>
      </c>
      <c r="I330">
        <f t="shared" si="41"/>
        <v>56.753018819942625</v>
      </c>
      <c r="J330">
        <f t="shared" si="36"/>
        <v>196.57460401858123</v>
      </c>
      <c r="K330" s="27">
        <f t="shared" si="37"/>
        <v>1994.5750535885284</v>
      </c>
    </row>
    <row r="331" spans="1:11">
      <c r="A331" s="26">
        <v>281</v>
      </c>
      <c r="B331" s="82">
        <f t="shared" si="38"/>
        <v>3.2921237647087764E-4</v>
      </c>
      <c r="C331" s="58">
        <f t="shared" si="34"/>
        <v>42.395103587876022</v>
      </c>
      <c r="D331" s="83">
        <f t="shared" si="39"/>
        <v>180.62971340052164</v>
      </c>
      <c r="E331">
        <f t="shared" si="35"/>
        <v>10.741281900515103</v>
      </c>
      <c r="G331">
        <v>281</v>
      </c>
      <c r="H331" s="13">
        <f t="shared" si="40"/>
        <v>5.1608656820910426E-2</v>
      </c>
      <c r="I331">
        <f t="shared" si="41"/>
        <v>56.804627476763535</v>
      </c>
      <c r="J331">
        <f t="shared" si="36"/>
        <v>196.60765045058776</v>
      </c>
      <c r="K331" s="27">
        <f t="shared" si="37"/>
        <v>1995.2445621822451</v>
      </c>
    </row>
    <row r="332" spans="1:11">
      <c r="A332" s="26">
        <v>282</v>
      </c>
      <c r="B332" s="82">
        <f t="shared" si="38"/>
        <v>3.2921237647087764E-4</v>
      </c>
      <c r="C332" s="58">
        <f t="shared" si="34"/>
        <v>42.395432800252493</v>
      </c>
      <c r="D332" s="83">
        <f t="shared" si="39"/>
        <v>180.63036852025169</v>
      </c>
      <c r="E332">
        <f t="shared" si="35"/>
        <v>10.741359813137633</v>
      </c>
      <c r="G332">
        <v>282</v>
      </c>
      <c r="H332" s="13">
        <f t="shared" si="40"/>
        <v>5.1608656820910426E-2</v>
      </c>
      <c r="I332">
        <f t="shared" si="41"/>
        <v>56.856236133584446</v>
      </c>
      <c r="J332">
        <f t="shared" si="36"/>
        <v>196.64058720240422</v>
      </c>
      <c r="K332" s="27">
        <f t="shared" si="37"/>
        <v>1995.9119599980031</v>
      </c>
    </row>
    <row r="333" spans="1:11">
      <c r="A333" s="26">
        <v>283</v>
      </c>
      <c r="B333" s="82">
        <f t="shared" si="38"/>
        <v>3.2921237647087764E-4</v>
      </c>
      <c r="C333" s="58">
        <f t="shared" si="34"/>
        <v>42.395762012628964</v>
      </c>
      <c r="D333" s="83">
        <f t="shared" si="39"/>
        <v>180.63102361049556</v>
      </c>
      <c r="E333">
        <f t="shared" si="35"/>
        <v>10.741437722536075</v>
      </c>
      <c r="G333">
        <v>283</v>
      </c>
      <c r="H333" s="13">
        <f t="shared" si="40"/>
        <v>5.1608656820910426E-2</v>
      </c>
      <c r="I333">
        <f t="shared" si="41"/>
        <v>56.907844790405356</v>
      </c>
      <c r="J333">
        <f t="shared" si="36"/>
        <v>196.67341459023862</v>
      </c>
      <c r="K333" s="27">
        <f t="shared" si="37"/>
        <v>1996.5772523173111</v>
      </c>
    </row>
    <row r="334" spans="1:11">
      <c r="A334" s="26">
        <v>284</v>
      </c>
      <c r="B334" s="82">
        <f t="shared" si="38"/>
        <v>3.2921237647087764E-4</v>
      </c>
      <c r="C334" s="58">
        <f t="shared" si="34"/>
        <v>42.396091225005435</v>
      </c>
      <c r="D334" s="83">
        <f t="shared" si="39"/>
        <v>180.63167867125651</v>
      </c>
      <c r="E334">
        <f t="shared" si="35"/>
        <v>10.741515628710763</v>
      </c>
      <c r="G334">
        <v>284</v>
      </c>
      <c r="H334" s="13">
        <f t="shared" si="40"/>
        <v>5.1608656820910426E-2</v>
      </c>
      <c r="I334">
        <f t="shared" si="41"/>
        <v>56.959453447226267</v>
      </c>
      <c r="J334">
        <f t="shared" si="36"/>
        <v>196.70613292804066</v>
      </c>
      <c r="K334" s="27">
        <f t="shared" si="37"/>
        <v>1997.2404443840007</v>
      </c>
    </row>
    <row r="335" spans="1:11">
      <c r="A335" s="26">
        <v>285</v>
      </c>
      <c r="B335" s="82">
        <f t="shared" si="38"/>
        <v>3.2921237647087764E-4</v>
      </c>
      <c r="C335" s="58">
        <f t="shared" si="34"/>
        <v>42.396420437381906</v>
      </c>
      <c r="D335" s="83">
        <f t="shared" si="39"/>
        <v>180.63233370253764</v>
      </c>
      <c r="E335">
        <f t="shared" si="35"/>
        <v>10.741593531662041</v>
      </c>
      <c r="G335">
        <v>285</v>
      </c>
      <c r="H335" s="13">
        <f t="shared" si="40"/>
        <v>5.1608656820910426E-2</v>
      </c>
      <c r="I335">
        <f t="shared" si="41"/>
        <v>57.011062104047177</v>
      </c>
      <c r="J335">
        <f t="shared" si="36"/>
        <v>196.73874252752267</v>
      </c>
      <c r="K335" s="27">
        <f t="shared" si="37"/>
        <v>1997.9015414045682</v>
      </c>
    </row>
    <row r="336" spans="1:11">
      <c r="A336" s="26">
        <v>286</v>
      </c>
      <c r="B336" s="82">
        <f t="shared" si="38"/>
        <v>3.2921237647087764E-4</v>
      </c>
      <c r="C336" s="58">
        <f t="shared" ref="C336:C399" si="42">($C$37-$C$36)/2000+C335</f>
        <v>42.396749649758377</v>
      </c>
      <c r="D336" s="83">
        <f t="shared" si="39"/>
        <v>180.63298870434215</v>
      </c>
      <c r="E336">
        <f t="shared" si="35"/>
        <v>10.741671431390246</v>
      </c>
      <c r="G336">
        <v>286</v>
      </c>
      <c r="H336" s="13">
        <f t="shared" si="40"/>
        <v>5.1608656820910426E-2</v>
      </c>
      <c r="I336">
        <f t="shared" si="41"/>
        <v>57.062670760868087</v>
      </c>
      <c r="J336">
        <f t="shared" si="36"/>
        <v>196.77124369817994</v>
      </c>
      <c r="K336" s="27">
        <f t="shared" si="37"/>
        <v>1998.5605485485178</v>
      </c>
    </row>
    <row r="337" spans="1:11">
      <c r="A337" s="26">
        <v>287</v>
      </c>
      <c r="B337" s="82">
        <f t="shared" si="38"/>
        <v>3.2921237647087764E-4</v>
      </c>
      <c r="C337" s="58">
        <f t="shared" si="42"/>
        <v>42.397078862134848</v>
      </c>
      <c r="D337" s="83">
        <f t="shared" si="39"/>
        <v>180.63364367667322</v>
      </c>
      <c r="E337">
        <f t="shared" si="35"/>
        <v>10.74174932789572</v>
      </c>
      <c r="G337">
        <v>287</v>
      </c>
      <c r="H337" s="13">
        <f t="shared" si="40"/>
        <v>5.1608656820910426E-2</v>
      </c>
      <c r="I337">
        <f t="shared" si="41"/>
        <v>57.114279417688998</v>
      </c>
      <c r="J337">
        <f t="shared" si="36"/>
        <v>196.80363674731112</v>
      </c>
      <c r="K337" s="27">
        <f t="shared" si="37"/>
        <v>1999.2174709487008</v>
      </c>
    </row>
    <row r="338" spans="1:11">
      <c r="A338" s="26">
        <v>288</v>
      </c>
      <c r="B338" s="82">
        <f t="shared" si="38"/>
        <v>3.2921237647087764E-4</v>
      </c>
      <c r="C338" s="58">
        <f t="shared" si="42"/>
        <v>42.397408074511318</v>
      </c>
      <c r="D338" s="83">
        <f t="shared" si="39"/>
        <v>180.63429861953404</v>
      </c>
      <c r="E338">
        <f t="shared" si="35"/>
        <v>10.741827221178804</v>
      </c>
      <c r="G338">
        <v>288</v>
      </c>
      <c r="H338" s="13">
        <f t="shared" si="40"/>
        <v>5.1608656820910426E-2</v>
      </c>
      <c r="I338">
        <f t="shared" si="41"/>
        <v>57.165888074509908</v>
      </c>
      <c r="J338">
        <f t="shared" si="36"/>
        <v>196.83592198003822</v>
      </c>
      <c r="K338" s="27">
        <f t="shared" si="37"/>
        <v>1999.8723137016486</v>
      </c>
    </row>
    <row r="339" spans="1:11">
      <c r="A339" s="26">
        <v>289</v>
      </c>
      <c r="B339" s="82">
        <f t="shared" si="38"/>
        <v>3.2921237647087764E-4</v>
      </c>
      <c r="C339" s="58">
        <f t="shared" si="42"/>
        <v>42.397737286887789</v>
      </c>
      <c r="D339" s="83">
        <f t="shared" si="39"/>
        <v>180.63495353292777</v>
      </c>
      <c r="E339">
        <f t="shared" si="35"/>
        <v>10.741905111239832</v>
      </c>
      <c r="G339">
        <v>289</v>
      </c>
      <c r="H339" s="13">
        <f t="shared" si="40"/>
        <v>5.1608656820910426E-2</v>
      </c>
      <c r="I339">
        <f t="shared" si="41"/>
        <v>57.217496731330819</v>
      </c>
      <c r="J339">
        <f t="shared" si="36"/>
        <v>196.86809969932642</v>
      </c>
      <c r="K339" s="27">
        <f t="shared" si="37"/>
        <v>2000.5250818679015</v>
      </c>
    </row>
    <row r="340" spans="1:11">
      <c r="A340" s="26">
        <v>290</v>
      </c>
      <c r="B340" s="82">
        <f t="shared" si="38"/>
        <v>3.2921237647087764E-4</v>
      </c>
      <c r="C340" s="58">
        <f t="shared" si="42"/>
        <v>42.39806649926426</v>
      </c>
      <c r="D340" s="83">
        <f t="shared" si="39"/>
        <v>180.63560841685759</v>
      </c>
      <c r="E340">
        <f t="shared" si="35"/>
        <v>10.74198299807915</v>
      </c>
      <c r="G340">
        <v>290</v>
      </c>
      <c r="H340" s="13">
        <f t="shared" si="40"/>
        <v>5.1608656820910426E-2</v>
      </c>
      <c r="I340">
        <f t="shared" si="41"/>
        <v>57.269105388151729</v>
      </c>
      <c r="J340">
        <f t="shared" si="36"/>
        <v>196.90017020600357</v>
      </c>
      <c r="K340" s="27">
        <f t="shared" si="37"/>
        <v>2001.1757804723354</v>
      </c>
    </row>
    <row r="341" spans="1:11">
      <c r="A341" s="26">
        <v>291</v>
      </c>
      <c r="B341" s="82">
        <f t="shared" si="38"/>
        <v>3.2921237647087764E-4</v>
      </c>
      <c r="C341" s="58">
        <f t="shared" si="42"/>
        <v>42.398395711640731</v>
      </c>
      <c r="D341" s="83">
        <f t="shared" si="39"/>
        <v>180.63626327132667</v>
      </c>
      <c r="E341">
        <f t="shared" si="35"/>
        <v>10.742060881697093</v>
      </c>
      <c r="G341">
        <v>291</v>
      </c>
      <c r="H341" s="13">
        <f t="shared" si="40"/>
        <v>5.1608656820910426E-2</v>
      </c>
      <c r="I341">
        <f t="shared" si="41"/>
        <v>57.32071404497264</v>
      </c>
      <c r="J341">
        <f t="shared" si="36"/>
        <v>196.93213379877949</v>
      </c>
      <c r="K341" s="27">
        <f t="shared" si="37"/>
        <v>2001.8244145044821</v>
      </c>
    </row>
    <row r="342" spans="1:11">
      <c r="A342" s="26">
        <v>292</v>
      </c>
      <c r="B342" s="82">
        <f t="shared" si="38"/>
        <v>3.2921237647087764E-4</v>
      </c>
      <c r="C342" s="58">
        <f t="shared" si="42"/>
        <v>42.398724924017202</v>
      </c>
      <c r="D342" s="83">
        <f t="shared" si="39"/>
        <v>180.63691809633821</v>
      </c>
      <c r="E342">
        <f t="shared" si="35"/>
        <v>10.742138762094003</v>
      </c>
      <c r="G342">
        <v>292</v>
      </c>
      <c r="H342" s="13">
        <f t="shared" si="40"/>
        <v>5.1608656820910426E-2</v>
      </c>
      <c r="I342">
        <f t="shared" si="41"/>
        <v>57.37232270179355</v>
      </c>
      <c r="J342">
        <f t="shared" si="36"/>
        <v>196.96399077426508</v>
      </c>
      <c r="K342" s="27">
        <f t="shared" si="37"/>
        <v>2002.4709889188491</v>
      </c>
    </row>
    <row r="343" spans="1:11">
      <c r="A343" s="26">
        <v>293</v>
      </c>
      <c r="B343" s="82">
        <f t="shared" si="38"/>
        <v>3.2921237647087764E-4</v>
      </c>
      <c r="C343" s="58">
        <f t="shared" si="42"/>
        <v>42.399054136393673</v>
      </c>
      <c r="D343" s="83">
        <f t="shared" si="39"/>
        <v>180.63757289189533</v>
      </c>
      <c r="E343">
        <f t="shared" si="35"/>
        <v>10.742216639270216</v>
      </c>
      <c r="G343">
        <v>293</v>
      </c>
      <c r="H343" s="13">
        <f t="shared" si="40"/>
        <v>5.1608656820910426E-2</v>
      </c>
      <c r="I343">
        <f t="shared" si="41"/>
        <v>57.42393135861446</v>
      </c>
      <c r="J343">
        <f t="shared" si="36"/>
        <v>196.99574142699123</v>
      </c>
      <c r="K343" s="27">
        <f t="shared" si="37"/>
        <v>2003.115508635233</v>
      </c>
    </row>
    <row r="344" spans="1:11">
      <c r="A344" s="26">
        <v>294</v>
      </c>
      <c r="B344" s="82">
        <f t="shared" si="38"/>
        <v>3.2921237647087764E-4</v>
      </c>
      <c r="C344" s="58">
        <f t="shared" si="42"/>
        <v>42.399383348770144</v>
      </c>
      <c r="D344" s="83">
        <f t="shared" si="39"/>
        <v>180.63822765800126</v>
      </c>
      <c r="E344">
        <f t="shared" si="35"/>
        <v>10.742294513226071</v>
      </c>
      <c r="G344">
        <v>294</v>
      </c>
      <c r="H344" s="13">
        <f t="shared" si="40"/>
        <v>5.1608656820910426E-2</v>
      </c>
      <c r="I344">
        <f t="shared" si="41"/>
        <v>57.475540015435371</v>
      </c>
      <c r="J344">
        <f t="shared" si="36"/>
        <v>197.02738604942735</v>
      </c>
      <c r="K344" s="27">
        <f t="shared" si="37"/>
        <v>2003.7579785390296</v>
      </c>
    </row>
    <row r="345" spans="1:11">
      <c r="A345" s="26">
        <v>295</v>
      </c>
      <c r="B345" s="82">
        <f t="shared" si="38"/>
        <v>3.2921237647087764E-4</v>
      </c>
      <c r="C345" s="58">
        <f t="shared" si="42"/>
        <v>42.399712561146615</v>
      </c>
      <c r="D345" s="83">
        <f t="shared" si="39"/>
        <v>180.63888239465911</v>
      </c>
      <c r="E345">
        <f t="shared" si="35"/>
        <v>10.742372383961913</v>
      </c>
      <c r="G345">
        <v>295</v>
      </c>
      <c r="H345" s="13">
        <f t="shared" si="40"/>
        <v>5.1608656820910426E-2</v>
      </c>
      <c r="I345">
        <f t="shared" si="41"/>
        <v>57.527148672256281</v>
      </c>
      <c r="J345">
        <f t="shared" si="36"/>
        <v>197.0589249319998</v>
      </c>
      <c r="K345" s="27">
        <f t="shared" si="37"/>
        <v>2004.3984034815394</v>
      </c>
    </row>
    <row r="346" spans="1:11">
      <c r="A346" s="26">
        <v>296</v>
      </c>
      <c r="B346" s="82">
        <f t="shared" si="38"/>
        <v>3.2921237647087764E-4</v>
      </c>
      <c r="C346" s="58">
        <f t="shared" si="42"/>
        <v>42.400041773523085</v>
      </c>
      <c r="D346" s="83">
        <f t="shared" si="39"/>
        <v>180.63953710187212</v>
      </c>
      <c r="E346">
        <f t="shared" si="35"/>
        <v>10.742450251478074</v>
      </c>
      <c r="G346">
        <v>296</v>
      </c>
      <c r="H346" s="13">
        <f t="shared" si="40"/>
        <v>5.1608656820910426E-2</v>
      </c>
      <c r="I346">
        <f t="shared" si="41"/>
        <v>57.578757329077192</v>
      </c>
      <c r="J346">
        <f t="shared" si="36"/>
        <v>197.09035836311006</v>
      </c>
      <c r="K346" s="27">
        <f t="shared" si="37"/>
        <v>2005.036788280273</v>
      </c>
    </row>
    <row r="347" spans="1:11">
      <c r="A347" s="26">
        <v>297</v>
      </c>
      <c r="B347" s="82">
        <f t="shared" si="38"/>
        <v>3.2921237647087764E-4</v>
      </c>
      <c r="C347" s="58">
        <f t="shared" si="42"/>
        <v>42.400370985899556</v>
      </c>
      <c r="D347" s="83">
        <f t="shared" si="39"/>
        <v>180.6401917796434</v>
      </c>
      <c r="E347">
        <f t="shared" si="35"/>
        <v>10.742528115774896</v>
      </c>
      <c r="G347">
        <v>297</v>
      </c>
      <c r="H347" s="13">
        <f t="shared" si="40"/>
        <v>5.1608656820910426E-2</v>
      </c>
      <c r="I347">
        <f t="shared" si="41"/>
        <v>57.630365985898102</v>
      </c>
      <c r="J347">
        <f t="shared" si="36"/>
        <v>197.12168662915275</v>
      </c>
      <c r="K347" s="27">
        <f t="shared" si="37"/>
        <v>2005.6731377192489</v>
      </c>
    </row>
    <row r="348" spans="1:11">
      <c r="A348" s="26">
        <v>298</v>
      </c>
      <c r="B348" s="82">
        <f t="shared" si="38"/>
        <v>3.2921237647087764E-4</v>
      </c>
      <c r="C348" s="58">
        <f t="shared" si="42"/>
        <v>42.400700198276027</v>
      </c>
      <c r="D348" s="83">
        <f t="shared" si="39"/>
        <v>180.64084642797616</v>
      </c>
      <c r="E348">
        <f t="shared" si="35"/>
        <v>10.742605976852717</v>
      </c>
      <c r="G348">
        <v>298</v>
      </c>
      <c r="H348" s="13">
        <f t="shared" si="40"/>
        <v>5.1608656820910426E-2</v>
      </c>
      <c r="I348">
        <f t="shared" si="41"/>
        <v>57.681974642719013</v>
      </c>
      <c r="J348">
        <f t="shared" si="36"/>
        <v>197.15291001453335</v>
      </c>
      <c r="K348" s="27">
        <f t="shared" si="37"/>
        <v>2006.3074565492889</v>
      </c>
    </row>
    <row r="349" spans="1:11">
      <c r="A349" s="26">
        <v>299</v>
      </c>
      <c r="B349" s="82">
        <f t="shared" si="38"/>
        <v>3.2921237647087764E-4</v>
      </c>
      <c r="C349" s="58">
        <f t="shared" si="42"/>
        <v>42.401029410652498</v>
      </c>
      <c r="D349" s="83">
        <f t="shared" si="39"/>
        <v>180.64150104687354</v>
      </c>
      <c r="E349">
        <f t="shared" si="35"/>
        <v>10.742683834711881</v>
      </c>
      <c r="G349">
        <v>299</v>
      </c>
      <c r="H349" s="13">
        <f t="shared" si="40"/>
        <v>5.1608656820910426E-2</v>
      </c>
      <c r="I349">
        <f t="shared" si="41"/>
        <v>57.733583299539923</v>
      </c>
      <c r="J349">
        <f t="shared" si="36"/>
        <v>197.18402880168571</v>
      </c>
      <c r="K349" s="27">
        <f t="shared" si="37"/>
        <v>2006.9397494883126</v>
      </c>
    </row>
    <row r="350" spans="1:11">
      <c r="A350" s="26">
        <v>300</v>
      </c>
      <c r="B350" s="82">
        <f t="shared" si="38"/>
        <v>3.2921237647087764E-4</v>
      </c>
      <c r="C350" s="58">
        <f t="shared" si="42"/>
        <v>42.401358623028969</v>
      </c>
      <c r="D350" s="83">
        <f t="shared" si="39"/>
        <v>180.64215563633874</v>
      </c>
      <c r="E350">
        <f t="shared" si="35"/>
        <v>10.742761689352719</v>
      </c>
      <c r="G350">
        <v>300</v>
      </c>
      <c r="H350" s="13">
        <f t="shared" si="40"/>
        <v>5.1608656820910426E-2</v>
      </c>
      <c r="I350">
        <f t="shared" si="41"/>
        <v>57.785191956360833</v>
      </c>
      <c r="J350">
        <f t="shared" si="36"/>
        <v>197.21504327108948</v>
      </c>
      <c r="K350" s="27">
        <f t="shared" si="37"/>
        <v>2007.5700212216245</v>
      </c>
    </row>
    <row r="351" spans="1:11">
      <c r="A351" s="26">
        <v>301</v>
      </c>
      <c r="B351" s="82">
        <f t="shared" si="38"/>
        <v>3.2921237647087764E-4</v>
      </c>
      <c r="C351" s="58">
        <f t="shared" si="42"/>
        <v>42.40168783540544</v>
      </c>
      <c r="D351" s="83">
        <f t="shared" si="39"/>
        <v>180.64281019637491</v>
      </c>
      <c r="E351">
        <f t="shared" si="35"/>
        <v>10.742839540775577</v>
      </c>
      <c r="G351">
        <v>301</v>
      </c>
      <c r="H351" s="13">
        <f t="shared" si="40"/>
        <v>5.1608656820910426E-2</v>
      </c>
      <c r="I351">
        <f t="shared" si="41"/>
        <v>57.836800613181744</v>
      </c>
      <c r="J351">
        <f t="shared" si="36"/>
        <v>197.24595370128714</v>
      </c>
      <c r="K351" s="27">
        <f t="shared" si="37"/>
        <v>2008.1982764021996</v>
      </c>
    </row>
    <row r="352" spans="1:11">
      <c r="A352" s="26">
        <v>302</v>
      </c>
      <c r="B352" s="82">
        <f t="shared" si="38"/>
        <v>3.2921237647087764E-4</v>
      </c>
      <c r="C352" s="58">
        <f t="shared" si="42"/>
        <v>42.402017047781911</v>
      </c>
      <c r="D352" s="83">
        <f t="shared" si="39"/>
        <v>180.64346472698523</v>
      </c>
      <c r="E352">
        <f t="shared" si="35"/>
        <v>10.742917388980787</v>
      </c>
      <c r="G352">
        <v>302</v>
      </c>
      <c r="H352" s="13">
        <f t="shared" si="40"/>
        <v>5.1608656820910426E-2</v>
      </c>
      <c r="I352">
        <f t="shared" si="41"/>
        <v>57.888409270002654</v>
      </c>
      <c r="J352">
        <f t="shared" si="36"/>
        <v>197.27676036890102</v>
      </c>
      <c r="K352" s="27">
        <f t="shared" si="37"/>
        <v>2008.8245196509667</v>
      </c>
    </row>
    <row r="353" spans="1:11">
      <c r="A353" s="26">
        <v>303</v>
      </c>
      <c r="B353" s="82">
        <f t="shared" si="38"/>
        <v>3.2921237647087764E-4</v>
      </c>
      <c r="C353" s="58">
        <f t="shared" si="42"/>
        <v>42.402346260158382</v>
      </c>
      <c r="D353" s="83">
        <f t="shared" si="39"/>
        <v>180.64411922817283</v>
      </c>
      <c r="E353">
        <f t="shared" si="35"/>
        <v>10.742995233968692</v>
      </c>
      <c r="G353">
        <v>303</v>
      </c>
      <c r="H353" s="13">
        <f t="shared" si="40"/>
        <v>5.1608656820910426E-2</v>
      </c>
      <c r="I353">
        <f t="shared" si="41"/>
        <v>57.940017926823565</v>
      </c>
      <c r="J353">
        <f t="shared" si="36"/>
        <v>197.30746354864993</v>
      </c>
      <c r="K353" s="27">
        <f t="shared" si="37"/>
        <v>2009.448755557085</v>
      </c>
    </row>
    <row r="354" spans="1:11">
      <c r="A354" s="26">
        <v>304</v>
      </c>
      <c r="B354" s="82">
        <f t="shared" si="38"/>
        <v>3.2921237647087764E-4</v>
      </c>
      <c r="C354" s="58">
        <f t="shared" si="42"/>
        <v>42.402675472534852</v>
      </c>
      <c r="D354" s="83">
        <f t="shared" si="39"/>
        <v>180.64477369994094</v>
      </c>
      <c r="E354">
        <f t="shared" si="35"/>
        <v>10.74307307573963</v>
      </c>
      <c r="G354">
        <v>304</v>
      </c>
      <c r="H354" s="13">
        <f t="shared" si="40"/>
        <v>5.1608656820910426E-2</v>
      </c>
      <c r="I354">
        <f t="shared" si="41"/>
        <v>57.991626583644475</v>
      </c>
      <c r="J354">
        <f t="shared" si="36"/>
        <v>197.33806351336582</v>
      </c>
      <c r="K354" s="27">
        <f t="shared" si="37"/>
        <v>2010.0709886782224</v>
      </c>
    </row>
    <row r="355" spans="1:11">
      <c r="A355" s="26">
        <v>305</v>
      </c>
      <c r="B355" s="82">
        <f t="shared" si="38"/>
        <v>3.2921237647087764E-4</v>
      </c>
      <c r="C355" s="58">
        <f t="shared" si="42"/>
        <v>42.403004684911323</v>
      </c>
      <c r="D355" s="83">
        <f t="shared" si="39"/>
        <v>180.64542814229267</v>
      </c>
      <c r="E355">
        <f t="shared" si="35"/>
        <v>10.743150914293937</v>
      </c>
      <c r="G355">
        <v>305</v>
      </c>
      <c r="H355" s="13">
        <f t="shared" si="40"/>
        <v>5.1608656820910426E-2</v>
      </c>
      <c r="I355">
        <f t="shared" si="41"/>
        <v>58.043235240465386</v>
      </c>
      <c r="J355">
        <f t="shared" si="36"/>
        <v>197.36856053401007</v>
      </c>
      <c r="K355" s="27">
        <f t="shared" si="37"/>
        <v>2010.6912235408274</v>
      </c>
    </row>
    <row r="356" spans="1:11">
      <c r="A356" s="26">
        <v>306</v>
      </c>
      <c r="B356" s="82">
        <f t="shared" si="38"/>
        <v>3.2921237647087764E-4</v>
      </c>
      <c r="C356" s="58">
        <f t="shared" si="42"/>
        <v>42.403333897287794</v>
      </c>
      <c r="D356" s="83">
        <f t="shared" si="39"/>
        <v>180.6460825552312</v>
      </c>
      <c r="E356">
        <f t="shared" si="35"/>
        <v>10.743228749631955</v>
      </c>
      <c r="G356">
        <v>306</v>
      </c>
      <c r="H356" s="13">
        <f t="shared" si="40"/>
        <v>5.1608656820910426E-2</v>
      </c>
      <c r="I356">
        <f t="shared" si="41"/>
        <v>58.094843897286296</v>
      </c>
      <c r="J356">
        <f t="shared" si="36"/>
        <v>197.39895487968965</v>
      </c>
      <c r="K356" s="27">
        <f t="shared" si="37"/>
        <v>2011.3094646403977</v>
      </c>
    </row>
    <row r="357" spans="1:11">
      <c r="A357" s="26">
        <v>307</v>
      </c>
      <c r="B357" s="82">
        <f t="shared" si="38"/>
        <v>3.2921237647087764E-4</v>
      </c>
      <c r="C357" s="58">
        <f t="shared" si="42"/>
        <v>42.403663109664265</v>
      </c>
      <c r="D357" s="83">
        <f t="shared" si="39"/>
        <v>180.64673693875972</v>
      </c>
      <c r="E357">
        <f t="shared" si="35"/>
        <v>10.74330658175402</v>
      </c>
      <c r="G357">
        <v>307</v>
      </c>
      <c r="H357" s="13">
        <f t="shared" si="40"/>
        <v>5.1608656820910426E-2</v>
      </c>
      <c r="I357">
        <f t="shared" si="41"/>
        <v>58.146452554107206</v>
      </c>
      <c r="J357">
        <f t="shared" si="36"/>
        <v>197.42924681767309</v>
      </c>
      <c r="K357" s="27">
        <f t="shared" si="37"/>
        <v>2011.9257164417456</v>
      </c>
    </row>
    <row r="358" spans="1:11">
      <c r="A358" s="26">
        <v>308</v>
      </c>
      <c r="B358" s="82">
        <f t="shared" si="38"/>
        <v>3.2921237647087764E-4</v>
      </c>
      <c r="C358" s="58">
        <f t="shared" si="42"/>
        <v>42.403992322040736</v>
      </c>
      <c r="D358" s="83">
        <f t="shared" si="39"/>
        <v>180.64739129288134</v>
      </c>
      <c r="E358">
        <f t="shared" si="35"/>
        <v>10.743384410660468</v>
      </c>
      <c r="G358">
        <v>308</v>
      </c>
      <c r="H358" s="13">
        <f t="shared" si="40"/>
        <v>5.1608656820910426E-2</v>
      </c>
      <c r="I358">
        <f t="shared" si="41"/>
        <v>58.198061210928117</v>
      </c>
      <c r="J358">
        <f t="shared" si="36"/>
        <v>197.45943661340624</v>
      </c>
      <c r="K358" s="27">
        <f t="shared" si="37"/>
        <v>2012.5399833792619</v>
      </c>
    </row>
    <row r="359" spans="1:11">
      <c r="A359" s="26">
        <v>309</v>
      </c>
      <c r="B359" s="82">
        <f t="shared" si="38"/>
        <v>3.2921237647087764E-4</v>
      </c>
      <c r="C359" s="58">
        <f t="shared" si="42"/>
        <v>42.404321534417207</v>
      </c>
      <c r="D359" s="83">
        <f t="shared" si="39"/>
        <v>180.64804561759928</v>
      </c>
      <c r="E359">
        <f t="shared" si="35"/>
        <v>10.743462236351645</v>
      </c>
      <c r="G359">
        <v>309</v>
      </c>
      <c r="H359" s="13">
        <f t="shared" si="40"/>
        <v>5.1608656820910426E-2</v>
      </c>
      <c r="I359">
        <f t="shared" si="41"/>
        <v>58.249669867749027</v>
      </c>
      <c r="J359">
        <f t="shared" si="36"/>
        <v>197.48952453052794</v>
      </c>
      <c r="K359" s="27">
        <f t="shared" si="37"/>
        <v>2013.1522698571771</v>
      </c>
    </row>
    <row r="360" spans="1:11">
      <c r="A360" s="26">
        <v>310</v>
      </c>
      <c r="B360" s="82">
        <f t="shared" si="38"/>
        <v>3.2921237647087764E-4</v>
      </c>
      <c r="C360" s="58">
        <f t="shared" si="42"/>
        <v>42.404650746793678</v>
      </c>
      <c r="D360" s="83">
        <f t="shared" si="39"/>
        <v>180.6486999129167</v>
      </c>
      <c r="E360">
        <f t="shared" si="35"/>
        <v>10.743540058827882</v>
      </c>
      <c r="G360">
        <v>310</v>
      </c>
      <c r="H360" s="13">
        <f t="shared" si="40"/>
        <v>5.1608656820910426E-2</v>
      </c>
      <c r="I360">
        <f t="shared" si="41"/>
        <v>58.301278524569938</v>
      </c>
      <c r="J360">
        <f t="shared" si="36"/>
        <v>197.51951083088542</v>
      </c>
      <c r="K360" s="27">
        <f t="shared" si="37"/>
        <v>2013.7625802498162</v>
      </c>
    </row>
    <row r="361" spans="1:11">
      <c r="A361" s="26">
        <v>311</v>
      </c>
      <c r="B361" s="82">
        <f t="shared" si="38"/>
        <v>3.2921237647087764E-4</v>
      </c>
      <c r="C361" s="58">
        <f t="shared" si="42"/>
        <v>42.404979959170149</v>
      </c>
      <c r="D361" s="83">
        <f t="shared" si="39"/>
        <v>180.64935417883672</v>
      </c>
      <c r="E361">
        <f t="shared" si="35"/>
        <v>10.743617878089518</v>
      </c>
      <c r="G361">
        <v>311</v>
      </c>
      <c r="H361" s="13">
        <f t="shared" si="40"/>
        <v>5.1608656820910426E-2</v>
      </c>
      <c r="I361">
        <f t="shared" si="41"/>
        <v>58.352887181390848</v>
      </c>
      <c r="J361">
        <f t="shared" si="36"/>
        <v>197.54939577454945</v>
      </c>
      <c r="K361" s="27">
        <f t="shared" si="37"/>
        <v>2014.3709189018552</v>
      </c>
    </row>
    <row r="362" spans="1:11">
      <c r="A362" s="26">
        <v>312</v>
      </c>
      <c r="B362" s="82">
        <f t="shared" si="38"/>
        <v>3.2921237647087764E-4</v>
      </c>
      <c r="C362" s="58">
        <f t="shared" si="42"/>
        <v>42.405309171546619</v>
      </c>
      <c r="D362" s="83">
        <f t="shared" si="39"/>
        <v>180.65000841536252</v>
      </c>
      <c r="E362">
        <f t="shared" si="35"/>
        <v>10.743695694136896</v>
      </c>
      <c r="G362">
        <v>312</v>
      </c>
      <c r="H362" s="13">
        <f t="shared" si="40"/>
        <v>5.1608656820910426E-2</v>
      </c>
      <c r="I362">
        <f t="shared" si="41"/>
        <v>58.404495838211758</v>
      </c>
      <c r="J362">
        <f t="shared" si="36"/>
        <v>197.5791796198296</v>
      </c>
      <c r="K362" s="27">
        <f t="shared" si="37"/>
        <v>2014.9772901285708</v>
      </c>
    </row>
    <row r="363" spans="1:11">
      <c r="A363" s="26">
        <v>313</v>
      </c>
      <c r="B363" s="82">
        <f t="shared" si="38"/>
        <v>3.2921237647087764E-4</v>
      </c>
      <c r="C363" s="58">
        <f t="shared" si="42"/>
        <v>42.40563838392309</v>
      </c>
      <c r="D363" s="83">
        <f t="shared" si="39"/>
        <v>180.65066262249726</v>
      </c>
      <c r="E363">
        <f t="shared" si="35"/>
        <v>10.743773506970344</v>
      </c>
      <c r="G363">
        <v>313</v>
      </c>
      <c r="H363" s="13">
        <f t="shared" si="40"/>
        <v>5.1608656820910426E-2</v>
      </c>
      <c r="I363">
        <f t="shared" si="41"/>
        <v>58.456104495032669</v>
      </c>
      <c r="J363">
        <f t="shared" si="36"/>
        <v>197.60886262328899</v>
      </c>
      <c r="K363" s="27">
        <f t="shared" si="37"/>
        <v>2015.5816982160886</v>
      </c>
    </row>
    <row r="364" spans="1:11">
      <c r="A364" s="26">
        <v>314</v>
      </c>
      <c r="B364" s="82">
        <f t="shared" si="38"/>
        <v>3.2921237647087764E-4</v>
      </c>
      <c r="C364" s="58">
        <f t="shared" si="42"/>
        <v>42.405967596299561</v>
      </c>
      <c r="D364" s="83">
        <f t="shared" si="39"/>
        <v>180.6513168002441</v>
      </c>
      <c r="E364">
        <f t="shared" si="35"/>
        <v>10.743851316590211</v>
      </c>
      <c r="G364">
        <v>314</v>
      </c>
      <c r="H364" s="13">
        <f t="shared" si="40"/>
        <v>5.1608656820910426E-2</v>
      </c>
      <c r="I364">
        <f t="shared" si="41"/>
        <v>58.507713151853579</v>
      </c>
      <c r="J364">
        <f t="shared" si="36"/>
        <v>197.63844503975906</v>
      </c>
      <c r="K364" s="27">
        <f t="shared" si="37"/>
        <v>2016.1841474216292</v>
      </c>
    </row>
    <row r="365" spans="1:11">
      <c r="A365" s="26">
        <v>315</v>
      </c>
      <c r="B365" s="82">
        <f t="shared" si="38"/>
        <v>3.2921237647087764E-4</v>
      </c>
      <c r="C365" s="58">
        <f t="shared" si="42"/>
        <v>42.406296808676032</v>
      </c>
      <c r="D365" s="83">
        <f t="shared" si="39"/>
        <v>180.65197094860625</v>
      </c>
      <c r="E365">
        <f t="shared" si="35"/>
        <v>10.743929122996832</v>
      </c>
      <c r="G365">
        <v>315</v>
      </c>
      <c r="H365" s="13">
        <f t="shared" si="40"/>
        <v>5.1608656820910426E-2</v>
      </c>
      <c r="I365">
        <f t="shared" si="41"/>
        <v>58.55932180867449</v>
      </c>
      <c r="J365">
        <f t="shared" si="36"/>
        <v>197.66792712235417</v>
      </c>
      <c r="K365" s="27">
        <f t="shared" si="37"/>
        <v>2016.7846419737525</v>
      </c>
    </row>
    <row r="366" spans="1:11">
      <c r="A366" s="26">
        <v>316</v>
      </c>
      <c r="B366" s="82">
        <f t="shared" si="38"/>
        <v>3.2921237647087764E-4</v>
      </c>
      <c r="C366" s="58">
        <f t="shared" si="42"/>
        <v>42.406626021052503</v>
      </c>
      <c r="D366" s="83">
        <f t="shared" si="39"/>
        <v>180.6526250675868</v>
      </c>
      <c r="E366">
        <f t="shared" si="35"/>
        <v>10.744006926190542</v>
      </c>
      <c r="G366">
        <v>316</v>
      </c>
      <c r="H366" s="13">
        <f t="shared" si="40"/>
        <v>5.1608656820910426E-2</v>
      </c>
      <c r="I366">
        <f t="shared" si="41"/>
        <v>58.6109304654954</v>
      </c>
      <c r="J366">
        <f t="shared" si="36"/>
        <v>197.69730912248602</v>
      </c>
      <c r="K366" s="27">
        <f t="shared" si="37"/>
        <v>2017.3831860725934</v>
      </c>
    </row>
    <row r="367" spans="1:11">
      <c r="A367" s="26">
        <v>317</v>
      </c>
      <c r="B367" s="82">
        <f t="shared" si="38"/>
        <v>3.2921237647087764E-4</v>
      </c>
      <c r="C367" s="58">
        <f t="shared" si="42"/>
        <v>42.406955233428974</v>
      </c>
      <c r="D367" s="83">
        <f t="shared" si="39"/>
        <v>180.65327915718893</v>
      </c>
      <c r="E367">
        <f t="shared" si="35"/>
        <v>10.744084726171677</v>
      </c>
      <c r="G367">
        <v>317</v>
      </c>
      <c r="H367" s="13">
        <f t="shared" si="40"/>
        <v>5.1608656820910426E-2</v>
      </c>
      <c r="I367">
        <f t="shared" si="41"/>
        <v>58.662539122316311</v>
      </c>
      <c r="J367">
        <f t="shared" si="36"/>
        <v>197.72659128987772</v>
      </c>
      <c r="K367" s="27">
        <f t="shared" si="37"/>
        <v>2017.9797838901047</v>
      </c>
    </row>
    <row r="368" spans="1:11">
      <c r="A368" s="26">
        <v>318</v>
      </c>
      <c r="B368" s="82">
        <f t="shared" si="38"/>
        <v>3.2921237647087764E-4</v>
      </c>
      <c r="C368" s="58">
        <f t="shared" si="42"/>
        <v>42.407284445805445</v>
      </c>
      <c r="D368" s="83">
        <f t="shared" si="39"/>
        <v>180.65393321741578</v>
      </c>
      <c r="E368">
        <f t="shared" si="35"/>
        <v>10.744162522940577</v>
      </c>
      <c r="G368">
        <v>318</v>
      </c>
      <c r="H368" s="13">
        <f t="shared" si="40"/>
        <v>5.1608656820910426E-2</v>
      </c>
      <c r="I368">
        <f t="shared" si="41"/>
        <v>58.714147779137221</v>
      </c>
      <c r="J368">
        <f t="shared" si="36"/>
        <v>197.75577387257812</v>
      </c>
      <c r="K368" s="27">
        <f t="shared" si="37"/>
        <v>2018.574439570287</v>
      </c>
    </row>
    <row r="369" spans="1:11">
      <c r="A369" s="26">
        <v>319</v>
      </c>
      <c r="B369" s="82">
        <f t="shared" si="38"/>
        <v>3.2921237647087764E-4</v>
      </c>
      <c r="C369" s="58">
        <f t="shared" si="42"/>
        <v>42.407613658181916</v>
      </c>
      <c r="D369" s="83">
        <f t="shared" si="39"/>
        <v>180.65458724827056</v>
      </c>
      <c r="E369">
        <f t="shared" si="35"/>
        <v>10.744240316497583</v>
      </c>
      <c r="G369">
        <v>319</v>
      </c>
      <c r="H369" s="13">
        <f t="shared" si="40"/>
        <v>5.1608656820910426E-2</v>
      </c>
      <c r="I369">
        <f t="shared" si="41"/>
        <v>58.765756435958131</v>
      </c>
      <c r="J369">
        <f t="shared" si="36"/>
        <v>197.78485711697553</v>
      </c>
      <c r="K369" s="27">
        <f t="shared" si="37"/>
        <v>2019.1671572294229</v>
      </c>
    </row>
    <row r="370" spans="1:11">
      <c r="A370" s="26">
        <v>320</v>
      </c>
      <c r="B370" s="82">
        <f t="shared" si="38"/>
        <v>3.2921237647087764E-4</v>
      </c>
      <c r="C370" s="58">
        <f t="shared" si="42"/>
        <v>42.407942870558387</v>
      </c>
      <c r="D370" s="83">
        <f t="shared" si="39"/>
        <v>180.65524124975641</v>
      </c>
      <c r="E370">
        <f t="shared" si="35"/>
        <v>10.744318106843032</v>
      </c>
      <c r="G370">
        <v>320</v>
      </c>
      <c r="H370" s="13">
        <f t="shared" si="40"/>
        <v>5.1608656820910426E-2</v>
      </c>
      <c r="I370">
        <f t="shared" si="41"/>
        <v>58.817365092779042</v>
      </c>
      <c r="J370">
        <f t="shared" si="36"/>
        <v>197.81384126781154</v>
      </c>
      <c r="K370" s="27">
        <f t="shared" si="37"/>
        <v>2019.7579409563066</v>
      </c>
    </row>
    <row r="371" spans="1:11">
      <c r="A371" s="26">
        <v>321</v>
      </c>
      <c r="B371" s="82">
        <f t="shared" si="38"/>
        <v>3.2921237647087764E-4</v>
      </c>
      <c r="C371" s="58">
        <f t="shared" si="42"/>
        <v>42.408272082934857</v>
      </c>
      <c r="D371" s="83">
        <f t="shared" si="39"/>
        <v>180.65589522187645</v>
      </c>
      <c r="E371">
        <f t="shared" ref="E371:E434" si="43">((D371^2)+(D371*D372)+(D372^2))*B372/3</f>
        <v>10.744395893977254</v>
      </c>
      <c r="G371">
        <v>321</v>
      </c>
      <c r="H371" s="13">
        <f t="shared" si="40"/>
        <v>5.1608656820910426E-2</v>
      </c>
      <c r="I371">
        <f t="shared" si="41"/>
        <v>58.868973749599952</v>
      </c>
      <c r="J371">
        <f t="shared" ref="J371:J434" si="44">IF($G$28&lt;$C$14,0,((($C$11^2)-((I371-$C$13)^2))^0.5)+$C$16)</f>
        <v>197.84272656819465</v>
      </c>
      <c r="K371" s="27">
        <f t="shared" ref="K371:K434" si="45">((J371^2)+(J371*J372)+(J372^2))*H372/3</f>
        <v>2020.3467948124692</v>
      </c>
    </row>
    <row r="372" spans="1:11">
      <c r="A372" s="26">
        <v>322</v>
      </c>
      <c r="B372" s="82">
        <f t="shared" ref="B372:B435" si="46">C372-C371</f>
        <v>3.2921237647087764E-4</v>
      </c>
      <c r="C372" s="58">
        <f t="shared" si="42"/>
        <v>42.408601295311328</v>
      </c>
      <c r="D372" s="83">
        <f t="shared" ref="D372:D435" si="47">IF($G$28&lt;$C$14,0,((($C$11^2)-((C372-$C$13)^2))^0.5)+$C$16)</f>
        <v>180.65654916463387</v>
      </c>
      <c r="E372">
        <f t="shared" si="43"/>
        <v>10.744473677900592</v>
      </c>
      <c r="G372">
        <v>322</v>
      </c>
      <c r="H372" s="13">
        <f t="shared" ref="H372:H435" si="48">I372-I371</f>
        <v>5.1608656820910426E-2</v>
      </c>
      <c r="I372">
        <f t="shared" ref="I372:I435" si="49">($G$27-$C$14)/2000+I371</f>
        <v>58.920582406420863</v>
      </c>
      <c r="J372">
        <f t="shared" si="44"/>
        <v>197.87151325961375</v>
      </c>
      <c r="K372" s="27">
        <f t="shared" si="45"/>
        <v>2020.9337228324048</v>
      </c>
    </row>
    <row r="373" spans="1:11">
      <c r="A373" s="26">
        <v>323</v>
      </c>
      <c r="B373" s="82">
        <f t="shared" si="46"/>
        <v>3.2921237647087764E-4</v>
      </c>
      <c r="C373" s="58">
        <f t="shared" si="42"/>
        <v>42.408930507687799</v>
      </c>
      <c r="D373" s="83">
        <f t="shared" si="47"/>
        <v>180.65720307803178</v>
      </c>
      <c r="E373">
        <f t="shared" si="43"/>
        <v>10.744551458613385</v>
      </c>
      <c r="G373">
        <v>323</v>
      </c>
      <c r="H373" s="13">
        <f t="shared" si="48"/>
        <v>5.1608656820910426E-2</v>
      </c>
      <c r="I373">
        <f t="shared" si="49"/>
        <v>58.972191063241773</v>
      </c>
      <c r="J373">
        <f t="shared" si="44"/>
        <v>197.90020158195131</v>
      </c>
      <c r="K373" s="27">
        <f t="shared" si="45"/>
        <v>2021.5187290237909</v>
      </c>
    </row>
    <row r="374" spans="1:11">
      <c r="A374" s="26">
        <v>324</v>
      </c>
      <c r="B374" s="82">
        <f t="shared" si="46"/>
        <v>3.2921237647087764E-4</v>
      </c>
      <c r="C374" s="58">
        <f t="shared" si="42"/>
        <v>42.40925972006427</v>
      </c>
      <c r="D374" s="83">
        <f t="shared" si="47"/>
        <v>180.65785696207342</v>
      </c>
      <c r="E374">
        <f t="shared" si="43"/>
        <v>10.744629236115967</v>
      </c>
      <c r="G374">
        <v>324</v>
      </c>
      <c r="H374" s="13">
        <f t="shared" si="48"/>
        <v>5.1608656820910426E-2</v>
      </c>
      <c r="I374">
        <f t="shared" si="49"/>
        <v>59.023799720062684</v>
      </c>
      <c r="J374">
        <f t="shared" si="44"/>
        <v>197.92879177349667</v>
      </c>
      <c r="K374" s="27">
        <f t="shared" si="45"/>
        <v>2022.1018173677087</v>
      </c>
    </row>
    <row r="375" spans="1:11">
      <c r="A375" s="26">
        <v>325</v>
      </c>
      <c r="B375" s="82">
        <f t="shared" si="46"/>
        <v>3.2921237647087764E-4</v>
      </c>
      <c r="C375" s="58">
        <f t="shared" si="42"/>
        <v>42.409588932440741</v>
      </c>
      <c r="D375" s="83">
        <f t="shared" si="47"/>
        <v>180.65851081676186</v>
      </c>
      <c r="E375">
        <f t="shared" si="43"/>
        <v>10.744707010408673</v>
      </c>
      <c r="G375">
        <v>325</v>
      </c>
      <c r="H375" s="13">
        <f t="shared" si="48"/>
        <v>5.1608656820910426E-2</v>
      </c>
      <c r="I375">
        <f t="shared" si="49"/>
        <v>59.075408376883594</v>
      </c>
      <c r="J375">
        <f t="shared" si="44"/>
        <v>197.95728407095899</v>
      </c>
      <c r="K375" s="27">
        <f t="shared" si="45"/>
        <v>2022.6829918188589</v>
      </c>
    </row>
    <row r="376" spans="1:11">
      <c r="A376" s="26">
        <v>326</v>
      </c>
      <c r="B376" s="82">
        <f t="shared" si="46"/>
        <v>3.2921237647087764E-4</v>
      </c>
      <c r="C376" s="58">
        <f t="shared" si="42"/>
        <v>42.409918144817212</v>
      </c>
      <c r="D376" s="83">
        <f t="shared" si="47"/>
        <v>180.65916464210028</v>
      </c>
      <c r="E376">
        <f t="shared" si="43"/>
        <v>10.744784781491846</v>
      </c>
      <c r="G376">
        <v>326</v>
      </c>
      <c r="H376" s="13">
        <f t="shared" si="48"/>
        <v>5.1608656820910426E-2</v>
      </c>
      <c r="I376">
        <f t="shared" si="49"/>
        <v>59.127017033704504</v>
      </c>
      <c r="J376">
        <f t="shared" si="44"/>
        <v>197.98567870948008</v>
      </c>
      <c r="K376" s="27">
        <f t="shared" si="45"/>
        <v>2023.2622563057785</v>
      </c>
    </row>
    <row r="377" spans="1:11">
      <c r="A377" s="26">
        <v>327</v>
      </c>
      <c r="B377" s="82">
        <f t="shared" si="46"/>
        <v>3.2921237647087764E-4</v>
      </c>
      <c r="C377" s="58">
        <f t="shared" si="42"/>
        <v>42.410247357193683</v>
      </c>
      <c r="D377" s="83">
        <f t="shared" si="47"/>
        <v>180.65981843809186</v>
      </c>
      <c r="E377">
        <f t="shared" si="43"/>
        <v>10.74486254936582</v>
      </c>
      <c r="G377">
        <v>327</v>
      </c>
      <c r="H377" s="13">
        <f t="shared" si="48"/>
        <v>5.1608656820910426E-2</v>
      </c>
      <c r="I377">
        <f t="shared" si="49"/>
        <v>59.178625690525415</v>
      </c>
      <c r="J377">
        <f t="shared" si="44"/>
        <v>198.01397592264726</v>
      </c>
      <c r="K377" s="27">
        <f t="shared" si="45"/>
        <v>2023.8396147310486</v>
      </c>
    </row>
    <row r="378" spans="1:11">
      <c r="A378" s="26">
        <v>328</v>
      </c>
      <c r="B378" s="82">
        <f t="shared" si="46"/>
        <v>3.2921237647087764E-4</v>
      </c>
      <c r="C378" s="58">
        <f t="shared" si="42"/>
        <v>42.410576569570154</v>
      </c>
      <c r="D378" s="83">
        <f t="shared" si="47"/>
        <v>180.66047220473973</v>
      </c>
      <c r="E378">
        <f t="shared" si="43"/>
        <v>10.744940314030934</v>
      </c>
      <c r="G378">
        <v>328</v>
      </c>
      <c r="H378" s="13">
        <f t="shared" si="48"/>
        <v>5.1608656820910426E-2</v>
      </c>
      <c r="I378">
        <f t="shared" si="49"/>
        <v>59.230234347346325</v>
      </c>
      <c r="J378">
        <f t="shared" si="44"/>
        <v>198.04217594250574</v>
      </c>
      <c r="K378" s="27">
        <f t="shared" si="45"/>
        <v>2024.4150709715095</v>
      </c>
    </row>
    <row r="379" spans="1:11">
      <c r="A379" s="26">
        <v>329</v>
      </c>
      <c r="B379" s="82">
        <f t="shared" si="46"/>
        <v>3.2921237647087764E-4</v>
      </c>
      <c r="C379" s="58">
        <f t="shared" si="42"/>
        <v>42.410905781946624</v>
      </c>
      <c r="D379" s="83">
        <f t="shared" si="47"/>
        <v>180.66112594204702</v>
      </c>
      <c r="E379">
        <f t="shared" si="43"/>
        <v>10.745018075487522</v>
      </c>
      <c r="G379">
        <v>329</v>
      </c>
      <c r="H379" s="13">
        <f t="shared" si="48"/>
        <v>5.1608656820910426E-2</v>
      </c>
      <c r="I379">
        <f t="shared" si="49"/>
        <v>59.281843004167236</v>
      </c>
      <c r="J379">
        <f t="shared" si="44"/>
        <v>198.07027899957123</v>
      </c>
      <c r="K379" s="27">
        <f t="shared" si="45"/>
        <v>2024.9886288784637</v>
      </c>
    </row>
    <row r="380" spans="1:11">
      <c r="A380" s="26">
        <v>330</v>
      </c>
      <c r="B380" s="82">
        <f t="shared" si="46"/>
        <v>3.2921237647087764E-4</v>
      </c>
      <c r="C380" s="58">
        <f t="shared" si="42"/>
        <v>42.411234994323095</v>
      </c>
      <c r="D380" s="83">
        <f t="shared" si="47"/>
        <v>180.66177965001694</v>
      </c>
      <c r="E380">
        <f t="shared" si="43"/>
        <v>10.745095833735924</v>
      </c>
      <c r="G380">
        <v>330</v>
      </c>
      <c r="H380" s="13">
        <f t="shared" si="48"/>
        <v>5.1608656820910426E-2</v>
      </c>
      <c r="I380">
        <f t="shared" si="49"/>
        <v>59.333451660988146</v>
      </c>
      <c r="J380">
        <f t="shared" si="44"/>
        <v>198.09828532284223</v>
      </c>
      <c r="K380" s="27">
        <f t="shared" si="45"/>
        <v>2025.5602922778837</v>
      </c>
    </row>
    <row r="381" spans="1:11">
      <c r="A381" s="26">
        <v>331</v>
      </c>
      <c r="B381" s="82">
        <f t="shared" si="46"/>
        <v>3.2921237647087764E-4</v>
      </c>
      <c r="C381" s="58">
        <f t="shared" si="42"/>
        <v>42.411564206699566</v>
      </c>
      <c r="D381" s="83">
        <f t="shared" si="47"/>
        <v>180.66243332865258</v>
      </c>
      <c r="E381">
        <f t="shared" si="43"/>
        <v>10.745173588776474</v>
      </c>
      <c r="G381">
        <v>331</v>
      </c>
      <c r="H381" s="13">
        <f t="shared" si="48"/>
        <v>5.1608656820910426E-2</v>
      </c>
      <c r="I381">
        <f t="shared" si="49"/>
        <v>59.385060317809057</v>
      </c>
      <c r="J381">
        <f t="shared" si="44"/>
        <v>198.12619513981213</v>
      </c>
      <c r="K381" s="27">
        <f t="shared" si="45"/>
        <v>2026.1300649706147</v>
      </c>
    </row>
    <row r="382" spans="1:11">
      <c r="A382" s="26">
        <v>332</v>
      </c>
      <c r="B382" s="82">
        <f t="shared" si="46"/>
        <v>3.2921237647087764E-4</v>
      </c>
      <c r="C382" s="58">
        <f t="shared" si="42"/>
        <v>42.411893419076037</v>
      </c>
      <c r="D382" s="83">
        <f t="shared" si="47"/>
        <v>180.66308697795711</v>
      </c>
      <c r="E382">
        <f t="shared" si="43"/>
        <v>10.745251340609506</v>
      </c>
      <c r="G382">
        <v>332</v>
      </c>
      <c r="H382" s="13">
        <f t="shared" si="48"/>
        <v>5.1608656820910426E-2</v>
      </c>
      <c r="I382">
        <f t="shared" si="49"/>
        <v>59.436668974629967</v>
      </c>
      <c r="J382">
        <f t="shared" si="44"/>
        <v>198.15400867648131</v>
      </c>
      <c r="K382" s="27">
        <f t="shared" si="45"/>
        <v>2026.6979507325741</v>
      </c>
    </row>
    <row r="383" spans="1:11">
      <c r="A383" s="26">
        <v>333</v>
      </c>
      <c r="B383" s="82">
        <f t="shared" si="46"/>
        <v>3.2921237647087764E-4</v>
      </c>
      <c r="C383" s="58">
        <f t="shared" si="42"/>
        <v>42.412222631452508</v>
      </c>
      <c r="D383" s="83">
        <f t="shared" si="47"/>
        <v>180.66374059793367</v>
      </c>
      <c r="E383">
        <f t="shared" si="43"/>
        <v>10.745329089235367</v>
      </c>
      <c r="G383">
        <v>333</v>
      </c>
      <c r="H383" s="13">
        <f t="shared" si="48"/>
        <v>5.1608656820910426E-2</v>
      </c>
      <c r="I383">
        <f t="shared" si="49"/>
        <v>59.488277631450877</v>
      </c>
      <c r="J383">
        <f t="shared" si="44"/>
        <v>198.18172615736904</v>
      </c>
      <c r="K383" s="27">
        <f t="shared" si="45"/>
        <v>2027.2639533149516</v>
      </c>
    </row>
    <row r="384" spans="1:11">
      <c r="A384" s="26">
        <v>334</v>
      </c>
      <c r="B384" s="82">
        <f t="shared" si="46"/>
        <v>3.2921237647087764E-4</v>
      </c>
      <c r="C384" s="58">
        <f t="shared" si="42"/>
        <v>42.412551843828979</v>
      </c>
      <c r="D384" s="83">
        <f t="shared" si="47"/>
        <v>180.66439418858545</v>
      </c>
      <c r="E384">
        <f t="shared" si="43"/>
        <v>10.745406834654387</v>
      </c>
      <c r="G384">
        <v>334</v>
      </c>
      <c r="H384" s="13">
        <f t="shared" si="48"/>
        <v>5.1608656820910426E-2</v>
      </c>
      <c r="I384">
        <f t="shared" si="49"/>
        <v>59.539886288271788</v>
      </c>
      <c r="J384">
        <f t="shared" si="44"/>
        <v>198.20934780552528</v>
      </c>
      <c r="K384" s="27">
        <f t="shared" si="45"/>
        <v>2027.828076444405</v>
      </c>
    </row>
    <row r="385" spans="1:11">
      <c r="A385" s="26">
        <v>335</v>
      </c>
      <c r="B385" s="82">
        <f t="shared" si="46"/>
        <v>3.2921237647087764E-4</v>
      </c>
      <c r="C385" s="58">
        <f t="shared" si="42"/>
        <v>42.41288105620545</v>
      </c>
      <c r="D385" s="83">
        <f t="shared" si="47"/>
        <v>180.66504774991557</v>
      </c>
      <c r="E385">
        <f t="shared" si="43"/>
        <v>10.745484576866899</v>
      </c>
      <c r="G385">
        <v>335</v>
      </c>
      <c r="H385" s="13">
        <f t="shared" si="48"/>
        <v>5.1608656820910426E-2</v>
      </c>
      <c r="I385">
        <f t="shared" si="49"/>
        <v>59.591494945092698</v>
      </c>
      <c r="J385">
        <f t="shared" si="44"/>
        <v>198.23687384254225</v>
      </c>
      <c r="K385" s="27">
        <f t="shared" si="45"/>
        <v>2028.3903238232526</v>
      </c>
    </row>
    <row r="386" spans="1:11">
      <c r="A386" s="26">
        <v>336</v>
      </c>
      <c r="B386" s="82">
        <f t="shared" si="46"/>
        <v>3.2921237647087764E-4</v>
      </c>
      <c r="C386" s="58">
        <f t="shared" si="42"/>
        <v>42.413210268581921</v>
      </c>
      <c r="D386" s="83">
        <f t="shared" si="47"/>
        <v>180.66570128192717</v>
      </c>
      <c r="E386">
        <f t="shared" si="43"/>
        <v>10.745562315873245</v>
      </c>
      <c r="G386">
        <v>336</v>
      </c>
      <c r="H386" s="13">
        <f t="shared" si="48"/>
        <v>5.1608656820910426E-2</v>
      </c>
      <c r="I386">
        <f t="shared" si="49"/>
        <v>59.643103601913609</v>
      </c>
      <c r="J386">
        <f t="shared" si="44"/>
        <v>198.2643044885661</v>
      </c>
      <c r="K386" s="27">
        <f t="shared" si="45"/>
        <v>2028.9506991296701</v>
      </c>
    </row>
    <row r="387" spans="1:11">
      <c r="A387" s="26">
        <v>337</v>
      </c>
      <c r="B387" s="82">
        <f t="shared" si="46"/>
        <v>3.2921237647087764E-4</v>
      </c>
      <c r="C387" s="58">
        <f t="shared" si="42"/>
        <v>42.413539480958391</v>
      </c>
      <c r="D387" s="83">
        <f t="shared" si="47"/>
        <v>180.66635478462339</v>
      </c>
      <c r="E387">
        <f t="shared" si="43"/>
        <v>10.74564005167376</v>
      </c>
      <c r="G387">
        <v>337</v>
      </c>
      <c r="H387" s="13">
        <f t="shared" si="48"/>
        <v>5.1608656820910426E-2</v>
      </c>
      <c r="I387">
        <f t="shared" si="49"/>
        <v>59.694712258734519</v>
      </c>
      <c r="J387">
        <f t="shared" si="44"/>
        <v>198.29163996230821</v>
      </c>
      <c r="K387" s="27">
        <f t="shared" si="45"/>
        <v>2029.5092060178761</v>
      </c>
    </row>
    <row r="388" spans="1:11">
      <c r="A388" s="26">
        <v>338</v>
      </c>
      <c r="B388" s="82">
        <f t="shared" si="46"/>
        <v>3.2921237647087764E-4</v>
      </c>
      <c r="C388" s="58">
        <f t="shared" si="42"/>
        <v>42.413868693334862</v>
      </c>
      <c r="D388" s="83">
        <f t="shared" si="47"/>
        <v>180.6670082580074</v>
      </c>
      <c r="E388">
        <f t="shared" si="43"/>
        <v>10.745717784268779</v>
      </c>
      <c r="G388">
        <v>338</v>
      </c>
      <c r="H388" s="13">
        <f t="shared" si="48"/>
        <v>5.1608656820910426E-2</v>
      </c>
      <c r="I388">
        <f t="shared" si="49"/>
        <v>59.74632091555543</v>
      </c>
      <c r="J388">
        <f t="shared" si="44"/>
        <v>198.31888048105645</v>
      </c>
      <c r="K388" s="27">
        <f t="shared" si="45"/>
        <v>2030.0658481183216</v>
      </c>
    </row>
    <row r="389" spans="1:11">
      <c r="A389" s="26">
        <v>339</v>
      </c>
      <c r="B389" s="82">
        <f t="shared" si="46"/>
        <v>3.2921237647087764E-4</v>
      </c>
      <c r="C389" s="58">
        <f t="shared" si="42"/>
        <v>42.414197905711333</v>
      </c>
      <c r="D389" s="83">
        <f t="shared" si="47"/>
        <v>180.66766170208234</v>
      </c>
      <c r="E389">
        <f t="shared" si="43"/>
        <v>10.745795513658642</v>
      </c>
      <c r="G389">
        <v>339</v>
      </c>
      <c r="H389" s="13">
        <f t="shared" si="48"/>
        <v>5.1608656820910426E-2</v>
      </c>
      <c r="I389">
        <f t="shared" si="49"/>
        <v>59.79792957237634</v>
      </c>
      <c r="J389">
        <f t="shared" si="44"/>
        <v>198.34602626068644</v>
      </c>
      <c r="K389" s="27">
        <f t="shared" si="45"/>
        <v>2030.6206290378771</v>
      </c>
    </row>
    <row r="390" spans="1:11">
      <c r="A390" s="26">
        <v>340</v>
      </c>
      <c r="B390" s="82">
        <f t="shared" si="46"/>
        <v>3.2921237647087764E-4</v>
      </c>
      <c r="C390" s="58">
        <f t="shared" si="42"/>
        <v>42.414527118087804</v>
      </c>
      <c r="D390" s="83">
        <f t="shared" si="47"/>
        <v>180.66831511685135</v>
      </c>
      <c r="E390">
        <f t="shared" si="43"/>
        <v>10.745873239843682</v>
      </c>
      <c r="G390">
        <v>340</v>
      </c>
      <c r="H390" s="13">
        <f t="shared" si="48"/>
        <v>5.1608656820910426E-2</v>
      </c>
      <c r="I390">
        <f t="shared" si="49"/>
        <v>59.84953822919725</v>
      </c>
      <c r="J390">
        <f t="shared" si="44"/>
        <v>198.37307751567249</v>
      </c>
      <c r="K390" s="27">
        <f t="shared" si="45"/>
        <v>2031.1735523600157</v>
      </c>
    </row>
    <row r="391" spans="1:11">
      <c r="A391" s="26">
        <v>341</v>
      </c>
      <c r="B391" s="82">
        <f t="shared" si="46"/>
        <v>3.2921237647087764E-4</v>
      </c>
      <c r="C391" s="58">
        <f t="shared" si="42"/>
        <v>42.414856330464275</v>
      </c>
      <c r="D391" s="83">
        <f t="shared" si="47"/>
        <v>180.66896850231757</v>
      </c>
      <c r="E391">
        <f t="shared" si="43"/>
        <v>10.745950962824237</v>
      </c>
      <c r="G391">
        <v>341</v>
      </c>
      <c r="H391" s="13">
        <f t="shared" si="48"/>
        <v>5.1608656820910426E-2</v>
      </c>
      <c r="I391">
        <f t="shared" si="49"/>
        <v>59.901146886018161</v>
      </c>
      <c r="J391">
        <f t="shared" si="44"/>
        <v>198.40003445909863</v>
      </c>
      <c r="K391" s="27">
        <f t="shared" si="45"/>
        <v>2031.7246216449958</v>
      </c>
    </row>
    <row r="392" spans="1:11">
      <c r="A392" s="26">
        <v>342</v>
      </c>
      <c r="B392" s="82">
        <f t="shared" si="46"/>
        <v>3.2921237647087764E-4</v>
      </c>
      <c r="C392" s="58">
        <f t="shared" si="42"/>
        <v>42.415185542840746</v>
      </c>
      <c r="D392" s="83">
        <f t="shared" si="47"/>
        <v>180.66962185848413</v>
      </c>
      <c r="E392">
        <f t="shared" si="43"/>
        <v>10.746028682600638</v>
      </c>
      <c r="G392">
        <v>342</v>
      </c>
      <c r="H392" s="13">
        <f t="shared" si="48"/>
        <v>5.1608656820910426E-2</v>
      </c>
      <c r="I392">
        <f t="shared" si="49"/>
        <v>59.952755542839071</v>
      </c>
      <c r="J392">
        <f t="shared" si="44"/>
        <v>198.42689730266923</v>
      </c>
      <c r="K392" s="27">
        <f t="shared" si="45"/>
        <v>2032.2738404300392</v>
      </c>
    </row>
    <row r="393" spans="1:11">
      <c r="A393" s="26">
        <v>343</v>
      </c>
      <c r="B393" s="82">
        <f t="shared" si="46"/>
        <v>3.2921237647087764E-4</v>
      </c>
      <c r="C393" s="58">
        <f t="shared" si="42"/>
        <v>42.415514755217217</v>
      </c>
      <c r="D393" s="83">
        <f t="shared" si="47"/>
        <v>180.67027518535423</v>
      </c>
      <c r="E393">
        <f t="shared" si="43"/>
        <v>10.746106399173229</v>
      </c>
      <c r="G393">
        <v>343</v>
      </c>
      <c r="H393" s="13">
        <f t="shared" si="48"/>
        <v>5.1608656820910426E-2</v>
      </c>
      <c r="I393">
        <f t="shared" si="49"/>
        <v>60.004364199659982</v>
      </c>
      <c r="J393">
        <f t="shared" si="44"/>
        <v>198.45366625671994</v>
      </c>
      <c r="K393" s="27">
        <f t="shared" si="45"/>
        <v>2032.8212122295126</v>
      </c>
    </row>
    <row r="394" spans="1:11">
      <c r="A394" s="26">
        <v>344</v>
      </c>
      <c r="B394" s="82">
        <f t="shared" si="46"/>
        <v>3.2921237647087764E-4</v>
      </c>
      <c r="C394" s="58">
        <f t="shared" si="42"/>
        <v>42.415843967593688</v>
      </c>
      <c r="D394" s="83">
        <f t="shared" si="47"/>
        <v>180.67092848293095</v>
      </c>
      <c r="E394">
        <f t="shared" si="43"/>
        <v>10.746184112542343</v>
      </c>
      <c r="G394">
        <v>344</v>
      </c>
      <c r="H394" s="13">
        <f t="shared" si="48"/>
        <v>5.1608656820910426E-2</v>
      </c>
      <c r="I394">
        <f t="shared" si="49"/>
        <v>60.055972856480892</v>
      </c>
      <c r="J394">
        <f t="shared" si="44"/>
        <v>198.48034153022803</v>
      </c>
      <c r="K394" s="27">
        <f t="shared" si="45"/>
        <v>2033.3667405351023</v>
      </c>
    </row>
    <row r="395" spans="1:11">
      <c r="A395" s="26">
        <v>345</v>
      </c>
      <c r="B395" s="82">
        <f t="shared" si="46"/>
        <v>3.2921237647087764E-4</v>
      </c>
      <c r="C395" s="58">
        <f t="shared" si="42"/>
        <v>42.416173179970158</v>
      </c>
      <c r="D395" s="83">
        <f t="shared" si="47"/>
        <v>180.67158175121747</v>
      </c>
      <c r="E395">
        <f t="shared" si="43"/>
        <v>10.746261822708313</v>
      </c>
      <c r="G395">
        <v>345</v>
      </c>
      <c r="H395" s="13">
        <f t="shared" si="48"/>
        <v>5.1608656820910426E-2</v>
      </c>
      <c r="I395">
        <f t="shared" si="49"/>
        <v>60.107581513301803</v>
      </c>
      <c r="J395">
        <f t="shared" si="44"/>
        <v>198.50692333082304</v>
      </c>
      <c r="K395" s="27">
        <f t="shared" si="45"/>
        <v>2033.9104288159872</v>
      </c>
    </row>
    <row r="396" spans="1:11">
      <c r="A396" s="26">
        <v>346</v>
      </c>
      <c r="B396" s="82">
        <f t="shared" si="46"/>
        <v>3.2921237647087764E-4</v>
      </c>
      <c r="C396" s="58">
        <f t="shared" si="42"/>
        <v>42.416502392346629</v>
      </c>
      <c r="D396" s="83">
        <f t="shared" si="47"/>
        <v>180.67223499021691</v>
      </c>
      <c r="E396">
        <f t="shared" si="43"/>
        <v>10.746339529671479</v>
      </c>
      <c r="G396">
        <v>346</v>
      </c>
      <c r="H396" s="13">
        <f t="shared" si="48"/>
        <v>5.1608656820910426E-2</v>
      </c>
      <c r="I396">
        <f t="shared" si="49"/>
        <v>60.159190170122713</v>
      </c>
      <c r="J396">
        <f t="shared" si="44"/>
        <v>198.53341186479696</v>
      </c>
      <c r="K396" s="27">
        <f t="shared" si="45"/>
        <v>2034.4522805190143</v>
      </c>
    </row>
    <row r="397" spans="1:11">
      <c r="A397" s="26">
        <v>347</v>
      </c>
      <c r="B397" s="82">
        <f t="shared" si="46"/>
        <v>3.2921237647087764E-4</v>
      </c>
      <c r="C397" s="58">
        <f t="shared" si="42"/>
        <v>42.4168316047231</v>
      </c>
      <c r="D397" s="83">
        <f t="shared" si="47"/>
        <v>180.67288819993243</v>
      </c>
      <c r="E397">
        <f t="shared" si="43"/>
        <v>10.746417233432174</v>
      </c>
      <c r="G397">
        <v>347</v>
      </c>
      <c r="H397" s="13">
        <f t="shared" si="48"/>
        <v>5.1608656820910426E-2</v>
      </c>
      <c r="I397">
        <f t="shared" si="49"/>
        <v>60.210798826943623</v>
      </c>
      <c r="J397">
        <f t="shared" si="44"/>
        <v>198.55980733711465</v>
      </c>
      <c r="K397" s="27">
        <f t="shared" si="45"/>
        <v>2034.9922990688667</v>
      </c>
    </row>
    <row r="398" spans="1:11">
      <c r="A398" s="26">
        <v>348</v>
      </c>
      <c r="B398" s="82">
        <f t="shared" si="46"/>
        <v>3.2921237647087764E-4</v>
      </c>
      <c r="C398" s="58">
        <f t="shared" si="42"/>
        <v>42.417160817099571</v>
      </c>
      <c r="D398" s="83">
        <f t="shared" si="47"/>
        <v>180.67354138036717</v>
      </c>
      <c r="E398">
        <f t="shared" si="43"/>
        <v>10.746494933990732</v>
      </c>
      <c r="G398">
        <v>348</v>
      </c>
      <c r="H398" s="13">
        <f t="shared" si="48"/>
        <v>5.1608656820910426E-2</v>
      </c>
      <c r="I398">
        <f t="shared" si="49"/>
        <v>60.262407483764534</v>
      </c>
      <c r="J398">
        <f t="shared" si="44"/>
        <v>198.58610995142379</v>
      </c>
      <c r="K398" s="27">
        <f t="shared" si="45"/>
        <v>2035.5304878682352</v>
      </c>
    </row>
    <row r="399" spans="1:11">
      <c r="A399" s="26">
        <v>349</v>
      </c>
      <c r="B399" s="82">
        <f t="shared" si="46"/>
        <v>3.2921237647087764E-4</v>
      </c>
      <c r="C399" s="58">
        <f t="shared" si="42"/>
        <v>42.417490029476042</v>
      </c>
      <c r="D399" s="83">
        <f t="shared" si="47"/>
        <v>180.67419453152422</v>
      </c>
      <c r="E399">
        <f t="shared" si="43"/>
        <v>10.746572631347496</v>
      </c>
      <c r="G399">
        <v>349</v>
      </c>
      <c r="H399" s="13">
        <f t="shared" si="48"/>
        <v>5.1608656820910426E-2</v>
      </c>
      <c r="I399">
        <f t="shared" si="49"/>
        <v>60.314016140585444</v>
      </c>
      <c r="J399">
        <f t="shared" si="44"/>
        <v>198.61231991006508</v>
      </c>
      <c r="K399" s="27">
        <f t="shared" si="45"/>
        <v>2036.0668502979831</v>
      </c>
    </row>
    <row r="400" spans="1:11">
      <c r="A400" s="26">
        <v>350</v>
      </c>
      <c r="B400" s="82">
        <f t="shared" si="46"/>
        <v>3.2921237647087764E-4</v>
      </c>
      <c r="C400" s="58">
        <f t="shared" ref="C400:C463" si="50">($C$37-$C$36)/2000+C399</f>
        <v>42.417819241852513</v>
      </c>
      <c r="D400" s="83">
        <f t="shared" si="47"/>
        <v>180.6748476534068</v>
      </c>
      <c r="E400">
        <f t="shared" si="43"/>
        <v>10.746650325502797</v>
      </c>
      <c r="G400">
        <v>350</v>
      </c>
      <c r="H400" s="13">
        <f t="shared" si="48"/>
        <v>5.1608656820910426E-2</v>
      </c>
      <c r="I400">
        <f t="shared" si="49"/>
        <v>60.365624797406355</v>
      </c>
      <c r="J400">
        <f t="shared" si="44"/>
        <v>198.63843741408203</v>
      </c>
      <c r="K400" s="27">
        <f t="shared" si="45"/>
        <v>2036.6013897173132</v>
      </c>
    </row>
    <row r="401" spans="1:11">
      <c r="A401" s="26">
        <v>351</v>
      </c>
      <c r="B401" s="82">
        <f t="shared" si="46"/>
        <v>3.2921237647087764E-4</v>
      </c>
      <c r="C401" s="58">
        <f t="shared" si="50"/>
        <v>42.418148454228984</v>
      </c>
      <c r="D401" s="83">
        <f t="shared" si="47"/>
        <v>180.675500746018</v>
      </c>
      <c r="E401">
        <f t="shared" si="43"/>
        <v>10.746728016456965</v>
      </c>
      <c r="G401">
        <v>351</v>
      </c>
      <c r="H401" s="13">
        <f t="shared" si="48"/>
        <v>5.1608656820910426E-2</v>
      </c>
      <c r="I401">
        <f t="shared" si="49"/>
        <v>60.417233454227265</v>
      </c>
      <c r="J401">
        <f t="shared" si="44"/>
        <v>198.66446266323092</v>
      </c>
      <c r="K401" s="27">
        <f t="shared" si="45"/>
        <v>2037.1341094639322</v>
      </c>
    </row>
    <row r="402" spans="1:11">
      <c r="A402" s="26">
        <v>352</v>
      </c>
      <c r="B402" s="82">
        <f t="shared" si="46"/>
        <v>3.2921237647087764E-4</v>
      </c>
      <c r="C402" s="58">
        <f t="shared" si="50"/>
        <v>42.418477666605455</v>
      </c>
      <c r="D402" s="83">
        <f t="shared" si="47"/>
        <v>180.67615380936095</v>
      </c>
      <c r="E402">
        <f t="shared" si="43"/>
        <v>10.746805704210345</v>
      </c>
      <c r="G402">
        <v>352</v>
      </c>
      <c r="H402" s="13">
        <f t="shared" si="48"/>
        <v>5.1608656820910426E-2</v>
      </c>
      <c r="I402">
        <f t="shared" si="49"/>
        <v>60.468842111048176</v>
      </c>
      <c r="J402">
        <f t="shared" si="44"/>
        <v>198.69039585599035</v>
      </c>
      <c r="K402" s="27">
        <f t="shared" si="45"/>
        <v>2037.6650128542094</v>
      </c>
    </row>
    <row r="403" spans="1:11">
      <c r="A403" s="26">
        <v>353</v>
      </c>
      <c r="B403" s="82">
        <f t="shared" si="46"/>
        <v>3.2921237647087764E-4</v>
      </c>
      <c r="C403" s="58">
        <f t="shared" si="50"/>
        <v>42.418806878981925</v>
      </c>
      <c r="D403" s="83">
        <f t="shared" si="47"/>
        <v>180.67680684343881</v>
      </c>
      <c r="E403">
        <f t="shared" si="43"/>
        <v>10.746883388763271</v>
      </c>
      <c r="G403">
        <v>353</v>
      </c>
      <c r="H403" s="13">
        <f t="shared" si="48"/>
        <v>5.1608656820910426E-2</v>
      </c>
      <c r="I403">
        <f t="shared" si="49"/>
        <v>60.520450767869086</v>
      </c>
      <c r="J403">
        <f t="shared" si="44"/>
        <v>198.7162371895709</v>
      </c>
      <c r="K403" s="27">
        <f t="shared" si="45"/>
        <v>2038.1941031833405</v>
      </c>
    </row>
    <row r="404" spans="1:11">
      <c r="A404" s="26">
        <v>354</v>
      </c>
      <c r="B404" s="82">
        <f t="shared" si="46"/>
        <v>3.2921237647087764E-4</v>
      </c>
      <c r="C404" s="58">
        <f t="shared" si="50"/>
        <v>42.419136091358396</v>
      </c>
      <c r="D404" s="83">
        <f t="shared" si="47"/>
        <v>180.67745984825473</v>
      </c>
      <c r="E404">
        <f t="shared" si="43"/>
        <v>10.746961070116074</v>
      </c>
      <c r="G404">
        <v>354</v>
      </c>
      <c r="H404" s="13">
        <f t="shared" si="48"/>
        <v>5.1608656820910426E-2</v>
      </c>
      <c r="I404">
        <f t="shared" si="49"/>
        <v>60.572059424689996</v>
      </c>
      <c r="J404">
        <f t="shared" si="44"/>
        <v>198.74198685992482</v>
      </c>
      <c r="K404" s="27">
        <f t="shared" si="45"/>
        <v>2038.7213837255058</v>
      </c>
    </row>
    <row r="405" spans="1:11">
      <c r="A405" s="26">
        <v>355</v>
      </c>
      <c r="B405" s="82">
        <f t="shared" si="46"/>
        <v>3.2921237647087764E-4</v>
      </c>
      <c r="C405" s="58">
        <f t="shared" si="50"/>
        <v>42.419465303734867</v>
      </c>
      <c r="D405" s="83">
        <f t="shared" si="47"/>
        <v>180.6781128238118</v>
      </c>
      <c r="E405">
        <f t="shared" si="43"/>
        <v>10.747038748269089</v>
      </c>
      <c r="G405">
        <v>355</v>
      </c>
      <c r="H405" s="13">
        <f t="shared" si="48"/>
        <v>5.1608656820910426E-2</v>
      </c>
      <c r="I405">
        <f t="shared" si="49"/>
        <v>60.623668081510907</v>
      </c>
      <c r="J405">
        <f t="shared" si="44"/>
        <v>198.76764506175516</v>
      </c>
      <c r="K405" s="27">
        <f t="shared" si="45"/>
        <v>2039.2468577340251</v>
      </c>
    </row>
    <row r="406" spans="1:11">
      <c r="A406" s="26">
        <v>356</v>
      </c>
      <c r="B406" s="82">
        <f t="shared" si="46"/>
        <v>3.2921237647087764E-4</v>
      </c>
      <c r="C406" s="58">
        <f t="shared" si="50"/>
        <v>42.419794516111338</v>
      </c>
      <c r="D406" s="83">
        <f t="shared" si="47"/>
        <v>180.67876577011319</v>
      </c>
      <c r="E406">
        <f t="shared" si="43"/>
        <v>10.747116423222655</v>
      </c>
      <c r="G406">
        <v>356</v>
      </c>
      <c r="H406" s="13">
        <f t="shared" si="48"/>
        <v>5.1608656820910426E-2</v>
      </c>
      <c r="I406">
        <f t="shared" si="49"/>
        <v>60.675276738331817</v>
      </c>
      <c r="J406">
        <f t="shared" si="44"/>
        <v>198.79321198852534</v>
      </c>
      <c r="K406" s="27">
        <f t="shared" si="45"/>
        <v>2039.7705284415149</v>
      </c>
    </row>
    <row r="407" spans="1:11">
      <c r="A407" s="26">
        <v>357</v>
      </c>
      <c r="B407" s="82">
        <f t="shared" si="46"/>
        <v>3.2921237647087764E-4</v>
      </c>
      <c r="C407" s="58">
        <f t="shared" si="50"/>
        <v>42.420123728487809</v>
      </c>
      <c r="D407" s="83">
        <f t="shared" si="47"/>
        <v>180.67941868716204</v>
      </c>
      <c r="E407">
        <f t="shared" si="43"/>
        <v>10.747194094977109</v>
      </c>
      <c r="G407">
        <v>357</v>
      </c>
      <c r="H407" s="13">
        <f t="shared" si="48"/>
        <v>5.1608656820910426E-2</v>
      </c>
      <c r="I407">
        <f t="shared" si="49"/>
        <v>60.726885395152728</v>
      </c>
      <c r="J407">
        <f t="shared" si="44"/>
        <v>198.81868783246819</v>
      </c>
      <c r="K407" s="27">
        <f t="shared" si="45"/>
        <v>2040.2923990600409</v>
      </c>
    </row>
    <row r="408" spans="1:11">
      <c r="A408" s="26">
        <v>358</v>
      </c>
      <c r="B408" s="82">
        <f t="shared" si="46"/>
        <v>3.2921237647087764E-4</v>
      </c>
      <c r="C408" s="58">
        <f t="shared" si="50"/>
        <v>42.42045294086428</v>
      </c>
      <c r="D408" s="83">
        <f t="shared" si="47"/>
        <v>180.68007157496146</v>
      </c>
      <c r="E408">
        <f t="shared" si="43"/>
        <v>10.74727176353278</v>
      </c>
      <c r="G408">
        <v>358</v>
      </c>
      <c r="H408" s="13">
        <f t="shared" si="48"/>
        <v>5.1608656820910426E-2</v>
      </c>
      <c r="I408">
        <f t="shared" si="49"/>
        <v>60.778494051973638</v>
      </c>
      <c r="J408">
        <f t="shared" si="44"/>
        <v>198.8440727845952</v>
      </c>
      <c r="K408" s="27">
        <f t="shared" si="45"/>
        <v>2040.8124727812719</v>
      </c>
    </row>
    <row r="409" spans="1:11">
      <c r="A409" s="26">
        <v>359</v>
      </c>
      <c r="B409" s="82">
        <f t="shared" si="46"/>
        <v>3.2921237647087764E-4</v>
      </c>
      <c r="C409" s="58">
        <f t="shared" si="50"/>
        <v>42.420782153240751</v>
      </c>
      <c r="D409" s="83">
        <f t="shared" si="47"/>
        <v>180.6807244335146</v>
      </c>
      <c r="E409">
        <f t="shared" si="43"/>
        <v>10.747349428890004</v>
      </c>
      <c r="G409">
        <v>359</v>
      </c>
      <c r="H409" s="13">
        <f t="shared" si="48"/>
        <v>5.1608656820910426E-2</v>
      </c>
      <c r="I409">
        <f t="shared" si="49"/>
        <v>60.830102708794549</v>
      </c>
      <c r="J409">
        <f t="shared" si="44"/>
        <v>198.86936703470542</v>
      </c>
      <c r="K409" s="27">
        <f t="shared" si="45"/>
        <v>2041.3307527766292</v>
      </c>
    </row>
    <row r="410" spans="1:11">
      <c r="A410" s="26">
        <v>360</v>
      </c>
      <c r="B410" s="82">
        <f t="shared" si="46"/>
        <v>3.2921237647087764E-4</v>
      </c>
      <c r="C410" s="58">
        <f t="shared" si="50"/>
        <v>42.421111365617222</v>
      </c>
      <c r="D410" s="83">
        <f t="shared" si="47"/>
        <v>180.68137726282458</v>
      </c>
      <c r="E410">
        <f t="shared" si="43"/>
        <v>10.74742709104912</v>
      </c>
      <c r="G410">
        <v>360</v>
      </c>
      <c r="H410" s="13">
        <f t="shared" si="48"/>
        <v>5.1608656820910426E-2</v>
      </c>
      <c r="I410">
        <f t="shared" si="49"/>
        <v>60.881711365615459</v>
      </c>
      <c r="J410">
        <f t="shared" si="44"/>
        <v>198.89457077139457</v>
      </c>
      <c r="K410" s="27">
        <f t="shared" si="45"/>
        <v>2041.8472421974357</v>
      </c>
    </row>
    <row r="411" spans="1:11">
      <c r="A411" s="26">
        <v>361</v>
      </c>
      <c r="B411" s="82">
        <f t="shared" si="46"/>
        <v>3.2921237647087764E-4</v>
      </c>
      <c r="C411" s="58">
        <f t="shared" si="50"/>
        <v>42.421440577993693</v>
      </c>
      <c r="D411" s="83">
        <f t="shared" si="47"/>
        <v>180.68203006289454</v>
      </c>
      <c r="E411">
        <f t="shared" si="43"/>
        <v>10.747504750010462</v>
      </c>
      <c r="G411">
        <v>361</v>
      </c>
      <c r="H411" s="13">
        <f t="shared" si="48"/>
        <v>5.1608656820910426E-2</v>
      </c>
      <c r="I411">
        <f t="shared" si="49"/>
        <v>60.933320022436369</v>
      </c>
      <c r="J411">
        <f t="shared" si="44"/>
        <v>198.91968418206378</v>
      </c>
      <c r="K411" s="27">
        <f t="shared" si="45"/>
        <v>2042.3619441750634</v>
      </c>
    </row>
    <row r="412" spans="1:11">
      <c r="A412" s="26">
        <v>362</v>
      </c>
      <c r="B412" s="82">
        <f t="shared" si="46"/>
        <v>3.2921237647087764E-4</v>
      </c>
      <c r="C412" s="58">
        <f t="shared" si="50"/>
        <v>42.421769790370163</v>
      </c>
      <c r="D412" s="83">
        <f t="shared" si="47"/>
        <v>180.68268283372763</v>
      </c>
      <c r="E412">
        <f t="shared" si="43"/>
        <v>10.747582405774361</v>
      </c>
      <c r="G412">
        <v>362</v>
      </c>
      <c r="H412" s="13">
        <f t="shared" si="48"/>
        <v>5.1608656820910426E-2</v>
      </c>
      <c r="I412">
        <f t="shared" si="49"/>
        <v>60.98492867925728</v>
      </c>
      <c r="J412">
        <f t="shared" si="44"/>
        <v>198.9447074529283</v>
      </c>
      <c r="K412" s="27">
        <f t="shared" si="45"/>
        <v>2042.8748618210802</v>
      </c>
    </row>
    <row r="413" spans="1:11">
      <c r="A413" s="26">
        <v>363</v>
      </c>
      <c r="B413" s="82">
        <f t="shared" si="46"/>
        <v>3.2921237647087764E-4</v>
      </c>
      <c r="C413" s="58">
        <f t="shared" si="50"/>
        <v>42.422099002746634</v>
      </c>
      <c r="D413" s="83">
        <f t="shared" si="47"/>
        <v>180.68333557532694</v>
      </c>
      <c r="E413">
        <f t="shared" si="43"/>
        <v>10.747660058341156</v>
      </c>
      <c r="G413">
        <v>363</v>
      </c>
      <c r="H413" s="13">
        <f t="shared" si="48"/>
        <v>5.1608656820910426E-2</v>
      </c>
      <c r="I413">
        <f t="shared" si="49"/>
        <v>61.03653733607819</v>
      </c>
      <c r="J413">
        <f t="shared" si="44"/>
        <v>198.96964076902626</v>
      </c>
      <c r="K413" s="27">
        <f t="shared" si="45"/>
        <v>2043.3859982273934</v>
      </c>
    </row>
    <row r="414" spans="1:11">
      <c r="A414" s="26">
        <v>364</v>
      </c>
      <c r="B414" s="82">
        <f t="shared" si="46"/>
        <v>3.2921237647087764E-4</v>
      </c>
      <c r="C414" s="58">
        <f t="shared" si="50"/>
        <v>42.422428215123105</v>
      </c>
      <c r="D414" s="83">
        <f t="shared" si="47"/>
        <v>180.68398828769566</v>
      </c>
      <c r="E414">
        <f t="shared" si="43"/>
        <v>10.747737707711181</v>
      </c>
      <c r="G414">
        <v>364</v>
      </c>
      <c r="H414" s="13">
        <f t="shared" si="48"/>
        <v>5.1608656820910426E-2</v>
      </c>
      <c r="I414">
        <f t="shared" si="49"/>
        <v>61.088145992899101</v>
      </c>
      <c r="J414">
        <f t="shared" si="44"/>
        <v>198.99448431422726</v>
      </c>
      <c r="K414" s="27">
        <f t="shared" si="45"/>
        <v>2043.8953564663943</v>
      </c>
    </row>
    <row r="415" spans="1:11">
      <c r="A415" s="26">
        <v>365</v>
      </c>
      <c r="B415" s="82">
        <f t="shared" si="46"/>
        <v>3.2921237647087764E-4</v>
      </c>
      <c r="C415" s="58">
        <f t="shared" si="50"/>
        <v>42.422757427499576</v>
      </c>
      <c r="D415" s="83">
        <f t="shared" si="47"/>
        <v>180.68464097083685</v>
      </c>
      <c r="E415">
        <f t="shared" si="43"/>
        <v>10.74781535388477</v>
      </c>
      <c r="G415">
        <v>365</v>
      </c>
      <c r="H415" s="13">
        <f t="shared" si="48"/>
        <v>5.1608656820910426E-2</v>
      </c>
      <c r="I415">
        <f t="shared" si="49"/>
        <v>61.139754649720011</v>
      </c>
      <c r="J415">
        <f t="shared" si="44"/>
        <v>199.01923827124079</v>
      </c>
      <c r="K415" s="27">
        <f t="shared" si="45"/>
        <v>2044.4029395910968</v>
      </c>
    </row>
    <row r="416" spans="1:11">
      <c r="A416" s="26">
        <v>366</v>
      </c>
      <c r="B416" s="82">
        <f t="shared" si="46"/>
        <v>3.2921237647087764E-4</v>
      </c>
      <c r="C416" s="58">
        <f t="shared" si="50"/>
        <v>42.423086639876047</v>
      </c>
      <c r="D416" s="83">
        <f t="shared" si="47"/>
        <v>180.68529362475371</v>
      </c>
      <c r="E416">
        <f t="shared" si="43"/>
        <v>10.747892996862257</v>
      </c>
      <c r="G416">
        <v>366</v>
      </c>
      <c r="H416" s="13">
        <f t="shared" si="48"/>
        <v>5.1608656820910426E-2</v>
      </c>
      <c r="I416">
        <f t="shared" si="49"/>
        <v>61.191363306540921</v>
      </c>
      <c r="J416">
        <f t="shared" si="44"/>
        <v>199.04390282162461</v>
      </c>
      <c r="K416" s="27">
        <f t="shared" si="45"/>
        <v>2044.9087506352807</v>
      </c>
    </row>
    <row r="417" spans="1:11">
      <c r="A417" s="26">
        <v>367</v>
      </c>
      <c r="B417" s="82">
        <f t="shared" si="46"/>
        <v>3.2921237647087764E-4</v>
      </c>
      <c r="C417" s="58">
        <f t="shared" si="50"/>
        <v>42.423415852252518</v>
      </c>
      <c r="D417" s="83">
        <f t="shared" si="47"/>
        <v>180.6859462494493</v>
      </c>
      <c r="E417">
        <f t="shared" si="43"/>
        <v>10.747970636643977</v>
      </c>
      <c r="G417">
        <v>367</v>
      </c>
      <c r="H417" s="13">
        <f t="shared" si="48"/>
        <v>5.1608656820910426E-2</v>
      </c>
      <c r="I417">
        <f t="shared" si="49"/>
        <v>61.242971963361832</v>
      </c>
      <c r="J417">
        <f t="shared" si="44"/>
        <v>199.06847814579319</v>
      </c>
      <c r="K417" s="27">
        <f t="shared" si="45"/>
        <v>2045.41279261363</v>
      </c>
    </row>
    <row r="418" spans="1:11">
      <c r="A418" s="26">
        <v>368</v>
      </c>
      <c r="B418" s="82">
        <f t="shared" si="46"/>
        <v>3.2921237647087764E-4</v>
      </c>
      <c r="C418" s="58">
        <f t="shared" si="50"/>
        <v>42.423745064628989</v>
      </c>
      <c r="D418" s="83">
        <f t="shared" si="47"/>
        <v>180.68659884492681</v>
      </c>
      <c r="E418">
        <f t="shared" si="43"/>
        <v>10.748048273230268</v>
      </c>
      <c r="G418">
        <v>368</v>
      </c>
      <c r="H418" s="13">
        <f t="shared" si="48"/>
        <v>5.1608656820910426E-2</v>
      </c>
      <c r="I418">
        <f t="shared" si="49"/>
        <v>61.294580620182742</v>
      </c>
      <c r="J418">
        <f t="shared" si="44"/>
        <v>199.09296442302585</v>
      </c>
      <c r="K418" s="27">
        <f t="shared" si="45"/>
        <v>2045.9150685218676</v>
      </c>
    </row>
    <row r="419" spans="1:11">
      <c r="A419" s="26">
        <v>369</v>
      </c>
      <c r="B419" s="82">
        <f t="shared" si="46"/>
        <v>3.2921237647087764E-4</v>
      </c>
      <c r="C419" s="58">
        <f t="shared" si="50"/>
        <v>42.42407427700546</v>
      </c>
      <c r="D419" s="83">
        <f t="shared" si="47"/>
        <v>180.68725141118935</v>
      </c>
      <c r="E419">
        <f t="shared" si="43"/>
        <v>10.748125906621461</v>
      </c>
      <c r="G419">
        <v>369</v>
      </c>
      <c r="H419" s="13">
        <f t="shared" si="48"/>
        <v>5.1608656820910426E-2</v>
      </c>
      <c r="I419">
        <f t="shared" si="49"/>
        <v>61.346189277003653</v>
      </c>
      <c r="J419">
        <f t="shared" si="44"/>
        <v>199.11736183147491</v>
      </c>
      <c r="K419" s="27">
        <f t="shared" si="45"/>
        <v>2046.4155813368952</v>
      </c>
    </row>
    <row r="420" spans="1:11">
      <c r="A420" s="26">
        <v>370</v>
      </c>
      <c r="B420" s="82">
        <f t="shared" si="46"/>
        <v>3.2921237647087764E-4</v>
      </c>
      <c r="C420" s="58">
        <f t="shared" si="50"/>
        <v>42.42440348938193</v>
      </c>
      <c r="D420" s="83">
        <f t="shared" si="47"/>
        <v>180.68790394824003</v>
      </c>
      <c r="E420">
        <f t="shared" si="43"/>
        <v>10.748203536817888</v>
      </c>
      <c r="G420">
        <v>370</v>
      </c>
      <c r="H420" s="13">
        <f t="shared" si="48"/>
        <v>5.1608656820910426E-2</v>
      </c>
      <c r="I420">
        <f t="shared" si="49"/>
        <v>61.397797933824563</v>
      </c>
      <c r="J420">
        <f t="shared" si="44"/>
        <v>199.14167054817381</v>
      </c>
      <c r="K420" s="27">
        <f t="shared" si="45"/>
        <v>2046.9143340169232</v>
      </c>
    </row>
    <row r="421" spans="1:11">
      <c r="A421" s="26">
        <v>371</v>
      </c>
      <c r="B421" s="82">
        <f t="shared" si="46"/>
        <v>3.2921237647087764E-4</v>
      </c>
      <c r="C421" s="58">
        <f t="shared" si="50"/>
        <v>42.424732701758401</v>
      </c>
      <c r="D421" s="83">
        <f t="shared" si="47"/>
        <v>180.68855645608198</v>
      </c>
      <c r="E421">
        <f t="shared" si="43"/>
        <v>10.748281163819883</v>
      </c>
      <c r="G421">
        <v>371</v>
      </c>
      <c r="H421" s="13">
        <f t="shared" si="48"/>
        <v>5.1608656820910426E-2</v>
      </c>
      <c r="I421">
        <f t="shared" si="49"/>
        <v>61.449406590645474</v>
      </c>
      <c r="J421">
        <f t="shared" si="44"/>
        <v>199.16589074904505</v>
      </c>
      <c r="K421" s="27">
        <f t="shared" si="45"/>
        <v>2047.4113295016093</v>
      </c>
    </row>
    <row r="422" spans="1:11">
      <c r="A422" s="26">
        <v>372</v>
      </c>
      <c r="B422" s="82">
        <f t="shared" si="46"/>
        <v>3.2921237647087764E-4</v>
      </c>
      <c r="C422" s="58">
        <f t="shared" si="50"/>
        <v>42.425061914134872</v>
      </c>
      <c r="D422" s="83">
        <f t="shared" si="47"/>
        <v>180.68920893471832</v>
      </c>
      <c r="E422">
        <f t="shared" si="43"/>
        <v>10.748358787627787</v>
      </c>
      <c r="G422">
        <v>372</v>
      </c>
      <c r="H422" s="13">
        <f t="shared" si="48"/>
        <v>5.1608656820910426E-2</v>
      </c>
      <c r="I422">
        <f t="shared" si="49"/>
        <v>61.501015247466384</v>
      </c>
      <c r="J422">
        <f t="shared" si="44"/>
        <v>199.19002260890815</v>
      </c>
      <c r="K422" s="27">
        <f t="shared" si="45"/>
        <v>2047.9065707121845</v>
      </c>
    </row>
    <row r="423" spans="1:11">
      <c r="A423" s="26">
        <v>373</v>
      </c>
      <c r="B423" s="82">
        <f t="shared" si="46"/>
        <v>3.2921237647087764E-4</v>
      </c>
      <c r="C423" s="58">
        <f t="shared" si="50"/>
        <v>42.425391126511343</v>
      </c>
      <c r="D423" s="83">
        <f t="shared" si="47"/>
        <v>180.68986138415221</v>
      </c>
      <c r="E423">
        <f t="shared" si="43"/>
        <v>10.748436408241929</v>
      </c>
      <c r="G423">
        <v>373</v>
      </c>
      <c r="H423" s="13">
        <f t="shared" si="48"/>
        <v>5.1608656820910426E-2</v>
      </c>
      <c r="I423">
        <f t="shared" si="49"/>
        <v>61.552623904287294</v>
      </c>
      <c r="J423">
        <f t="shared" si="44"/>
        <v>199.21406630148741</v>
      </c>
      <c r="K423" s="27">
        <f t="shared" si="45"/>
        <v>2048.4000605515903</v>
      </c>
    </row>
    <row r="424" spans="1:11">
      <c r="A424" s="26">
        <v>374</v>
      </c>
      <c r="B424" s="82">
        <f t="shared" si="46"/>
        <v>3.2921237647087764E-4</v>
      </c>
      <c r="C424" s="58">
        <f t="shared" si="50"/>
        <v>42.425720338887814</v>
      </c>
      <c r="D424" s="83">
        <f t="shared" si="47"/>
        <v>180.69051380438674</v>
      </c>
      <c r="E424">
        <f t="shared" si="43"/>
        <v>10.748514025662645</v>
      </c>
      <c r="G424">
        <v>374</v>
      </c>
      <c r="H424" s="13">
        <f t="shared" si="48"/>
        <v>5.1608656820910426E-2</v>
      </c>
      <c r="I424">
        <f t="shared" si="49"/>
        <v>61.604232561108205</v>
      </c>
      <c r="J424">
        <f t="shared" si="44"/>
        <v>199.23802199941974</v>
      </c>
      <c r="K424" s="27">
        <f t="shared" si="45"/>
        <v>2048.8918019046009</v>
      </c>
    </row>
    <row r="425" spans="1:11">
      <c r="A425" s="26">
        <v>375</v>
      </c>
      <c r="B425" s="82">
        <f t="shared" si="46"/>
        <v>3.2921237647087764E-4</v>
      </c>
      <c r="C425" s="58">
        <f t="shared" si="50"/>
        <v>42.426049551264285</v>
      </c>
      <c r="D425" s="83">
        <f t="shared" si="47"/>
        <v>180.69116619542507</v>
      </c>
      <c r="E425">
        <f t="shared" si="43"/>
        <v>10.74859163989027</v>
      </c>
      <c r="G425">
        <v>375</v>
      </c>
      <c r="H425" s="13">
        <f t="shared" si="48"/>
        <v>5.1608656820910426E-2</v>
      </c>
      <c r="I425">
        <f t="shared" si="49"/>
        <v>61.655841217929115</v>
      </c>
      <c r="J425">
        <f t="shared" si="44"/>
        <v>199.26188987426221</v>
      </c>
      <c r="K425" s="27">
        <f t="shared" si="45"/>
        <v>2049.3817976379569</v>
      </c>
    </row>
    <row r="426" spans="1:11">
      <c r="A426" s="26">
        <v>376</v>
      </c>
      <c r="B426" s="82">
        <f t="shared" si="46"/>
        <v>3.2921237647087764E-4</v>
      </c>
      <c r="C426" s="58">
        <f t="shared" si="50"/>
        <v>42.426378763640756</v>
      </c>
      <c r="D426" s="83">
        <f t="shared" si="47"/>
        <v>180.69181855727027</v>
      </c>
      <c r="E426">
        <f t="shared" si="43"/>
        <v>10.748669250925133</v>
      </c>
      <c r="G426">
        <v>376</v>
      </c>
      <c r="H426" s="13">
        <f t="shared" si="48"/>
        <v>5.1608656820910426E-2</v>
      </c>
      <c r="I426">
        <f t="shared" si="49"/>
        <v>61.707449874750026</v>
      </c>
      <c r="J426">
        <f t="shared" si="44"/>
        <v>199.28567009649981</v>
      </c>
      <c r="K426" s="27">
        <f t="shared" si="45"/>
        <v>2049.8700506004893</v>
      </c>
    </row>
    <row r="427" spans="1:11">
      <c r="A427" s="26">
        <v>377</v>
      </c>
      <c r="B427" s="82">
        <f t="shared" si="46"/>
        <v>3.2921237647087764E-4</v>
      </c>
      <c r="C427" s="58">
        <f t="shared" si="50"/>
        <v>42.426707976017227</v>
      </c>
      <c r="D427" s="83">
        <f t="shared" si="47"/>
        <v>180.69247088992552</v>
      </c>
      <c r="E427">
        <f t="shared" si="43"/>
        <v>10.748746858767573</v>
      </c>
      <c r="G427">
        <v>377</v>
      </c>
      <c r="H427" s="13">
        <f t="shared" si="48"/>
        <v>5.1608656820910426E-2</v>
      </c>
      <c r="I427">
        <f t="shared" si="49"/>
        <v>61.759058531570936</v>
      </c>
      <c r="J427">
        <f t="shared" si="44"/>
        <v>199.30936283555283</v>
      </c>
      <c r="K427" s="27">
        <f t="shared" si="45"/>
        <v>2050.3565636232438</v>
      </c>
    </row>
    <row r="428" spans="1:11">
      <c r="A428" s="26">
        <v>378</v>
      </c>
      <c r="B428" s="82">
        <f t="shared" si="46"/>
        <v>3.2921237647087764E-4</v>
      </c>
      <c r="C428" s="58">
        <f t="shared" si="50"/>
        <v>42.427037188393697</v>
      </c>
      <c r="D428" s="83">
        <f t="shared" si="47"/>
        <v>180.69312319339389</v>
      </c>
      <c r="E428">
        <f t="shared" si="43"/>
        <v>10.748824463417924</v>
      </c>
      <c r="G428">
        <v>378</v>
      </c>
      <c r="H428" s="13">
        <f t="shared" si="48"/>
        <v>5.1608656820910426E-2</v>
      </c>
      <c r="I428">
        <f t="shared" si="49"/>
        <v>61.810667188391847</v>
      </c>
      <c r="J428">
        <f t="shared" si="44"/>
        <v>199.33296825978437</v>
      </c>
      <c r="K428" s="27">
        <f t="shared" si="45"/>
        <v>2050.8413395196089</v>
      </c>
    </row>
    <row r="429" spans="1:11">
      <c r="A429" s="26">
        <v>379</v>
      </c>
      <c r="B429" s="82">
        <f t="shared" si="46"/>
        <v>3.2921237647087764E-4</v>
      </c>
      <c r="C429" s="58">
        <f t="shared" si="50"/>
        <v>42.427366400770168</v>
      </c>
      <c r="D429" s="83">
        <f t="shared" si="47"/>
        <v>180.69377546767856</v>
      </c>
      <c r="E429">
        <f t="shared" si="43"/>
        <v>10.748902064876518</v>
      </c>
      <c r="G429">
        <v>379</v>
      </c>
      <c r="H429" s="13">
        <f t="shared" si="48"/>
        <v>5.1608656820910426E-2</v>
      </c>
      <c r="I429">
        <f t="shared" si="49"/>
        <v>61.862275845212757</v>
      </c>
      <c r="J429">
        <f t="shared" si="44"/>
        <v>199.35648653650765</v>
      </c>
      <c r="K429" s="27">
        <f t="shared" si="45"/>
        <v>2051.3243810854347</v>
      </c>
    </row>
    <row r="430" spans="1:11">
      <c r="A430" s="26">
        <v>380</v>
      </c>
      <c r="B430" s="82">
        <f t="shared" si="46"/>
        <v>3.2921237647087764E-4</v>
      </c>
      <c r="C430" s="58">
        <f t="shared" si="50"/>
        <v>42.427695613146639</v>
      </c>
      <c r="D430" s="83">
        <f t="shared" si="47"/>
        <v>180.69442771278261</v>
      </c>
      <c r="E430">
        <f t="shared" si="43"/>
        <v>10.748979663143688</v>
      </c>
      <c r="G430">
        <v>380</v>
      </c>
      <c r="H430" s="13">
        <f t="shared" si="48"/>
        <v>5.1608656820910426E-2</v>
      </c>
      <c r="I430">
        <f t="shared" si="49"/>
        <v>61.913884502033667</v>
      </c>
      <c r="J430">
        <f t="shared" si="44"/>
        <v>199.37991783199342</v>
      </c>
      <c r="K430" s="27">
        <f t="shared" si="45"/>
        <v>2051.8056910991563</v>
      </c>
    </row>
    <row r="431" spans="1:11">
      <c r="A431" s="26">
        <v>381</v>
      </c>
      <c r="B431" s="82">
        <f t="shared" si="46"/>
        <v>3.2921237647087764E-4</v>
      </c>
      <c r="C431" s="58">
        <f t="shared" si="50"/>
        <v>42.42802482552311</v>
      </c>
      <c r="D431" s="83">
        <f t="shared" si="47"/>
        <v>180.69507992870919</v>
      </c>
      <c r="E431">
        <f t="shared" si="43"/>
        <v>10.749057258219766</v>
      </c>
      <c r="G431">
        <v>381</v>
      </c>
      <c r="H431" s="13">
        <f t="shared" si="48"/>
        <v>5.1608656820910426E-2</v>
      </c>
      <c r="I431">
        <f t="shared" si="49"/>
        <v>61.965493158854578</v>
      </c>
      <c r="J431">
        <f t="shared" si="44"/>
        <v>199.40326231147711</v>
      </c>
      <c r="K431" s="27">
        <f t="shared" si="45"/>
        <v>2052.2852723219153</v>
      </c>
    </row>
    <row r="432" spans="1:11">
      <c r="A432" s="26">
        <v>382</v>
      </c>
      <c r="B432" s="82">
        <f t="shared" si="46"/>
        <v>3.2921237647087764E-4</v>
      </c>
      <c r="C432" s="58">
        <f t="shared" si="50"/>
        <v>42.428354037899581</v>
      </c>
      <c r="D432" s="83">
        <f t="shared" si="47"/>
        <v>180.69573211546137</v>
      </c>
      <c r="E432">
        <f t="shared" si="43"/>
        <v>10.749134850105094</v>
      </c>
      <c r="G432">
        <v>382</v>
      </c>
      <c r="H432" s="13">
        <f t="shared" si="48"/>
        <v>5.1608656820910426E-2</v>
      </c>
      <c r="I432">
        <f t="shared" si="49"/>
        <v>62.017101815675488</v>
      </c>
      <c r="J432">
        <f t="shared" si="44"/>
        <v>199.42652013916594</v>
      </c>
      <c r="K432" s="27">
        <f t="shared" si="45"/>
        <v>2052.7631274976775</v>
      </c>
    </row>
    <row r="433" spans="1:11">
      <c r="A433" s="26">
        <v>383</v>
      </c>
      <c r="B433" s="82">
        <f t="shared" si="46"/>
        <v>3.2921237647087764E-4</v>
      </c>
      <c r="C433" s="58">
        <f t="shared" si="50"/>
        <v>42.428683250276052</v>
      </c>
      <c r="D433" s="83">
        <f t="shared" si="47"/>
        <v>180.69638427304233</v>
      </c>
      <c r="E433">
        <f t="shared" si="43"/>
        <v>10.749212438799994</v>
      </c>
      <c r="G433">
        <v>383</v>
      </c>
      <c r="H433" s="13">
        <f t="shared" si="48"/>
        <v>5.1608656820910426E-2</v>
      </c>
      <c r="I433">
        <f t="shared" si="49"/>
        <v>62.068710472496399</v>
      </c>
      <c r="J433">
        <f t="shared" si="44"/>
        <v>199.44969147824611</v>
      </c>
      <c r="K433" s="27">
        <f t="shared" si="45"/>
        <v>2053.2392593533523</v>
      </c>
    </row>
    <row r="434" spans="1:11">
      <c r="A434" s="26">
        <v>384</v>
      </c>
      <c r="B434" s="82">
        <f t="shared" si="46"/>
        <v>3.2921237647087764E-4</v>
      </c>
      <c r="C434" s="58">
        <f t="shared" si="50"/>
        <v>42.429012462652523</v>
      </c>
      <c r="D434" s="83">
        <f t="shared" si="47"/>
        <v>180.69703640145514</v>
      </c>
      <c r="E434">
        <f t="shared" si="43"/>
        <v>10.749290024304807</v>
      </c>
      <c r="G434">
        <v>384</v>
      </c>
      <c r="H434" s="13">
        <f t="shared" si="48"/>
        <v>5.1608656820910426E-2</v>
      </c>
      <c r="I434">
        <f t="shared" si="49"/>
        <v>62.120319129317309</v>
      </c>
      <c r="J434">
        <f t="shared" si="44"/>
        <v>199.47277649088974</v>
      </c>
      <c r="K434" s="27">
        <f t="shared" si="45"/>
        <v>2053.7136705989083</v>
      </c>
    </row>
    <row r="435" spans="1:11">
      <c r="A435" s="26">
        <v>385</v>
      </c>
      <c r="B435" s="82">
        <f t="shared" si="46"/>
        <v>3.2921237647087764E-4</v>
      </c>
      <c r="C435" s="58">
        <f t="shared" si="50"/>
        <v>42.429341675028994</v>
      </c>
      <c r="D435" s="83">
        <f t="shared" si="47"/>
        <v>180.69768850070295</v>
      </c>
      <c r="E435">
        <f t="shared" ref="E435:E498" si="51">((D435^2)+(D435*D436)+(D436^2))*B436/3</f>
        <v>10.749367606619868</v>
      </c>
      <c r="G435">
        <v>385</v>
      </c>
      <c r="H435" s="13">
        <f t="shared" si="48"/>
        <v>5.1608656820910426E-2</v>
      </c>
      <c r="I435">
        <f t="shared" si="49"/>
        <v>62.17192778613822</v>
      </c>
      <c r="J435">
        <f t="shared" ref="J435:J498" si="52">IF($G$28&lt;$C$14,0,((($C$11^2)-((I435-$C$13)^2))^0.5)+$C$16)</f>
        <v>199.49577533826181</v>
      </c>
      <c r="K435" s="27">
        <f t="shared" ref="K435:K498" si="53">((J435^2)+(J435*J436)+(J436^2))*H436/3</f>
        <v>2054.1863639274898</v>
      </c>
    </row>
    <row r="436" spans="1:11">
      <c r="A436" s="26">
        <v>386</v>
      </c>
      <c r="B436" s="82">
        <f t="shared" ref="B436:B499" si="54">C436-C435</f>
        <v>3.2921237647087764E-4</v>
      </c>
      <c r="C436" s="58">
        <f t="shared" si="50"/>
        <v>42.429670887405464</v>
      </c>
      <c r="D436" s="83">
        <f t="shared" ref="D436:D499" si="55">IF($G$28&lt;$C$14,0,((($C$11^2)-((C436-$C$13)^2))^0.5)+$C$16)</f>
        <v>180.69834057078887</v>
      </c>
      <c r="E436">
        <f t="shared" si="51"/>
        <v>10.749445185745506</v>
      </c>
      <c r="G436">
        <v>386</v>
      </c>
      <c r="H436" s="13">
        <f t="shared" ref="H436:H499" si="56">I436-I435</f>
        <v>5.1608656820910426E-2</v>
      </c>
      <c r="I436">
        <f t="shared" ref="I436:I499" si="57">($G$27-$C$14)/2000+I435</f>
        <v>62.22353644295913</v>
      </c>
      <c r="J436">
        <f t="shared" si="52"/>
        <v>199.51868818052708</v>
      </c>
      <c r="K436" s="27">
        <f t="shared" si="53"/>
        <v>2054.6573420155332</v>
      </c>
    </row>
    <row r="437" spans="1:11">
      <c r="A437" s="26">
        <v>387</v>
      </c>
      <c r="B437" s="82">
        <f t="shared" si="54"/>
        <v>3.2921237647087764E-4</v>
      </c>
      <c r="C437" s="58">
        <f t="shared" si="50"/>
        <v>42.430000099781935</v>
      </c>
      <c r="D437" s="83">
        <f t="shared" si="55"/>
        <v>180.69899261171602</v>
      </c>
      <c r="E437">
        <f t="shared" si="51"/>
        <v>10.749522761682053</v>
      </c>
      <c r="G437">
        <v>387</v>
      </c>
      <c r="H437" s="13">
        <f t="shared" si="56"/>
        <v>5.1608656820910426E-2</v>
      </c>
      <c r="I437">
        <f t="shared" si="57"/>
        <v>62.27514509978004</v>
      </c>
      <c r="J437">
        <f t="shared" si="52"/>
        <v>199.5415151768569</v>
      </c>
      <c r="K437" s="27">
        <f t="shared" si="53"/>
        <v>2055.1266075228777</v>
      </c>
    </row>
    <row r="438" spans="1:11">
      <c r="A438" s="26">
        <v>388</v>
      </c>
      <c r="B438" s="82">
        <f t="shared" si="54"/>
        <v>3.2921237647087764E-4</v>
      </c>
      <c r="C438" s="58">
        <f t="shared" si="50"/>
        <v>42.430329312158406</v>
      </c>
      <c r="D438" s="83">
        <f t="shared" si="55"/>
        <v>180.69964462348753</v>
      </c>
      <c r="E438">
        <f t="shared" si="51"/>
        <v>10.749600334429845</v>
      </c>
      <c r="G438">
        <v>388</v>
      </c>
      <c r="H438" s="13">
        <f t="shared" si="56"/>
        <v>5.1608656820910426E-2</v>
      </c>
      <c r="I438">
        <f t="shared" si="57"/>
        <v>62.326753756600951</v>
      </c>
      <c r="J438">
        <f t="shared" si="52"/>
        <v>199.56425648543589</v>
      </c>
      <c r="K438" s="27">
        <f t="shared" si="53"/>
        <v>2055.5941630928796</v>
      </c>
    </row>
    <row r="439" spans="1:11">
      <c r="A439" s="26">
        <v>389</v>
      </c>
      <c r="B439" s="82">
        <f t="shared" si="54"/>
        <v>3.2921237647087764E-4</v>
      </c>
      <c r="C439" s="58">
        <f t="shared" si="50"/>
        <v>42.430658524534877</v>
      </c>
      <c r="D439" s="83">
        <f t="shared" si="55"/>
        <v>180.70029660610646</v>
      </c>
      <c r="E439">
        <f t="shared" si="51"/>
        <v>10.749677903989216</v>
      </c>
      <c r="G439">
        <v>389</v>
      </c>
      <c r="H439" s="13">
        <f t="shared" si="56"/>
        <v>5.1608656820910426E-2</v>
      </c>
      <c r="I439">
        <f t="shared" si="57"/>
        <v>62.378362413421861</v>
      </c>
      <c r="J439">
        <f t="shared" si="52"/>
        <v>199.58691226346872</v>
      </c>
      <c r="K439" s="27">
        <f t="shared" si="53"/>
        <v>2056.0600113525225</v>
      </c>
    </row>
    <row r="440" spans="1:11">
      <c r="A440" s="26">
        <v>390</v>
      </c>
      <c r="B440" s="82">
        <f t="shared" si="54"/>
        <v>3.2921237647087764E-4</v>
      </c>
      <c r="C440" s="58">
        <f t="shared" si="50"/>
        <v>42.430987736911348</v>
      </c>
      <c r="D440" s="83">
        <f t="shared" si="55"/>
        <v>180.70094855957598</v>
      </c>
      <c r="E440">
        <f t="shared" si="51"/>
        <v>10.749755470360498</v>
      </c>
      <c r="G440">
        <v>390</v>
      </c>
      <c r="H440" s="13">
        <f t="shared" si="56"/>
        <v>5.1608656820910426E-2</v>
      </c>
      <c r="I440">
        <f t="shared" si="57"/>
        <v>62.429971070242772</v>
      </c>
      <c r="J440">
        <f t="shared" si="52"/>
        <v>199.60948266718657</v>
      </c>
      <c r="K440" s="27">
        <f t="shared" si="53"/>
        <v>2056.524154912528</v>
      </c>
    </row>
    <row r="441" spans="1:11">
      <c r="A441" s="26">
        <v>391</v>
      </c>
      <c r="B441" s="82">
        <f t="shared" si="54"/>
        <v>3.2921237647087764E-4</v>
      </c>
      <c r="C441" s="58">
        <f t="shared" si="50"/>
        <v>42.431316949287819</v>
      </c>
      <c r="D441" s="83">
        <f t="shared" si="55"/>
        <v>180.7016004838992</v>
      </c>
      <c r="E441">
        <f t="shared" si="51"/>
        <v>10.749833033544023</v>
      </c>
      <c r="G441">
        <v>391</v>
      </c>
      <c r="H441" s="13">
        <f t="shared" si="56"/>
        <v>5.1608656820910426E-2</v>
      </c>
      <c r="I441">
        <f t="shared" si="57"/>
        <v>62.481579727063682</v>
      </c>
      <c r="J441">
        <f t="shared" si="52"/>
        <v>199.6319678518538</v>
      </c>
      <c r="K441" s="27">
        <f t="shared" si="53"/>
        <v>2056.9865963674674</v>
      </c>
    </row>
    <row r="442" spans="1:11">
      <c r="A442" s="26">
        <v>392</v>
      </c>
      <c r="B442" s="82">
        <f t="shared" si="54"/>
        <v>3.2921237647087764E-4</v>
      </c>
      <c r="C442" s="58">
        <f t="shared" si="50"/>
        <v>42.43164616166429</v>
      </c>
      <c r="D442" s="83">
        <f t="shared" si="55"/>
        <v>180.70225237907923</v>
      </c>
      <c r="E442">
        <f t="shared" si="51"/>
        <v>10.749910593540129</v>
      </c>
      <c r="G442">
        <v>392</v>
      </c>
      <c r="H442" s="13">
        <f t="shared" si="56"/>
        <v>5.1608656820910426E-2</v>
      </c>
      <c r="I442">
        <f t="shared" si="57"/>
        <v>62.533188383884593</v>
      </c>
      <c r="J442">
        <f t="shared" si="52"/>
        <v>199.65436797177452</v>
      </c>
      <c r="K442" s="27">
        <f t="shared" si="53"/>
        <v>2057.4473382958658</v>
      </c>
    </row>
    <row r="443" spans="1:11">
      <c r="A443" s="26">
        <v>393</v>
      </c>
      <c r="B443" s="82">
        <f t="shared" si="54"/>
        <v>3.2921237647087764E-4</v>
      </c>
      <c r="C443" s="58">
        <f t="shared" si="50"/>
        <v>42.431975374040761</v>
      </c>
      <c r="D443" s="83">
        <f t="shared" si="55"/>
        <v>180.70290424511916</v>
      </c>
      <c r="E443">
        <f t="shared" si="51"/>
        <v>10.749988150349141</v>
      </c>
      <c r="G443">
        <v>393</v>
      </c>
      <c r="H443" s="13">
        <f t="shared" si="56"/>
        <v>5.1608656820910426E-2</v>
      </c>
      <c r="I443">
        <f t="shared" si="57"/>
        <v>62.584797040705503</v>
      </c>
      <c r="J443">
        <f t="shared" si="52"/>
        <v>199.67668318029868</v>
      </c>
      <c r="K443" s="27">
        <f t="shared" si="53"/>
        <v>2057.906383260311</v>
      </c>
    </row>
    <row r="444" spans="1:11">
      <c r="A444" s="26">
        <v>394</v>
      </c>
      <c r="B444" s="82">
        <f t="shared" si="54"/>
        <v>3.2921237647087764E-4</v>
      </c>
      <c r="C444" s="58">
        <f t="shared" si="50"/>
        <v>42.432304586417231</v>
      </c>
      <c r="D444" s="83">
        <f t="shared" si="55"/>
        <v>180.70355608202215</v>
      </c>
      <c r="E444">
        <f t="shared" si="51"/>
        <v>10.750065703971396</v>
      </c>
      <c r="G444">
        <v>394</v>
      </c>
      <c r="H444" s="13">
        <f t="shared" si="56"/>
        <v>5.1608656820910426E-2</v>
      </c>
      <c r="I444">
        <f t="shared" si="57"/>
        <v>62.636405697526413</v>
      </c>
      <c r="J444">
        <f t="shared" si="52"/>
        <v>199.69891362982881</v>
      </c>
      <c r="K444" s="27">
        <f t="shared" si="53"/>
        <v>2058.36373380756</v>
      </c>
    </row>
    <row r="445" spans="1:11">
      <c r="A445" s="26">
        <v>395</v>
      </c>
      <c r="B445" s="82">
        <f t="shared" si="54"/>
        <v>3.2921237647087764E-4</v>
      </c>
      <c r="C445" s="58">
        <f t="shared" si="50"/>
        <v>42.432633798793702</v>
      </c>
      <c r="D445" s="83">
        <f t="shared" si="55"/>
        <v>180.70420788979123</v>
      </c>
      <c r="E445">
        <f t="shared" si="51"/>
        <v>10.750143254407227</v>
      </c>
      <c r="G445">
        <v>395</v>
      </c>
      <c r="H445" s="13">
        <f t="shared" si="56"/>
        <v>5.1608656820910426E-2</v>
      </c>
      <c r="I445">
        <f t="shared" si="57"/>
        <v>62.688014354347324</v>
      </c>
      <c r="J445">
        <f t="shared" si="52"/>
        <v>199.72105947182607</v>
      </c>
      <c r="K445" s="27">
        <f t="shared" si="53"/>
        <v>2058.8193924686434</v>
      </c>
    </row>
    <row r="446" spans="1:11">
      <c r="A446" s="26">
        <v>396</v>
      </c>
      <c r="B446" s="82">
        <f t="shared" si="54"/>
        <v>3.2921237647087764E-4</v>
      </c>
      <c r="C446" s="58">
        <f t="shared" si="50"/>
        <v>42.432963011170173</v>
      </c>
      <c r="D446" s="83">
        <f t="shared" si="55"/>
        <v>180.70485966842963</v>
      </c>
      <c r="E446">
        <f t="shared" si="51"/>
        <v>10.750220801656972</v>
      </c>
      <c r="G446">
        <v>396</v>
      </c>
      <c r="H446" s="13">
        <f t="shared" si="56"/>
        <v>5.1608656820910426E-2</v>
      </c>
      <c r="I446">
        <f t="shared" si="57"/>
        <v>62.739623011168234</v>
      </c>
      <c r="J446">
        <f t="shared" si="52"/>
        <v>199.74312085681657</v>
      </c>
      <c r="K446" s="27">
        <f t="shared" si="53"/>
        <v>2059.2733617589702</v>
      </c>
    </row>
    <row r="447" spans="1:11">
      <c r="A447" s="26">
        <v>397</v>
      </c>
      <c r="B447" s="82">
        <f t="shared" si="54"/>
        <v>3.2921237647087764E-4</v>
      </c>
      <c r="C447" s="58">
        <f t="shared" si="50"/>
        <v>42.433292223546644</v>
      </c>
      <c r="D447" s="83">
        <f t="shared" si="55"/>
        <v>180.70551141794039</v>
      </c>
      <c r="E447">
        <f t="shared" si="51"/>
        <v>10.750298345720951</v>
      </c>
      <c r="G447">
        <v>397</v>
      </c>
      <c r="H447" s="13">
        <f t="shared" si="56"/>
        <v>5.1608656820910426E-2</v>
      </c>
      <c r="I447">
        <f t="shared" si="57"/>
        <v>62.791231667989145</v>
      </c>
      <c r="J447">
        <f t="shared" si="52"/>
        <v>199.76509793439757</v>
      </c>
      <c r="K447" s="27">
        <f t="shared" si="53"/>
        <v>2059.7256441784302</v>
      </c>
    </row>
    <row r="448" spans="1:11">
      <c r="A448" s="26">
        <v>398</v>
      </c>
      <c r="B448" s="82">
        <f t="shared" si="54"/>
        <v>3.2921237647087764E-4</v>
      </c>
      <c r="C448" s="58">
        <f t="shared" si="50"/>
        <v>42.433621435923115</v>
      </c>
      <c r="D448" s="83">
        <f t="shared" si="55"/>
        <v>180.70616313832659</v>
      </c>
      <c r="E448">
        <f t="shared" si="51"/>
        <v>10.750375886599507</v>
      </c>
      <c r="G448">
        <v>398</v>
      </c>
      <c r="H448" s="13">
        <f t="shared" si="56"/>
        <v>5.1608656820910426E-2</v>
      </c>
      <c r="I448">
        <f t="shared" si="57"/>
        <v>62.842840324810055</v>
      </c>
      <c r="J448">
        <f t="shared" si="52"/>
        <v>199.78699085324357</v>
      </c>
      <c r="K448" s="27">
        <f t="shared" si="53"/>
        <v>2060.1762422114962</v>
      </c>
    </row>
    <row r="449" spans="1:11">
      <c r="A449" s="26">
        <v>399</v>
      </c>
      <c r="B449" s="82">
        <f t="shared" si="54"/>
        <v>3.2921237647087764E-4</v>
      </c>
      <c r="C449" s="58">
        <f t="shared" si="50"/>
        <v>42.433950648299586</v>
      </c>
      <c r="D449" s="83">
        <f t="shared" si="55"/>
        <v>180.70681482959139</v>
      </c>
      <c r="E449">
        <f t="shared" si="51"/>
        <v>10.750453424292965</v>
      </c>
      <c r="G449">
        <v>399</v>
      </c>
      <c r="H449" s="13">
        <f t="shared" si="56"/>
        <v>5.1608656820910426E-2</v>
      </c>
      <c r="I449">
        <f t="shared" si="57"/>
        <v>62.894448981630966</v>
      </c>
      <c r="J449">
        <f t="shared" si="52"/>
        <v>199.80879976111231</v>
      </c>
      <c r="K449" s="27">
        <f t="shared" si="53"/>
        <v>2060.6251583273238</v>
      </c>
    </row>
    <row r="450" spans="1:11">
      <c r="A450" s="26">
        <v>400</v>
      </c>
      <c r="B450" s="82">
        <f t="shared" si="54"/>
        <v>3.2921237647087764E-4</v>
      </c>
      <c r="C450" s="58">
        <f t="shared" si="50"/>
        <v>42.434279860676057</v>
      </c>
      <c r="D450" s="83">
        <f t="shared" si="55"/>
        <v>180.70746649173793</v>
      </c>
      <c r="E450">
        <f t="shared" si="51"/>
        <v>10.75053095880167</v>
      </c>
      <c r="G450">
        <v>400</v>
      </c>
      <c r="H450" s="13">
        <f t="shared" si="56"/>
        <v>5.1608656820910426E-2</v>
      </c>
      <c r="I450">
        <f t="shared" si="57"/>
        <v>62.946057638451876</v>
      </c>
      <c r="J450">
        <f t="shared" si="52"/>
        <v>199.83052480485088</v>
      </c>
      <c r="K450" s="27">
        <f t="shared" si="53"/>
        <v>2061.0723949798553</v>
      </c>
    </row>
    <row r="451" spans="1:11">
      <c r="A451" s="26">
        <v>401</v>
      </c>
      <c r="B451" s="82">
        <f t="shared" si="54"/>
        <v>3.2921237647087764E-4</v>
      </c>
      <c r="C451" s="58">
        <f t="shared" si="50"/>
        <v>42.434609073052528</v>
      </c>
      <c r="D451" s="83">
        <f t="shared" si="55"/>
        <v>180.70811812476924</v>
      </c>
      <c r="E451">
        <f t="shared" si="51"/>
        <v>10.75060849012594</v>
      </c>
      <c r="G451">
        <v>401</v>
      </c>
      <c r="H451" s="13">
        <f t="shared" si="56"/>
        <v>5.1608656820910426E-2</v>
      </c>
      <c r="I451">
        <f t="shared" si="57"/>
        <v>62.997666295272786</v>
      </c>
      <c r="J451">
        <f t="shared" si="52"/>
        <v>199.85216613040157</v>
      </c>
      <c r="K451" s="27">
        <f t="shared" si="53"/>
        <v>2061.517954607913</v>
      </c>
    </row>
    <row r="452" spans="1:11">
      <c r="A452" s="26">
        <v>402</v>
      </c>
      <c r="B452" s="82">
        <f t="shared" si="54"/>
        <v>3.2921237647087764E-4</v>
      </c>
      <c r="C452" s="58">
        <f t="shared" si="50"/>
        <v>42.434938285428998</v>
      </c>
      <c r="D452" s="83">
        <f t="shared" si="55"/>
        <v>180.70876972868848</v>
      </c>
      <c r="E452">
        <f t="shared" si="51"/>
        <v>10.750686018266116</v>
      </c>
      <c r="G452">
        <v>402</v>
      </c>
      <c r="H452" s="13">
        <f t="shared" si="56"/>
        <v>5.1608656820910426E-2</v>
      </c>
      <c r="I452">
        <f t="shared" si="57"/>
        <v>63.049274952093697</v>
      </c>
      <c r="J452">
        <f t="shared" si="52"/>
        <v>199.87372388280784</v>
      </c>
      <c r="K452" s="27">
        <f t="shared" si="53"/>
        <v>2061.9618396353039</v>
      </c>
    </row>
    <row r="453" spans="1:11">
      <c r="A453" s="26">
        <v>403</v>
      </c>
      <c r="B453" s="82">
        <f t="shared" si="54"/>
        <v>3.2921237647087764E-4</v>
      </c>
      <c r="C453" s="58">
        <f t="shared" si="50"/>
        <v>42.435267497805469</v>
      </c>
      <c r="D453" s="83">
        <f t="shared" si="55"/>
        <v>180.70942130349874</v>
      </c>
      <c r="E453">
        <f t="shared" si="51"/>
        <v>10.750763543222526</v>
      </c>
      <c r="G453">
        <v>403</v>
      </c>
      <c r="H453" s="13">
        <f t="shared" si="56"/>
        <v>5.1608656820910426E-2</v>
      </c>
      <c r="I453">
        <f t="shared" si="57"/>
        <v>63.100883608914607</v>
      </c>
      <c r="J453">
        <f t="shared" si="52"/>
        <v>199.8951982062201</v>
      </c>
      <c r="K453" s="27">
        <f t="shared" si="53"/>
        <v>2062.4040524709121</v>
      </c>
    </row>
    <row r="454" spans="1:11">
      <c r="A454" s="26">
        <v>404</v>
      </c>
      <c r="B454" s="82">
        <f t="shared" si="54"/>
        <v>3.2921237647087764E-4</v>
      </c>
      <c r="C454" s="58">
        <f t="shared" si="50"/>
        <v>42.43559671018194</v>
      </c>
      <c r="D454" s="83">
        <f t="shared" si="55"/>
        <v>180.71007284920316</v>
      </c>
      <c r="E454">
        <f t="shared" si="51"/>
        <v>10.750841064995505</v>
      </c>
      <c r="G454">
        <v>404</v>
      </c>
      <c r="H454" s="13">
        <f t="shared" si="56"/>
        <v>5.1608656820910426E-2</v>
      </c>
      <c r="I454">
        <f t="shared" si="57"/>
        <v>63.152492265735518</v>
      </c>
      <c r="J454">
        <f t="shared" si="52"/>
        <v>199.91658924390143</v>
      </c>
      <c r="K454" s="27">
        <f t="shared" si="53"/>
        <v>2062.8445955087964</v>
      </c>
    </row>
    <row r="455" spans="1:11">
      <c r="A455" s="26">
        <v>405</v>
      </c>
      <c r="B455" s="82">
        <f t="shared" si="54"/>
        <v>3.2921237647087764E-4</v>
      </c>
      <c r="C455" s="58">
        <f t="shared" si="50"/>
        <v>42.435925922558411</v>
      </c>
      <c r="D455" s="83">
        <f t="shared" si="55"/>
        <v>180.71072436580479</v>
      </c>
      <c r="E455">
        <f t="shared" si="51"/>
        <v>10.750918583585387</v>
      </c>
      <c r="G455">
        <v>405</v>
      </c>
      <c r="H455" s="13">
        <f t="shared" si="56"/>
        <v>5.1608656820910426E-2</v>
      </c>
      <c r="I455">
        <f t="shared" si="57"/>
        <v>63.204100922556428</v>
      </c>
      <c r="J455">
        <f t="shared" si="52"/>
        <v>199.93789713823341</v>
      </c>
      <c r="K455" s="27">
        <f t="shared" si="53"/>
        <v>2063.2834711282862</v>
      </c>
    </row>
    <row r="456" spans="1:11">
      <c r="A456" s="26">
        <v>406</v>
      </c>
      <c r="B456" s="82">
        <f t="shared" si="54"/>
        <v>3.2921237647087764E-4</v>
      </c>
      <c r="C456" s="58">
        <f t="shared" si="50"/>
        <v>42.436255134934882</v>
      </c>
      <c r="D456" s="83">
        <f t="shared" si="55"/>
        <v>180.71137585330681</v>
      </c>
      <c r="E456">
        <f t="shared" si="51"/>
        <v>10.7509960989925</v>
      </c>
      <c r="G456">
        <v>406</v>
      </c>
      <c r="H456" s="13">
        <f t="shared" si="56"/>
        <v>5.1608656820910426E-2</v>
      </c>
      <c r="I456">
        <f t="shared" si="57"/>
        <v>63.255709579377339</v>
      </c>
      <c r="J456">
        <f t="shared" si="52"/>
        <v>199.95912203072172</v>
      </c>
      <c r="K456" s="27">
        <f t="shared" si="53"/>
        <v>2063.720681694077</v>
      </c>
    </row>
    <row r="457" spans="1:11">
      <c r="A457" s="26">
        <v>407</v>
      </c>
      <c r="B457" s="82">
        <f t="shared" si="54"/>
        <v>3.2921237647087764E-4</v>
      </c>
      <c r="C457" s="58">
        <f t="shared" si="50"/>
        <v>42.436584347311353</v>
      </c>
      <c r="D457" s="83">
        <f t="shared" si="55"/>
        <v>180.71202731171223</v>
      </c>
      <c r="E457">
        <f t="shared" si="51"/>
        <v>10.751073611217178</v>
      </c>
      <c r="G457">
        <v>407</v>
      </c>
      <c r="H457" s="13">
        <f t="shared" si="56"/>
        <v>5.1608656820910426E-2</v>
      </c>
      <c r="I457">
        <f t="shared" si="57"/>
        <v>63.307318236198249</v>
      </c>
      <c r="J457">
        <f t="shared" si="52"/>
        <v>199.98026406200177</v>
      </c>
      <c r="K457" s="27">
        <f t="shared" si="53"/>
        <v>2064.1562295563222</v>
      </c>
    </row>
    <row r="458" spans="1:11">
      <c r="A458" s="26">
        <v>408</v>
      </c>
      <c r="B458" s="82">
        <f t="shared" si="54"/>
        <v>3.2921237647087764E-4</v>
      </c>
      <c r="C458" s="58">
        <f t="shared" si="50"/>
        <v>42.436913559687824</v>
      </c>
      <c r="D458" s="83">
        <f t="shared" si="55"/>
        <v>180.71267874102423</v>
      </c>
      <c r="E458">
        <f t="shared" si="51"/>
        <v>10.751151120259751</v>
      </c>
      <c r="G458">
        <v>408</v>
      </c>
      <c r="H458" s="13">
        <f t="shared" si="56"/>
        <v>5.1608656820910426E-2</v>
      </c>
      <c r="I458">
        <f t="shared" si="57"/>
        <v>63.358926893019159</v>
      </c>
      <c r="J458">
        <f t="shared" si="52"/>
        <v>200.00132337184425</v>
      </c>
      <c r="K458" s="27">
        <f t="shared" si="53"/>
        <v>2064.5901170507254</v>
      </c>
    </row>
    <row r="459" spans="1:11">
      <c r="A459" s="26">
        <v>409</v>
      </c>
      <c r="B459" s="82">
        <f t="shared" si="54"/>
        <v>3.2921237647087764E-4</v>
      </c>
      <c r="C459" s="58">
        <f t="shared" si="50"/>
        <v>42.437242772064295</v>
      </c>
      <c r="D459" s="83">
        <f t="shared" si="55"/>
        <v>180.7133301412459</v>
      </c>
      <c r="E459">
        <f t="shared" si="51"/>
        <v>10.751228626120556</v>
      </c>
      <c r="G459">
        <v>409</v>
      </c>
      <c r="H459" s="13">
        <f t="shared" si="56"/>
        <v>5.1608656820910426E-2</v>
      </c>
      <c r="I459">
        <f t="shared" si="57"/>
        <v>63.41053554984007</v>
      </c>
      <c r="J459">
        <f t="shared" si="52"/>
        <v>200.02230009916062</v>
      </c>
      <c r="K459" s="27">
        <f t="shared" si="53"/>
        <v>2065.0223464986352</v>
      </c>
    </row>
    <row r="460" spans="1:11">
      <c r="A460" s="26">
        <v>410</v>
      </c>
      <c r="B460" s="82">
        <f t="shared" si="54"/>
        <v>3.2921237647087764E-4</v>
      </c>
      <c r="C460" s="58">
        <f t="shared" si="50"/>
        <v>42.437571984440766</v>
      </c>
      <c r="D460" s="83">
        <f t="shared" si="55"/>
        <v>180.71398151238034</v>
      </c>
      <c r="E460">
        <f t="shared" si="51"/>
        <v>10.751306128799918</v>
      </c>
      <c r="G460">
        <v>410</v>
      </c>
      <c r="H460" s="13">
        <f t="shared" si="56"/>
        <v>5.1608656820910426E-2</v>
      </c>
      <c r="I460">
        <f t="shared" si="57"/>
        <v>63.46214420666098</v>
      </c>
      <c r="J460">
        <f t="shared" si="52"/>
        <v>200.04319438200861</v>
      </c>
      <c r="K460" s="27">
        <f t="shared" si="53"/>
        <v>2065.452920207134</v>
      </c>
    </row>
    <row r="461" spans="1:11">
      <c r="A461" s="26">
        <v>411</v>
      </c>
      <c r="B461" s="82">
        <f t="shared" si="54"/>
        <v>3.2921237647087764E-4</v>
      </c>
      <c r="C461" s="58">
        <f t="shared" si="50"/>
        <v>42.437901196817236</v>
      </c>
      <c r="D461" s="83">
        <f t="shared" si="55"/>
        <v>180.71463285443065</v>
      </c>
      <c r="E461">
        <f t="shared" si="51"/>
        <v>10.751383628298173</v>
      </c>
      <c r="G461">
        <v>411</v>
      </c>
      <c r="H461" s="13">
        <f t="shared" si="56"/>
        <v>5.1608656820910426E-2</v>
      </c>
      <c r="I461">
        <f t="shared" si="57"/>
        <v>63.513752863481891</v>
      </c>
      <c r="J461">
        <f t="shared" si="52"/>
        <v>200.06400635759758</v>
      </c>
      <c r="K461" s="27">
        <f t="shared" si="53"/>
        <v>2065.881840469126</v>
      </c>
    </row>
    <row r="462" spans="1:11">
      <c r="A462" s="26">
        <v>412</v>
      </c>
      <c r="B462" s="82">
        <f t="shared" si="54"/>
        <v>3.2921237647087764E-4</v>
      </c>
      <c r="C462" s="58">
        <f t="shared" si="50"/>
        <v>42.438230409193707</v>
      </c>
      <c r="D462" s="83">
        <f t="shared" si="55"/>
        <v>180.71528416739994</v>
      </c>
      <c r="E462">
        <f t="shared" si="51"/>
        <v>10.751461124615654</v>
      </c>
      <c r="G462">
        <v>412</v>
      </c>
      <c r="H462" s="13">
        <f t="shared" si="56"/>
        <v>5.1608656820910426E-2</v>
      </c>
      <c r="I462">
        <f t="shared" si="57"/>
        <v>63.565361520302801</v>
      </c>
      <c r="J462">
        <f t="shared" si="52"/>
        <v>200.08473616229384</v>
      </c>
      <c r="K462" s="27">
        <f t="shared" si="53"/>
        <v>2066.3091095634327</v>
      </c>
    </row>
    <row r="463" spans="1:11">
      <c r="A463" s="26">
        <v>413</v>
      </c>
      <c r="B463" s="82">
        <f t="shared" si="54"/>
        <v>3.2921237647087764E-4</v>
      </c>
      <c r="C463" s="58">
        <f t="shared" si="50"/>
        <v>42.438559621570178</v>
      </c>
      <c r="D463" s="83">
        <f t="shared" si="55"/>
        <v>180.7159354512913</v>
      </c>
      <c r="E463">
        <f t="shared" si="51"/>
        <v>10.751538617752692</v>
      </c>
      <c r="G463">
        <v>413</v>
      </c>
      <c r="H463" s="13">
        <f t="shared" si="56"/>
        <v>5.1608656820910426E-2</v>
      </c>
      <c r="I463">
        <f t="shared" si="57"/>
        <v>63.616970177123711</v>
      </c>
      <c r="J463">
        <f t="shared" si="52"/>
        <v>200.10538393162608</v>
      </c>
      <c r="K463" s="27">
        <f t="shared" si="53"/>
        <v>2066.7347297548754</v>
      </c>
    </row>
    <row r="464" spans="1:11">
      <c r="A464" s="26">
        <v>414</v>
      </c>
      <c r="B464" s="82">
        <f t="shared" si="54"/>
        <v>3.2921237647087764E-4</v>
      </c>
      <c r="C464" s="58">
        <f t="shared" ref="C464:C527" si="58">($C$37-$C$36)/2000+C463</f>
        <v>42.438888833946649</v>
      </c>
      <c r="D464" s="83">
        <f t="shared" si="55"/>
        <v>180.71658670610782</v>
      </c>
      <c r="E464">
        <f t="shared" si="51"/>
        <v>10.75161610770961</v>
      </c>
      <c r="G464">
        <v>414</v>
      </c>
      <c r="H464" s="13">
        <f t="shared" si="56"/>
        <v>5.1608656820910426E-2</v>
      </c>
      <c r="I464">
        <f t="shared" si="57"/>
        <v>63.668578833944622</v>
      </c>
      <c r="J464">
        <f t="shared" si="52"/>
        <v>200.1259498002905</v>
      </c>
      <c r="K464" s="27">
        <f t="shared" si="53"/>
        <v>2067.1587032943653</v>
      </c>
    </row>
    <row r="465" spans="1:11">
      <c r="A465" s="26">
        <v>415</v>
      </c>
      <c r="B465" s="82">
        <f t="shared" si="54"/>
        <v>3.2921237647087764E-4</v>
      </c>
      <c r="C465" s="58">
        <f t="shared" si="58"/>
        <v>42.43921804632312</v>
      </c>
      <c r="D465" s="83">
        <f t="shared" si="55"/>
        <v>180.71723793185265</v>
      </c>
      <c r="E465">
        <f t="shared" si="51"/>
        <v>10.751693594486753</v>
      </c>
      <c r="G465">
        <v>415</v>
      </c>
      <c r="H465" s="13">
        <f t="shared" si="56"/>
        <v>5.1608656820910426E-2</v>
      </c>
      <c r="I465">
        <f t="shared" si="57"/>
        <v>63.720187490765532</v>
      </c>
      <c r="J465">
        <f t="shared" si="52"/>
        <v>200.14643390215602</v>
      </c>
      <c r="K465" s="27">
        <f t="shared" si="53"/>
        <v>2067.5810324189902</v>
      </c>
    </row>
    <row r="466" spans="1:11">
      <c r="A466" s="26">
        <v>416</v>
      </c>
      <c r="B466" s="82">
        <f t="shared" si="54"/>
        <v>3.2921237647087764E-4</v>
      </c>
      <c r="C466" s="58">
        <f t="shared" si="58"/>
        <v>42.439547258699591</v>
      </c>
      <c r="D466" s="83">
        <f t="shared" si="55"/>
        <v>180.71788912852884</v>
      </c>
      <c r="E466">
        <f t="shared" si="51"/>
        <v>10.751771078084445</v>
      </c>
      <c r="G466">
        <v>416</v>
      </c>
      <c r="H466" s="13">
        <f t="shared" si="56"/>
        <v>5.1608656820910426E-2</v>
      </c>
      <c r="I466">
        <f t="shared" si="57"/>
        <v>63.771796147586443</v>
      </c>
      <c r="J466">
        <f t="shared" si="52"/>
        <v>200.16683637026949</v>
      </c>
      <c r="K466" s="27">
        <f t="shared" si="53"/>
        <v>2068.0017193521003</v>
      </c>
    </row>
    <row r="467" spans="1:11">
      <c r="A467" s="26">
        <v>417</v>
      </c>
      <c r="B467" s="82">
        <f t="shared" si="54"/>
        <v>3.2921237647087764E-4</v>
      </c>
      <c r="C467" s="58">
        <f t="shared" si="58"/>
        <v>42.439876471076062</v>
      </c>
      <c r="D467" s="83">
        <f t="shared" si="55"/>
        <v>180.71854029613951</v>
      </c>
      <c r="E467">
        <f t="shared" si="51"/>
        <v>10.751848558503021</v>
      </c>
      <c r="G467">
        <v>417</v>
      </c>
      <c r="H467" s="13">
        <f t="shared" si="56"/>
        <v>5.1608656820910426E-2</v>
      </c>
      <c r="I467">
        <f t="shared" si="57"/>
        <v>63.823404804407353</v>
      </c>
      <c r="J467">
        <f t="shared" si="52"/>
        <v>200.18715733686076</v>
      </c>
      <c r="K467" s="27">
        <f t="shared" si="53"/>
        <v>2068.4207663033922</v>
      </c>
    </row>
    <row r="468" spans="1:11">
      <c r="A468" s="26">
        <v>418</v>
      </c>
      <c r="B468" s="82">
        <f t="shared" si="54"/>
        <v>3.2921237647087764E-4</v>
      </c>
      <c r="C468" s="58">
        <f t="shared" si="58"/>
        <v>42.440205683452533</v>
      </c>
      <c r="D468" s="83">
        <f t="shared" si="55"/>
        <v>180.71919143468776</v>
      </c>
      <c r="E468">
        <f t="shared" si="51"/>
        <v>10.751926035742807</v>
      </c>
      <c r="G468">
        <v>418</v>
      </c>
      <c r="H468" s="13">
        <f t="shared" si="56"/>
        <v>5.1608656820910426E-2</v>
      </c>
      <c r="I468">
        <f t="shared" si="57"/>
        <v>63.875013461228264</v>
      </c>
      <c r="J468">
        <f t="shared" si="52"/>
        <v>200.20739693334772</v>
      </c>
      <c r="K468" s="27">
        <f t="shared" si="53"/>
        <v>2068.8381754689958</v>
      </c>
    </row>
    <row r="469" spans="1:11">
      <c r="A469" s="26">
        <v>419</v>
      </c>
      <c r="B469" s="82">
        <f t="shared" si="54"/>
        <v>3.2921237647087764E-4</v>
      </c>
      <c r="C469" s="58">
        <f t="shared" si="58"/>
        <v>42.440534895829003</v>
      </c>
      <c r="D469" s="83">
        <f t="shared" si="55"/>
        <v>180.71984254417669</v>
      </c>
      <c r="E469">
        <f t="shared" si="51"/>
        <v>10.75200350980414</v>
      </c>
      <c r="G469">
        <v>419</v>
      </c>
      <c r="H469" s="13">
        <f t="shared" si="56"/>
        <v>5.1608656820910426E-2</v>
      </c>
      <c r="I469">
        <f t="shared" si="57"/>
        <v>63.926622118049174</v>
      </c>
      <c r="J469">
        <f t="shared" si="52"/>
        <v>200.2275552903414</v>
      </c>
      <c r="K469" s="27">
        <f t="shared" si="53"/>
        <v>2069.2539490315562</v>
      </c>
    </row>
    <row r="470" spans="1:11">
      <c r="A470" s="26">
        <v>420</v>
      </c>
      <c r="B470" s="82">
        <f t="shared" si="54"/>
        <v>3.2921237647087764E-4</v>
      </c>
      <c r="C470" s="58">
        <f t="shared" si="58"/>
        <v>42.440864108205474</v>
      </c>
      <c r="D470" s="83">
        <f t="shared" si="55"/>
        <v>180.72049362460939</v>
      </c>
      <c r="E470">
        <f t="shared" si="51"/>
        <v>10.752080980687348</v>
      </c>
      <c r="G470">
        <v>420</v>
      </c>
      <c r="H470" s="13">
        <f t="shared" si="56"/>
        <v>5.1608656820910426E-2</v>
      </c>
      <c r="I470">
        <f t="shared" si="57"/>
        <v>63.978230774870084</v>
      </c>
      <c r="J470">
        <f t="shared" si="52"/>
        <v>200.24763253765076</v>
      </c>
      <c r="K470" s="27">
        <f t="shared" si="53"/>
        <v>2069.6680891606015</v>
      </c>
    </row>
    <row r="471" spans="1:11">
      <c r="A471" s="26">
        <v>421</v>
      </c>
      <c r="B471" s="82">
        <f t="shared" si="54"/>
        <v>3.2921237647087764E-4</v>
      </c>
      <c r="C471" s="58">
        <f t="shared" si="58"/>
        <v>42.441193320581945</v>
      </c>
      <c r="D471" s="83">
        <f t="shared" si="55"/>
        <v>180.721144675989</v>
      </c>
      <c r="E471">
        <f t="shared" si="51"/>
        <v>10.752158448392764</v>
      </c>
      <c r="G471">
        <v>421</v>
      </c>
      <c r="H471" s="13">
        <f t="shared" si="56"/>
        <v>5.1608656820917531E-2</v>
      </c>
      <c r="I471">
        <f t="shared" si="57"/>
        <v>64.029839431691002</v>
      </c>
      <c r="J471">
        <f t="shared" si="52"/>
        <v>200.26762880428782</v>
      </c>
      <c r="K471" s="27">
        <f t="shared" si="53"/>
        <v>2070.080598011486</v>
      </c>
    </row>
    <row r="472" spans="1:11">
      <c r="A472" s="26">
        <v>422</v>
      </c>
      <c r="B472" s="82">
        <f t="shared" si="54"/>
        <v>3.2921237647087764E-4</v>
      </c>
      <c r="C472" s="58">
        <f t="shared" si="58"/>
        <v>42.441522532958416</v>
      </c>
      <c r="D472" s="83">
        <f t="shared" si="55"/>
        <v>180.72179569831854</v>
      </c>
      <c r="E472">
        <f t="shared" si="51"/>
        <v>10.752235912920717</v>
      </c>
      <c r="G472">
        <v>422</v>
      </c>
      <c r="H472" s="13">
        <f t="shared" si="56"/>
        <v>5.1608656820917531E-2</v>
      </c>
      <c r="I472">
        <f t="shared" si="57"/>
        <v>64.08144808851192</v>
      </c>
      <c r="J472">
        <f t="shared" si="52"/>
        <v>200.28754421847236</v>
      </c>
      <c r="K472" s="27">
        <f t="shared" si="53"/>
        <v>2070.4914777271788</v>
      </c>
    </row>
    <row r="473" spans="1:11">
      <c r="A473" s="26">
        <v>423</v>
      </c>
      <c r="B473" s="82">
        <f t="shared" si="54"/>
        <v>3.2921237647087764E-4</v>
      </c>
      <c r="C473" s="58">
        <f t="shared" si="58"/>
        <v>42.441851745334887</v>
      </c>
      <c r="D473" s="83">
        <f t="shared" si="55"/>
        <v>180.72244669160116</v>
      </c>
      <c r="E473">
        <f t="shared" si="51"/>
        <v>10.752313374271543</v>
      </c>
      <c r="G473">
        <v>423</v>
      </c>
      <c r="H473" s="13">
        <f t="shared" si="56"/>
        <v>5.1608656820917531E-2</v>
      </c>
      <c r="I473">
        <f t="shared" si="57"/>
        <v>64.133056745332837</v>
      </c>
      <c r="J473">
        <f t="shared" si="52"/>
        <v>200.30737890763686</v>
      </c>
      <c r="K473" s="27">
        <f t="shared" si="53"/>
        <v>2070.9007304372076</v>
      </c>
    </row>
    <row r="474" spans="1:11">
      <c r="A474" s="26">
        <v>424</v>
      </c>
      <c r="B474" s="82">
        <f t="shared" si="54"/>
        <v>3.2921237647087764E-4</v>
      </c>
      <c r="C474" s="58">
        <f t="shared" si="58"/>
        <v>42.442180957711358</v>
      </c>
      <c r="D474" s="83">
        <f t="shared" si="55"/>
        <v>180.72309765583995</v>
      </c>
      <c r="E474">
        <f t="shared" si="51"/>
        <v>10.752390832445565</v>
      </c>
      <c r="G474">
        <v>424</v>
      </c>
      <c r="H474" s="13">
        <f t="shared" si="56"/>
        <v>5.1608656820917531E-2</v>
      </c>
      <c r="I474">
        <f t="shared" si="57"/>
        <v>64.184665402153755</v>
      </c>
      <c r="J474">
        <f t="shared" si="52"/>
        <v>200.32713299843118</v>
      </c>
      <c r="K474" s="27">
        <f t="shared" si="53"/>
        <v>2071.3083582580221</v>
      </c>
    </row>
    <row r="475" spans="1:11">
      <c r="A475" s="26">
        <v>425</v>
      </c>
      <c r="B475" s="82">
        <f t="shared" si="54"/>
        <v>3.2921237647087764E-4</v>
      </c>
      <c r="C475" s="58">
        <f t="shared" si="58"/>
        <v>42.442510170087829</v>
      </c>
      <c r="D475" s="83">
        <f t="shared" si="55"/>
        <v>180.723748591038</v>
      </c>
      <c r="E475">
        <f t="shared" si="51"/>
        <v>10.75246828744312</v>
      </c>
      <c r="G475">
        <v>425</v>
      </c>
      <c r="H475" s="13">
        <f t="shared" si="56"/>
        <v>5.1608656820917531E-2</v>
      </c>
      <c r="I475">
        <f t="shared" si="57"/>
        <v>64.236274058974672</v>
      </c>
      <c r="J475">
        <f t="shared" si="52"/>
        <v>200.34680661672738</v>
      </c>
      <c r="K475" s="27">
        <f t="shared" si="53"/>
        <v>2071.7143632930724</v>
      </c>
    </row>
    <row r="476" spans="1:11">
      <c r="A476" s="26">
        <v>426</v>
      </c>
      <c r="B476" s="82">
        <f t="shared" si="54"/>
        <v>3.2921237647087764E-4</v>
      </c>
      <c r="C476" s="58">
        <f t="shared" si="58"/>
        <v>42.4428393824643</v>
      </c>
      <c r="D476" s="83">
        <f t="shared" si="55"/>
        <v>180.72439949719839</v>
      </c>
      <c r="E476">
        <f t="shared" si="51"/>
        <v>10.752545739264535</v>
      </c>
      <c r="G476">
        <v>426</v>
      </c>
      <c r="H476" s="13">
        <f t="shared" si="56"/>
        <v>5.1608656820917531E-2</v>
      </c>
      <c r="I476">
        <f t="shared" si="57"/>
        <v>64.28788271579559</v>
      </c>
      <c r="J476">
        <f t="shared" si="52"/>
        <v>200.3663998876244</v>
      </c>
      <c r="K476" s="27">
        <f t="shared" si="53"/>
        <v>2072.1187476328873</v>
      </c>
    </row>
    <row r="477" spans="1:11">
      <c r="A477" s="26">
        <v>427</v>
      </c>
      <c r="B477" s="82">
        <f t="shared" si="54"/>
        <v>3.2921237647087764E-4</v>
      </c>
      <c r="C477" s="58">
        <f t="shared" si="58"/>
        <v>42.44316859484077</v>
      </c>
      <c r="D477" s="83">
        <f t="shared" si="55"/>
        <v>180.72505037432424</v>
      </c>
      <c r="E477">
        <f t="shared" si="51"/>
        <v>10.752623187910148</v>
      </c>
      <c r="G477">
        <v>427</v>
      </c>
      <c r="H477" s="13">
        <f t="shared" si="56"/>
        <v>5.1608656820917531E-2</v>
      </c>
      <c r="I477">
        <f t="shared" si="57"/>
        <v>64.339491372616507</v>
      </c>
      <c r="J477">
        <f t="shared" si="52"/>
        <v>200.38591293545264</v>
      </c>
      <c r="K477" s="27">
        <f t="shared" si="53"/>
        <v>2072.5215133551537</v>
      </c>
    </row>
    <row r="478" spans="1:11">
      <c r="A478" s="26">
        <v>428</v>
      </c>
      <c r="B478" s="82">
        <f t="shared" si="54"/>
        <v>3.2921237647087764E-4</v>
      </c>
      <c r="C478" s="58">
        <f t="shared" si="58"/>
        <v>42.443497807217241</v>
      </c>
      <c r="D478" s="83">
        <f t="shared" si="55"/>
        <v>180.72570122241865</v>
      </c>
      <c r="E478">
        <f t="shared" si="51"/>
        <v>10.752700633380281</v>
      </c>
      <c r="G478">
        <v>428</v>
      </c>
      <c r="H478" s="13">
        <f t="shared" si="56"/>
        <v>5.1608656820917531E-2</v>
      </c>
      <c r="I478">
        <f t="shared" si="57"/>
        <v>64.391100029437425</v>
      </c>
      <c r="J478">
        <f t="shared" si="52"/>
        <v>200.40534588377866</v>
      </c>
      <c r="K478" s="27">
        <f t="shared" si="53"/>
        <v>2072.9226625247916</v>
      </c>
    </row>
    <row r="479" spans="1:11">
      <c r="A479" s="26">
        <v>429</v>
      </c>
      <c r="B479" s="82">
        <f t="shared" si="54"/>
        <v>3.2921237647087764E-4</v>
      </c>
      <c r="C479" s="58">
        <f t="shared" si="58"/>
        <v>42.443827019593712</v>
      </c>
      <c r="D479" s="83">
        <f t="shared" si="55"/>
        <v>180.72635204148466</v>
      </c>
      <c r="E479">
        <f t="shared" si="51"/>
        <v>10.752778075675272</v>
      </c>
      <c r="G479">
        <v>429</v>
      </c>
      <c r="H479" s="13">
        <f t="shared" si="56"/>
        <v>5.1608656820917531E-2</v>
      </c>
      <c r="I479">
        <f t="shared" si="57"/>
        <v>64.442708686258342</v>
      </c>
      <c r="J479">
        <f t="shared" si="52"/>
        <v>200.42469885540973</v>
      </c>
      <c r="K479" s="27">
        <f t="shared" si="53"/>
        <v>2073.3221971940316</v>
      </c>
    </row>
    <row r="480" spans="1:11">
      <c r="A480" s="26">
        <v>430</v>
      </c>
      <c r="B480" s="82">
        <f t="shared" si="54"/>
        <v>3.2921237647087764E-4</v>
      </c>
      <c r="C480" s="58">
        <f t="shared" si="58"/>
        <v>42.444156231970183</v>
      </c>
      <c r="D480" s="83">
        <f t="shared" si="55"/>
        <v>180.72700283152543</v>
      </c>
      <c r="E480">
        <f t="shared" si="51"/>
        <v>10.752855514795444</v>
      </c>
      <c r="G480">
        <v>430</v>
      </c>
      <c r="H480" s="13">
        <f t="shared" si="56"/>
        <v>5.1608656820917531E-2</v>
      </c>
      <c r="I480">
        <f t="shared" si="57"/>
        <v>64.49431734307926</v>
      </c>
      <c r="J480">
        <f t="shared" si="52"/>
        <v>200.44397197239829</v>
      </c>
      <c r="K480" s="27">
        <f t="shared" si="53"/>
        <v>2073.7201194024888</v>
      </c>
    </row>
    <row r="481" spans="1:11">
      <c r="A481" s="26">
        <v>431</v>
      </c>
      <c r="B481" s="82">
        <f t="shared" si="54"/>
        <v>3.2921237647087764E-4</v>
      </c>
      <c r="C481" s="58">
        <f t="shared" si="58"/>
        <v>42.444485444346654</v>
      </c>
      <c r="D481" s="83">
        <f t="shared" si="55"/>
        <v>180.72765359254399</v>
      </c>
      <c r="E481">
        <f t="shared" si="51"/>
        <v>10.752932950741132</v>
      </c>
      <c r="G481">
        <v>431</v>
      </c>
      <c r="H481" s="13">
        <f t="shared" si="56"/>
        <v>5.1608656820917531E-2</v>
      </c>
      <c r="I481">
        <f t="shared" si="57"/>
        <v>64.545925999900177</v>
      </c>
      <c r="J481">
        <f t="shared" si="52"/>
        <v>200.46316535604649</v>
      </c>
      <c r="K481" s="27">
        <f t="shared" si="53"/>
        <v>2074.1164311772386</v>
      </c>
    </row>
    <row r="482" spans="1:11">
      <c r="A482" s="26">
        <v>432</v>
      </c>
      <c r="B482" s="82">
        <f t="shared" si="54"/>
        <v>3.2921237647087764E-4</v>
      </c>
      <c r="C482" s="58">
        <f t="shared" si="58"/>
        <v>42.444814656723125</v>
      </c>
      <c r="D482" s="83">
        <f t="shared" si="55"/>
        <v>180.72830432454347</v>
      </c>
      <c r="E482">
        <f t="shared" si="51"/>
        <v>10.753010383512668</v>
      </c>
      <c r="G482">
        <v>432</v>
      </c>
      <c r="H482" s="13">
        <f t="shared" si="56"/>
        <v>5.1608656820917531E-2</v>
      </c>
      <c r="I482">
        <f t="shared" si="57"/>
        <v>64.597534656721095</v>
      </c>
      <c r="J482">
        <f t="shared" si="52"/>
        <v>200.48227912691061</v>
      </c>
      <c r="K482" s="27">
        <f t="shared" si="53"/>
        <v>2074.5111345328914</v>
      </c>
    </row>
    <row r="483" spans="1:11">
      <c r="A483" s="26">
        <v>433</v>
      </c>
      <c r="B483" s="82">
        <f t="shared" si="54"/>
        <v>3.2921237647087764E-4</v>
      </c>
      <c r="C483" s="58">
        <f t="shared" si="58"/>
        <v>42.445143869099596</v>
      </c>
      <c r="D483" s="83">
        <f t="shared" si="55"/>
        <v>180.72895502752698</v>
      </c>
      <c r="E483">
        <f t="shared" si="51"/>
        <v>10.753087813110383</v>
      </c>
      <c r="G483">
        <v>433</v>
      </c>
      <c r="H483" s="13">
        <f t="shared" si="56"/>
        <v>5.1608656820917531E-2</v>
      </c>
      <c r="I483">
        <f t="shared" si="57"/>
        <v>64.649143313542012</v>
      </c>
      <c r="J483">
        <f t="shared" si="52"/>
        <v>200.50131340480544</v>
      </c>
      <c r="K483" s="27">
        <f t="shared" si="53"/>
        <v>2074.9042314716648</v>
      </c>
    </row>
    <row r="484" spans="1:11">
      <c r="A484" s="26">
        <v>434</v>
      </c>
      <c r="B484" s="82">
        <f t="shared" si="54"/>
        <v>3.2921237647087764E-4</v>
      </c>
      <c r="C484" s="58">
        <f t="shared" si="58"/>
        <v>42.445473081476067</v>
      </c>
      <c r="D484" s="83">
        <f t="shared" si="55"/>
        <v>180.72960570149755</v>
      </c>
      <c r="E484">
        <f t="shared" si="51"/>
        <v>10.753165239534601</v>
      </c>
      <c r="G484">
        <v>434</v>
      </c>
      <c r="H484" s="13">
        <f t="shared" si="56"/>
        <v>5.1608656820917531E-2</v>
      </c>
      <c r="I484">
        <f t="shared" si="57"/>
        <v>64.70075197036293</v>
      </c>
      <c r="J484">
        <f t="shared" si="52"/>
        <v>200.52026830880871</v>
      </c>
      <c r="K484" s="27">
        <f t="shared" si="53"/>
        <v>2075.2957239834564</v>
      </c>
    </row>
    <row r="485" spans="1:11">
      <c r="A485" s="26">
        <v>435</v>
      </c>
      <c r="B485" s="82">
        <f t="shared" si="54"/>
        <v>3.2921237647087764E-4</v>
      </c>
      <c r="C485" s="58">
        <f t="shared" si="58"/>
        <v>42.445802293852537</v>
      </c>
      <c r="D485" s="83">
        <f t="shared" si="55"/>
        <v>180.7302563464583</v>
      </c>
      <c r="E485">
        <f t="shared" si="51"/>
        <v>10.753242662785659</v>
      </c>
      <c r="G485">
        <v>435</v>
      </c>
      <c r="H485" s="13">
        <f t="shared" si="56"/>
        <v>5.1608656820917531E-2</v>
      </c>
      <c r="I485">
        <f t="shared" si="57"/>
        <v>64.752360627183847</v>
      </c>
      <c r="J485">
        <f t="shared" si="52"/>
        <v>200.53914395726531</v>
      </c>
      <c r="K485" s="27">
        <f t="shared" si="53"/>
        <v>2075.6856140459172</v>
      </c>
    </row>
    <row r="486" spans="1:11">
      <c r="A486" s="26">
        <v>436</v>
      </c>
      <c r="B486" s="82">
        <f t="shared" si="54"/>
        <v>3.2921237647087764E-4</v>
      </c>
      <c r="C486" s="58">
        <f t="shared" si="58"/>
        <v>42.446131506229008</v>
      </c>
      <c r="D486" s="83">
        <f t="shared" si="55"/>
        <v>180.73090696241235</v>
      </c>
      <c r="E486">
        <f t="shared" si="51"/>
        <v>10.753320082863885</v>
      </c>
      <c r="G486">
        <v>436</v>
      </c>
      <c r="H486" s="13">
        <f t="shared" si="56"/>
        <v>5.1608656820917531E-2</v>
      </c>
      <c r="I486">
        <f t="shared" si="57"/>
        <v>64.803969284004765</v>
      </c>
      <c r="J486">
        <f t="shared" si="52"/>
        <v>200.55794046779161</v>
      </c>
      <c r="K486" s="27">
        <f t="shared" si="53"/>
        <v>2076.07390362452</v>
      </c>
    </row>
    <row r="487" spans="1:11">
      <c r="A487" s="26">
        <v>437</v>
      </c>
      <c r="B487" s="82">
        <f t="shared" si="54"/>
        <v>3.2921237647087764E-4</v>
      </c>
      <c r="C487" s="58">
        <f t="shared" si="58"/>
        <v>42.446460718605479</v>
      </c>
      <c r="D487" s="83">
        <f t="shared" si="55"/>
        <v>180.73155754936272</v>
      </c>
      <c r="E487">
        <f t="shared" si="51"/>
        <v>10.753397499769605</v>
      </c>
      <c r="G487">
        <v>437</v>
      </c>
      <c r="H487" s="13">
        <f t="shared" si="56"/>
        <v>5.1608656820917531E-2</v>
      </c>
      <c r="I487">
        <f t="shared" si="57"/>
        <v>64.855577940825683</v>
      </c>
      <c r="J487">
        <f t="shared" si="52"/>
        <v>200.57665795727979</v>
      </c>
      <c r="K487" s="27">
        <f t="shared" si="53"/>
        <v>2076.4605946726356</v>
      </c>
    </row>
    <row r="488" spans="1:11">
      <c r="A488" s="26">
        <v>438</v>
      </c>
      <c r="B488" s="82">
        <f t="shared" si="54"/>
        <v>3.2921237647087764E-4</v>
      </c>
      <c r="C488" s="58">
        <f t="shared" si="58"/>
        <v>42.44678993098195</v>
      </c>
      <c r="D488" s="83">
        <f t="shared" si="55"/>
        <v>180.73220810731257</v>
      </c>
      <c r="E488">
        <f t="shared" si="51"/>
        <v>10.75347491350316</v>
      </c>
      <c r="G488">
        <v>438</v>
      </c>
      <c r="H488" s="13">
        <f t="shared" si="56"/>
        <v>5.1608656820917531E-2</v>
      </c>
      <c r="I488">
        <f t="shared" si="57"/>
        <v>64.9071865976466</v>
      </c>
      <c r="J488">
        <f t="shared" si="52"/>
        <v>200.59529654190186</v>
      </c>
      <c r="K488" s="27">
        <f t="shared" si="53"/>
        <v>2076.8456891315968</v>
      </c>
    </row>
    <row r="489" spans="1:11">
      <c r="A489" s="26">
        <v>439</v>
      </c>
      <c r="B489" s="82">
        <f t="shared" si="54"/>
        <v>3.2921237647087764E-4</v>
      </c>
      <c r="C489" s="58">
        <f t="shared" si="58"/>
        <v>42.447119143358421</v>
      </c>
      <c r="D489" s="83">
        <f t="shared" si="55"/>
        <v>180.73285863626495</v>
      </c>
      <c r="E489">
        <f t="shared" si="51"/>
        <v>10.75355232406487</v>
      </c>
      <c r="G489">
        <v>439</v>
      </c>
      <c r="H489" s="13">
        <f t="shared" si="56"/>
        <v>5.1608656820917531E-2</v>
      </c>
      <c r="I489">
        <f t="shared" si="57"/>
        <v>64.958795254467518</v>
      </c>
      <c r="J489">
        <f t="shared" si="52"/>
        <v>200.61385633711404</v>
      </c>
      <c r="K489" s="27">
        <f t="shared" si="53"/>
        <v>2077.2291889307721</v>
      </c>
    </row>
    <row r="490" spans="1:11">
      <c r="A490" s="26">
        <v>440</v>
      </c>
      <c r="B490" s="82">
        <f t="shared" si="54"/>
        <v>3.2921237647087764E-4</v>
      </c>
      <c r="C490" s="58">
        <f t="shared" si="58"/>
        <v>42.447448355734892</v>
      </c>
      <c r="D490" s="83">
        <f t="shared" si="55"/>
        <v>180.73350913622295</v>
      </c>
      <c r="E490">
        <f t="shared" si="51"/>
        <v>10.753629731455066</v>
      </c>
      <c r="G490">
        <v>440</v>
      </c>
      <c r="H490" s="13">
        <f t="shared" si="56"/>
        <v>5.1608656820917531E-2</v>
      </c>
      <c r="I490">
        <f t="shared" si="57"/>
        <v>65.010403911288435</v>
      </c>
      <c r="J490">
        <f t="shared" si="52"/>
        <v>200.63233745766064</v>
      </c>
      <c r="K490" s="27">
        <f t="shared" si="53"/>
        <v>2077.6110959876319</v>
      </c>
    </row>
    <row r="491" spans="1:11">
      <c r="A491" s="26">
        <v>441</v>
      </c>
      <c r="B491" s="82">
        <f t="shared" si="54"/>
        <v>3.2921237647087764E-4</v>
      </c>
      <c r="C491" s="58">
        <f t="shared" si="58"/>
        <v>42.447777568111363</v>
      </c>
      <c r="D491" s="83">
        <f t="shared" si="55"/>
        <v>180.73415960718964</v>
      </c>
      <c r="E491">
        <f t="shared" si="51"/>
        <v>10.753707135674079</v>
      </c>
      <c r="G491">
        <v>441</v>
      </c>
      <c r="H491" s="13">
        <f t="shared" si="56"/>
        <v>5.1608656820917531E-2</v>
      </c>
      <c r="I491">
        <f t="shared" si="57"/>
        <v>65.062012568109353</v>
      </c>
      <c r="J491">
        <f t="shared" si="52"/>
        <v>200.65074001757841</v>
      </c>
      <c r="K491" s="27">
        <f t="shared" si="53"/>
        <v>2077.9914122078198</v>
      </c>
    </row>
    <row r="492" spans="1:11">
      <c r="A492" s="26">
        <v>442</v>
      </c>
      <c r="B492" s="82">
        <f t="shared" si="54"/>
        <v>3.2921237647087764E-4</v>
      </c>
      <c r="C492" s="58">
        <f t="shared" si="58"/>
        <v>42.448106780487834</v>
      </c>
      <c r="D492" s="83">
        <f t="shared" si="55"/>
        <v>180.73481004916812</v>
      </c>
      <c r="E492">
        <f t="shared" si="51"/>
        <v>10.753784536722243</v>
      </c>
      <c r="G492">
        <v>442</v>
      </c>
      <c r="H492" s="13">
        <f t="shared" si="56"/>
        <v>5.1608656820917531E-2</v>
      </c>
      <c r="I492">
        <f t="shared" si="57"/>
        <v>65.11362122493027</v>
      </c>
      <c r="J492">
        <f t="shared" si="52"/>
        <v>200.66906413020041</v>
      </c>
      <c r="K492" s="27">
        <f t="shared" si="53"/>
        <v>2078.3701394852164</v>
      </c>
    </row>
    <row r="493" spans="1:11">
      <c r="A493" s="26">
        <v>443</v>
      </c>
      <c r="B493" s="82">
        <f t="shared" si="54"/>
        <v>3.2921237647087764E-4</v>
      </c>
      <c r="C493" s="58">
        <f t="shared" si="58"/>
        <v>42.448435992864304</v>
      </c>
      <c r="D493" s="83">
        <f t="shared" si="55"/>
        <v>180.73546046216151</v>
      </c>
      <c r="E493">
        <f t="shared" si="51"/>
        <v>10.753861934599888</v>
      </c>
      <c r="G493">
        <v>443</v>
      </c>
      <c r="H493" s="13">
        <f t="shared" si="56"/>
        <v>5.1608656820917531E-2</v>
      </c>
      <c r="I493">
        <f t="shared" si="57"/>
        <v>65.165229881751188</v>
      </c>
      <c r="J493">
        <f t="shared" si="52"/>
        <v>200.68730990816005</v>
      </c>
      <c r="K493" s="27">
        <f t="shared" si="53"/>
        <v>2078.7472797020096</v>
      </c>
    </row>
    <row r="494" spans="1:11">
      <c r="A494" s="26">
        <v>444</v>
      </c>
      <c r="B494" s="82">
        <f t="shared" si="54"/>
        <v>3.2921237647087764E-4</v>
      </c>
      <c r="C494" s="58">
        <f t="shared" si="58"/>
        <v>42.448765205240775</v>
      </c>
      <c r="D494" s="83">
        <f t="shared" si="55"/>
        <v>180.73611084617283</v>
      </c>
      <c r="E494">
        <f t="shared" si="51"/>
        <v>10.753939329307336</v>
      </c>
      <c r="G494">
        <v>444</v>
      </c>
      <c r="H494" s="13">
        <f t="shared" si="56"/>
        <v>5.1608656820917531E-2</v>
      </c>
      <c r="I494">
        <f t="shared" si="57"/>
        <v>65.216838538572105</v>
      </c>
      <c r="J494">
        <f t="shared" si="52"/>
        <v>200.70547746339511</v>
      </c>
      <c r="K494" s="27">
        <f t="shared" si="53"/>
        <v>2079.1228347287588</v>
      </c>
    </row>
    <row r="495" spans="1:11">
      <c r="A495" s="26">
        <v>445</v>
      </c>
      <c r="B495" s="82">
        <f t="shared" si="54"/>
        <v>3.2921237647087764E-4</v>
      </c>
      <c r="C495" s="58">
        <f t="shared" si="58"/>
        <v>42.449094417617246</v>
      </c>
      <c r="D495" s="83">
        <f t="shared" si="55"/>
        <v>180.73676120120521</v>
      </c>
      <c r="E495">
        <f t="shared" si="51"/>
        <v>10.754016720844923</v>
      </c>
      <c r="G495">
        <v>445</v>
      </c>
      <c r="H495" s="13">
        <f t="shared" si="56"/>
        <v>5.1608656820917531E-2</v>
      </c>
      <c r="I495">
        <f t="shared" si="57"/>
        <v>65.268447195393023</v>
      </c>
      <c r="J495">
        <f t="shared" si="52"/>
        <v>200.72356690715173</v>
      </c>
      <c r="K495" s="27">
        <f t="shared" si="53"/>
        <v>2079.4968064244613</v>
      </c>
    </row>
    <row r="496" spans="1:11">
      <c r="A496" s="26">
        <v>446</v>
      </c>
      <c r="B496" s="82">
        <f t="shared" si="54"/>
        <v>3.2921237647087764E-4</v>
      </c>
      <c r="C496" s="58">
        <f t="shared" si="58"/>
        <v>42.449423629993717</v>
      </c>
      <c r="D496" s="83">
        <f t="shared" si="55"/>
        <v>180.73741152726174</v>
      </c>
      <c r="E496">
        <f t="shared" si="51"/>
        <v>10.754094109212978</v>
      </c>
      <c r="G496">
        <v>446</v>
      </c>
      <c r="H496" s="13">
        <f t="shared" si="56"/>
        <v>5.1608656820917531E-2</v>
      </c>
      <c r="I496">
        <f t="shared" si="57"/>
        <v>65.32005585221394</v>
      </c>
      <c r="J496">
        <f t="shared" si="52"/>
        <v>200.74157834998815</v>
      </c>
      <c r="K496" s="27">
        <f t="shared" si="53"/>
        <v>2079.8691966366187</v>
      </c>
    </row>
    <row r="497" spans="1:11">
      <c r="A497" s="26">
        <v>447</v>
      </c>
      <c r="B497" s="82">
        <f t="shared" si="54"/>
        <v>3.2921237647087764E-4</v>
      </c>
      <c r="C497" s="58">
        <f t="shared" si="58"/>
        <v>42.449752842370188</v>
      </c>
      <c r="D497" s="83">
        <f t="shared" si="55"/>
        <v>180.73806182434546</v>
      </c>
      <c r="E497">
        <f t="shared" si="51"/>
        <v>10.75417149441183</v>
      </c>
      <c r="G497">
        <v>447</v>
      </c>
      <c r="H497" s="13">
        <f t="shared" si="56"/>
        <v>5.1608656820917531E-2</v>
      </c>
      <c r="I497">
        <f t="shared" si="57"/>
        <v>65.371664509034858</v>
      </c>
      <c r="J497">
        <f t="shared" si="52"/>
        <v>200.75951190177878</v>
      </c>
      <c r="K497" s="27">
        <f t="shared" si="53"/>
        <v>2080.2400072013002</v>
      </c>
    </row>
    <row r="498" spans="1:11">
      <c r="A498" s="26">
        <v>448</v>
      </c>
      <c r="B498" s="82">
        <f t="shared" si="54"/>
        <v>3.2921237647087764E-4</v>
      </c>
      <c r="C498" s="58">
        <f t="shared" si="58"/>
        <v>42.450082054746659</v>
      </c>
      <c r="D498" s="83">
        <f t="shared" si="55"/>
        <v>180.73871209245948</v>
      </c>
      <c r="E498">
        <f t="shared" si="51"/>
        <v>10.754248876441807</v>
      </c>
      <c r="G498">
        <v>448</v>
      </c>
      <c r="H498" s="13">
        <f t="shared" si="56"/>
        <v>5.1608656820917531E-2</v>
      </c>
      <c r="I498">
        <f t="shared" si="57"/>
        <v>65.423273165855775</v>
      </c>
      <c r="J498">
        <f t="shared" si="52"/>
        <v>200.77736767171791</v>
      </c>
      <c r="K498" s="27">
        <f t="shared" si="53"/>
        <v>2080.6092399432059</v>
      </c>
    </row>
    <row r="499" spans="1:11">
      <c r="A499" s="26">
        <v>449</v>
      </c>
      <c r="B499" s="82">
        <f t="shared" si="54"/>
        <v>3.2921237647087764E-4</v>
      </c>
      <c r="C499" s="58">
        <f t="shared" si="58"/>
        <v>42.45041126712313</v>
      </c>
      <c r="D499" s="83">
        <f t="shared" si="55"/>
        <v>180.73936233160688</v>
      </c>
      <c r="E499">
        <f t="shared" ref="E499:E562" si="59">((D499^2)+(D499*D500)+(D500^2))*B500/3</f>
        <v>10.754326255303242</v>
      </c>
      <c r="G499">
        <v>449</v>
      </c>
      <c r="H499" s="13">
        <f t="shared" si="56"/>
        <v>5.1608656820917531E-2</v>
      </c>
      <c r="I499">
        <f t="shared" si="57"/>
        <v>65.474881822676693</v>
      </c>
      <c r="J499">
        <f t="shared" ref="J499:J562" si="60">IF($G$28&lt;$C$14,0,((($C$11^2)-((I499-$C$13)^2))^0.5)+$C$16)</f>
        <v>200.79514576832349</v>
      </c>
      <c r="K499" s="27">
        <f t="shared" ref="K499:K562" si="61">((J499^2)+(J499*J500)+(J500^2))*H500/3</f>
        <v>2080.976896675732</v>
      </c>
    </row>
    <row r="500" spans="1:11">
      <c r="A500" s="26">
        <v>450</v>
      </c>
      <c r="B500" s="82">
        <f t="shared" ref="B500:B563" si="62">C500-C499</f>
        <v>3.2921237647087764E-4</v>
      </c>
      <c r="C500" s="58">
        <f t="shared" si="58"/>
        <v>42.450740479499601</v>
      </c>
      <c r="D500" s="83">
        <f t="shared" ref="D500:D563" si="63">IF($G$28&lt;$C$14,0,((($C$11^2)-((C500-$C$13)^2))^0.5)+$C$16)</f>
        <v>180.74001254179072</v>
      </c>
      <c r="E500">
        <f t="shared" si="59"/>
        <v>10.754403630996459</v>
      </c>
      <c r="G500">
        <v>450</v>
      </c>
      <c r="H500" s="13">
        <f t="shared" ref="H500:H563" si="64">I500-I499</f>
        <v>5.1608656820917531E-2</v>
      </c>
      <c r="I500">
        <f t="shared" ref="I500:I563" si="65">($G$27-$C$14)/2000+I499</f>
        <v>65.52649047949761</v>
      </c>
      <c r="J500">
        <f t="shared" si="60"/>
        <v>200.81284629944108</v>
      </c>
      <c r="K500" s="27">
        <f t="shared" si="61"/>
        <v>2081.3429792010343</v>
      </c>
    </row>
    <row r="501" spans="1:11">
      <c r="A501" s="26">
        <v>451</v>
      </c>
      <c r="B501" s="82">
        <f t="shared" si="62"/>
        <v>3.2921237647087764E-4</v>
      </c>
      <c r="C501" s="58">
        <f t="shared" si="58"/>
        <v>42.451069691876071</v>
      </c>
      <c r="D501" s="83">
        <f t="shared" si="63"/>
        <v>180.74066272301411</v>
      </c>
      <c r="E501">
        <f t="shared" si="59"/>
        <v>10.754481003521791</v>
      </c>
      <c r="G501">
        <v>451</v>
      </c>
      <c r="H501" s="13">
        <f t="shared" si="64"/>
        <v>5.1608656820917531E-2</v>
      </c>
      <c r="I501">
        <f t="shared" si="65"/>
        <v>65.578099136318528</v>
      </c>
      <c r="J501">
        <f t="shared" si="60"/>
        <v>200.83046937224736</v>
      </c>
      <c r="K501" s="27">
        <f t="shared" si="61"/>
        <v>2081.7074893100867</v>
      </c>
    </row>
    <row r="502" spans="1:11">
      <c r="A502" s="26">
        <v>452</v>
      </c>
      <c r="B502" s="82">
        <f t="shared" si="62"/>
        <v>3.2921237647087764E-4</v>
      </c>
      <c r="C502" s="58">
        <f t="shared" si="58"/>
        <v>42.451398904252542</v>
      </c>
      <c r="D502" s="83">
        <f t="shared" si="63"/>
        <v>180.74131287528013</v>
      </c>
      <c r="E502">
        <f t="shared" si="59"/>
        <v>10.75455837287957</v>
      </c>
      <c r="G502">
        <v>452</v>
      </c>
      <c r="H502" s="13">
        <f t="shared" si="64"/>
        <v>5.1608656820917531E-2</v>
      </c>
      <c r="I502">
        <f t="shared" si="65"/>
        <v>65.629707793139445</v>
      </c>
      <c r="J502">
        <f t="shared" si="60"/>
        <v>200.84801509325391</v>
      </c>
      <c r="K502" s="27">
        <f t="shared" si="61"/>
        <v>2082.0704287827466</v>
      </c>
    </row>
    <row r="503" spans="1:11">
      <c r="A503" s="26">
        <v>453</v>
      </c>
      <c r="B503" s="82">
        <f t="shared" si="62"/>
        <v>3.2921237647087764E-4</v>
      </c>
      <c r="C503" s="58">
        <f t="shared" si="58"/>
        <v>42.451728116629013</v>
      </c>
      <c r="D503" s="83">
        <f t="shared" si="63"/>
        <v>180.74196299859184</v>
      </c>
      <c r="E503">
        <f t="shared" si="59"/>
        <v>10.754635739070119</v>
      </c>
      <c r="G503">
        <v>453</v>
      </c>
      <c r="H503" s="13">
        <f t="shared" si="64"/>
        <v>5.1608656820917531E-2</v>
      </c>
      <c r="I503">
        <f t="shared" si="65"/>
        <v>65.681316449960363</v>
      </c>
      <c r="J503">
        <f t="shared" si="60"/>
        <v>200.86548356831099</v>
      </c>
      <c r="K503" s="27">
        <f t="shared" si="61"/>
        <v>2082.4317993878153</v>
      </c>
    </row>
    <row r="504" spans="1:11">
      <c r="A504" s="26">
        <v>454</v>
      </c>
      <c r="B504" s="82">
        <f t="shared" si="62"/>
        <v>3.2921237647087764E-4</v>
      </c>
      <c r="C504" s="58">
        <f t="shared" si="58"/>
        <v>42.452057329005484</v>
      </c>
      <c r="D504" s="83">
        <f t="shared" si="63"/>
        <v>180.7426130929523</v>
      </c>
      <c r="E504">
        <f t="shared" si="59"/>
        <v>10.754713102093769</v>
      </c>
      <c r="G504">
        <v>454</v>
      </c>
      <c r="H504" s="13">
        <f t="shared" si="64"/>
        <v>5.1608656820917531E-2</v>
      </c>
      <c r="I504">
        <f t="shared" si="65"/>
        <v>65.732925106781281</v>
      </c>
      <c r="J504">
        <f t="shared" si="60"/>
        <v>200.88287490261098</v>
      </c>
      <c r="K504" s="27">
        <f t="shared" si="61"/>
        <v>2082.7916028830964</v>
      </c>
    </row>
    <row r="505" spans="1:11">
      <c r="A505" s="26">
        <v>455</v>
      </c>
      <c r="B505" s="82">
        <f t="shared" si="62"/>
        <v>3.2921237647087764E-4</v>
      </c>
      <c r="C505" s="58">
        <f t="shared" si="58"/>
        <v>42.452386541381955</v>
      </c>
      <c r="D505" s="83">
        <f t="shared" si="63"/>
        <v>180.74326315836464</v>
      </c>
      <c r="E505">
        <f t="shared" si="59"/>
        <v>10.754790461950854</v>
      </c>
      <c r="G505">
        <v>455</v>
      </c>
      <c r="H505" s="13">
        <f t="shared" si="64"/>
        <v>5.1608656820917531E-2</v>
      </c>
      <c r="I505">
        <f t="shared" si="65"/>
        <v>65.784533763602198</v>
      </c>
      <c r="J505">
        <f t="shared" si="60"/>
        <v>200.90018920069213</v>
      </c>
      <c r="K505" s="27">
        <f t="shared" si="61"/>
        <v>2083.14984101546</v>
      </c>
    </row>
    <row r="506" spans="1:11">
      <c r="A506" s="26">
        <v>456</v>
      </c>
      <c r="B506" s="82">
        <f t="shared" si="62"/>
        <v>3.2921237647087764E-4</v>
      </c>
      <c r="C506" s="58">
        <f t="shared" si="58"/>
        <v>42.452715753758426</v>
      </c>
      <c r="D506" s="83">
        <f t="shared" si="63"/>
        <v>180.74391319483192</v>
      </c>
      <c r="E506">
        <f t="shared" si="59"/>
        <v>10.754867818641699</v>
      </c>
      <c r="G506">
        <v>456</v>
      </c>
      <c r="H506" s="13">
        <f t="shared" si="64"/>
        <v>5.1608656820917531E-2</v>
      </c>
      <c r="I506">
        <f t="shared" si="65"/>
        <v>65.836142420423116</v>
      </c>
      <c r="J506">
        <f t="shared" si="60"/>
        <v>200.91742656644209</v>
      </c>
      <c r="K506" s="27">
        <f t="shared" si="61"/>
        <v>2083.5065155208995</v>
      </c>
    </row>
    <row r="507" spans="1:11">
      <c r="A507" s="26">
        <v>457</v>
      </c>
      <c r="B507" s="82">
        <f t="shared" si="62"/>
        <v>3.2921237647087764E-4</v>
      </c>
      <c r="C507" s="58">
        <f t="shared" si="58"/>
        <v>42.453044966134897</v>
      </c>
      <c r="D507" s="83">
        <f t="shared" si="63"/>
        <v>180.74456320235717</v>
      </c>
      <c r="E507">
        <f t="shared" si="59"/>
        <v>10.75494517216663</v>
      </c>
      <c r="G507">
        <v>457</v>
      </c>
      <c r="H507" s="13">
        <f t="shared" si="64"/>
        <v>5.1608656820917531E-2</v>
      </c>
      <c r="I507">
        <f t="shared" si="65"/>
        <v>65.887751077244033</v>
      </c>
      <c r="J507">
        <f t="shared" si="60"/>
        <v>200.93458710310142</v>
      </c>
      <c r="K507" s="27">
        <f t="shared" si="61"/>
        <v>2083.86162812459</v>
      </c>
    </row>
    <row r="508" spans="1:11">
      <c r="A508" s="26">
        <v>458</v>
      </c>
      <c r="B508" s="82">
        <f t="shared" si="62"/>
        <v>3.2921237647087764E-4</v>
      </c>
      <c r="C508" s="58">
        <f t="shared" si="58"/>
        <v>42.453374178511368</v>
      </c>
      <c r="D508" s="83">
        <f t="shared" si="63"/>
        <v>180.74521318094355</v>
      </c>
      <c r="E508">
        <f t="shared" si="59"/>
        <v>10.755022522525984</v>
      </c>
      <c r="G508">
        <v>458</v>
      </c>
      <c r="H508" s="13">
        <f t="shared" si="64"/>
        <v>5.1608656820917531E-2</v>
      </c>
      <c r="I508">
        <f t="shared" si="65"/>
        <v>65.939359734064951</v>
      </c>
      <c r="J508">
        <f t="shared" si="60"/>
        <v>200.95167091326709</v>
      </c>
      <c r="K508" s="27">
        <f t="shared" si="61"/>
        <v>2084.2151805409476</v>
      </c>
    </row>
    <row r="509" spans="1:11">
      <c r="A509" s="26">
        <v>459</v>
      </c>
      <c r="B509" s="82">
        <f t="shared" si="62"/>
        <v>3.2921237647087764E-4</v>
      </c>
      <c r="C509" s="58">
        <f t="shared" si="58"/>
        <v>42.453703390887839</v>
      </c>
      <c r="D509" s="83">
        <f t="shared" si="63"/>
        <v>180.74586313059407</v>
      </c>
      <c r="E509">
        <f t="shared" si="59"/>
        <v>10.755099869720084</v>
      </c>
      <c r="G509">
        <v>459</v>
      </c>
      <c r="H509" s="13">
        <f t="shared" si="64"/>
        <v>5.1608656820917531E-2</v>
      </c>
      <c r="I509">
        <f t="shared" si="65"/>
        <v>65.990968390885868</v>
      </c>
      <c r="J509">
        <f t="shared" si="60"/>
        <v>200.96867809889596</v>
      </c>
      <c r="K509" s="27">
        <f t="shared" si="61"/>
        <v>2084.5671744736896</v>
      </c>
    </row>
    <row r="510" spans="1:11">
      <c r="A510" s="26">
        <v>460</v>
      </c>
      <c r="B510" s="82">
        <f t="shared" si="62"/>
        <v>3.2921237647087764E-4</v>
      </c>
      <c r="C510" s="58">
        <f t="shared" si="58"/>
        <v>42.454032603264309</v>
      </c>
      <c r="D510" s="83">
        <f t="shared" si="63"/>
        <v>180.74651305131181</v>
      </c>
      <c r="E510">
        <f t="shared" si="59"/>
        <v>10.755177213749258</v>
      </c>
      <c r="G510">
        <v>460</v>
      </c>
      <c r="H510" s="13">
        <f t="shared" si="64"/>
        <v>5.1608656820917531E-2</v>
      </c>
      <c r="I510">
        <f t="shared" si="65"/>
        <v>66.042577047706786</v>
      </c>
      <c r="J510">
        <f t="shared" si="60"/>
        <v>200.98560876130836</v>
      </c>
      <c r="K510" s="27">
        <f t="shared" si="61"/>
        <v>2084.9176116158883</v>
      </c>
    </row>
    <row r="511" spans="1:11">
      <c r="A511" s="26">
        <v>461</v>
      </c>
      <c r="B511" s="82">
        <f t="shared" si="62"/>
        <v>3.2921237647087764E-4</v>
      </c>
      <c r="C511" s="58">
        <f t="shared" si="58"/>
        <v>42.45436181564078</v>
      </c>
      <c r="D511" s="83">
        <f t="shared" si="63"/>
        <v>180.74716294309988</v>
      </c>
      <c r="E511">
        <f t="shared" si="59"/>
        <v>10.755254554613837</v>
      </c>
      <c r="G511">
        <v>461</v>
      </c>
      <c r="H511" s="13">
        <f t="shared" si="64"/>
        <v>5.1608656820917531E-2</v>
      </c>
      <c r="I511">
        <f t="shared" si="65"/>
        <v>66.094185704527703</v>
      </c>
      <c r="J511">
        <f t="shared" si="60"/>
        <v>201.00246300119119</v>
      </c>
      <c r="K511" s="27">
        <f t="shared" si="61"/>
        <v>2085.266493650031</v>
      </c>
    </row>
    <row r="512" spans="1:11">
      <c r="A512" s="26">
        <v>462</v>
      </c>
      <c r="B512" s="82">
        <f t="shared" si="62"/>
        <v>3.2921237647087764E-4</v>
      </c>
      <c r="C512" s="58">
        <f t="shared" si="58"/>
        <v>42.454691028017251</v>
      </c>
      <c r="D512" s="83">
        <f t="shared" si="63"/>
        <v>180.74781280596133</v>
      </c>
      <c r="E512">
        <f t="shared" si="59"/>
        <v>10.755331892314148</v>
      </c>
      <c r="G512">
        <v>462</v>
      </c>
      <c r="H512" s="13">
        <f t="shared" si="64"/>
        <v>5.1608656820917531E-2</v>
      </c>
      <c r="I512">
        <f t="shared" si="65"/>
        <v>66.145794361348621</v>
      </c>
      <c r="J512">
        <f t="shared" si="60"/>
        <v>201.01924091860167</v>
      </c>
      <c r="K512" s="27">
        <f t="shared" si="61"/>
        <v>2085.6138222480736</v>
      </c>
    </row>
    <row r="513" spans="1:11">
      <c r="A513" s="26">
        <v>463</v>
      </c>
      <c r="B513" s="82">
        <f t="shared" si="62"/>
        <v>3.2921237647087764E-4</v>
      </c>
      <c r="C513" s="58">
        <f t="shared" si="58"/>
        <v>42.455020240393722</v>
      </c>
      <c r="D513" s="83">
        <f t="shared" si="63"/>
        <v>180.74846263989923</v>
      </c>
      <c r="E513">
        <f t="shared" si="59"/>
        <v>10.755409226850524</v>
      </c>
      <c r="G513">
        <v>463</v>
      </c>
      <c r="H513" s="13">
        <f t="shared" si="64"/>
        <v>5.1608656820917531E-2</v>
      </c>
      <c r="I513">
        <f t="shared" si="65"/>
        <v>66.197403018169538</v>
      </c>
      <c r="J513">
        <f t="shared" si="60"/>
        <v>201.03594261297039</v>
      </c>
      <c r="K513" s="27">
        <f t="shared" si="61"/>
        <v>2085.9595990714997</v>
      </c>
    </row>
    <row r="514" spans="1:11">
      <c r="A514" s="26">
        <v>464</v>
      </c>
      <c r="B514" s="82">
        <f t="shared" si="62"/>
        <v>3.2921237647087764E-4</v>
      </c>
      <c r="C514" s="58">
        <f t="shared" si="58"/>
        <v>42.455349452770193</v>
      </c>
      <c r="D514" s="83">
        <f t="shared" si="63"/>
        <v>180.74911244491668</v>
      </c>
      <c r="E514">
        <f t="shared" si="59"/>
        <v>10.755486558223289</v>
      </c>
      <c r="G514">
        <v>464</v>
      </c>
      <c r="H514" s="13">
        <f t="shared" si="64"/>
        <v>5.1608656820917531E-2</v>
      </c>
      <c r="I514">
        <f t="shared" si="65"/>
        <v>66.249011674990456</v>
      </c>
      <c r="J514">
        <f t="shared" si="60"/>
        <v>201.05256818310482</v>
      </c>
      <c r="K514" s="27">
        <f t="shared" si="61"/>
        <v>2086.3038257713729</v>
      </c>
    </row>
    <row r="515" spans="1:11">
      <c r="A515" s="26">
        <v>465</v>
      </c>
      <c r="B515" s="82">
        <f t="shared" si="62"/>
        <v>3.2921237647087764E-4</v>
      </c>
      <c r="C515" s="58">
        <f t="shared" si="58"/>
        <v>42.455678665146664</v>
      </c>
      <c r="D515" s="83">
        <f t="shared" si="63"/>
        <v>180.74976222101671</v>
      </c>
      <c r="E515">
        <f t="shared" si="59"/>
        <v>10.755563886432773</v>
      </c>
      <c r="G515">
        <v>465</v>
      </c>
      <c r="H515" s="13">
        <f t="shared" si="64"/>
        <v>5.1608656820917531E-2</v>
      </c>
      <c r="I515">
        <f t="shared" si="65"/>
        <v>66.300620331811373</v>
      </c>
      <c r="J515">
        <f t="shared" si="60"/>
        <v>201.06911772719255</v>
      </c>
      <c r="K515" s="27">
        <f t="shared" si="61"/>
        <v>2086.6465039883942</v>
      </c>
    </row>
    <row r="516" spans="1:11">
      <c r="A516" s="26">
        <v>466</v>
      </c>
      <c r="B516" s="82">
        <f t="shared" si="62"/>
        <v>3.2921237647087764E-4</v>
      </c>
      <c r="C516" s="58">
        <f t="shared" si="58"/>
        <v>42.456007877523135</v>
      </c>
      <c r="D516" s="83">
        <f t="shared" si="63"/>
        <v>180.75041196820243</v>
      </c>
      <c r="E516">
        <f t="shared" si="59"/>
        <v>10.755641211479308</v>
      </c>
      <c r="G516">
        <v>466</v>
      </c>
      <c r="H516" s="13">
        <f t="shared" si="64"/>
        <v>5.1608656820917531E-2</v>
      </c>
      <c r="I516">
        <f t="shared" si="65"/>
        <v>66.352228988632291</v>
      </c>
      <c r="J516">
        <f t="shared" si="60"/>
        <v>201.08559134280446</v>
      </c>
      <c r="K516" s="27">
        <f t="shared" si="61"/>
        <v>2086.9876353529548</v>
      </c>
    </row>
    <row r="517" spans="1:11">
      <c r="A517" s="26">
        <v>467</v>
      </c>
      <c r="B517" s="82">
        <f t="shared" si="62"/>
        <v>3.2921237647087764E-4</v>
      </c>
      <c r="C517" s="58">
        <f t="shared" si="58"/>
        <v>42.456337089899606</v>
      </c>
      <c r="D517" s="83">
        <f t="shared" si="63"/>
        <v>180.7510616864769</v>
      </c>
      <c r="E517">
        <f t="shared" si="59"/>
        <v>10.755718533363215</v>
      </c>
      <c r="G517">
        <v>467</v>
      </c>
      <c r="H517" s="13">
        <f t="shared" si="64"/>
        <v>5.1608656820917531E-2</v>
      </c>
      <c r="I517">
        <f t="shared" si="65"/>
        <v>66.403837645453208</v>
      </c>
      <c r="J517">
        <f t="shared" si="60"/>
        <v>201.10198912689813</v>
      </c>
      <c r="K517" s="27">
        <f t="shared" si="61"/>
        <v>2087.3272214851909</v>
      </c>
    </row>
    <row r="518" spans="1:11">
      <c r="A518" s="26">
        <v>468</v>
      </c>
      <c r="B518" s="82">
        <f t="shared" si="62"/>
        <v>3.2921237647087764E-4</v>
      </c>
      <c r="C518" s="58">
        <f t="shared" si="58"/>
        <v>42.456666302276076</v>
      </c>
      <c r="D518" s="83">
        <f t="shared" si="63"/>
        <v>180.75171137584317</v>
      </c>
      <c r="E518">
        <f t="shared" si="59"/>
        <v>10.755795852084828</v>
      </c>
      <c r="G518">
        <v>468</v>
      </c>
      <c r="H518" s="13">
        <f t="shared" si="64"/>
        <v>5.1608656820917531E-2</v>
      </c>
      <c r="I518">
        <f t="shared" si="65"/>
        <v>66.455446302274126</v>
      </c>
      <c r="J518">
        <f t="shared" si="60"/>
        <v>201.11831117582091</v>
      </c>
      <c r="K518" s="27">
        <f t="shared" si="61"/>
        <v>2087.6652639950375</v>
      </c>
    </row>
    <row r="519" spans="1:11">
      <c r="A519" s="26">
        <v>469</v>
      </c>
      <c r="B519" s="82">
        <f t="shared" si="62"/>
        <v>3.2921237647087764E-4</v>
      </c>
      <c r="C519" s="58">
        <f t="shared" si="58"/>
        <v>42.456995514652547</v>
      </c>
      <c r="D519" s="83">
        <f t="shared" si="63"/>
        <v>180.75236103630436</v>
      </c>
      <c r="E519">
        <f t="shared" si="59"/>
        <v>10.755873167644472</v>
      </c>
      <c r="G519">
        <v>469</v>
      </c>
      <c r="H519" s="13">
        <f t="shared" si="64"/>
        <v>5.1608656820917531E-2</v>
      </c>
      <c r="I519">
        <f t="shared" si="65"/>
        <v>66.507054959095044</v>
      </c>
      <c r="J519">
        <f t="shared" si="60"/>
        <v>201.13455758531308</v>
      </c>
      <c r="K519" s="27">
        <f t="shared" si="61"/>
        <v>2088.0017644822815</v>
      </c>
    </row>
    <row r="520" spans="1:11">
      <c r="A520" s="26">
        <v>470</v>
      </c>
      <c r="B520" s="82">
        <f t="shared" si="62"/>
        <v>3.2921237647087764E-4</v>
      </c>
      <c r="C520" s="58">
        <f t="shared" si="58"/>
        <v>42.457324727029018</v>
      </c>
      <c r="D520" s="83">
        <f t="shared" si="63"/>
        <v>180.75301066786346</v>
      </c>
      <c r="E520">
        <f t="shared" si="59"/>
        <v>10.755950480042474</v>
      </c>
      <c r="G520">
        <v>470</v>
      </c>
      <c r="H520" s="13">
        <f t="shared" si="64"/>
        <v>5.1608656820917531E-2</v>
      </c>
      <c r="I520">
        <f t="shared" si="65"/>
        <v>66.558663615915961</v>
      </c>
      <c r="J520">
        <f t="shared" si="60"/>
        <v>201.15072845051117</v>
      </c>
      <c r="K520" s="27">
        <f t="shared" si="61"/>
        <v>2088.3367245366103</v>
      </c>
    </row>
    <row r="521" spans="1:11">
      <c r="A521" s="26">
        <v>471</v>
      </c>
      <c r="B521" s="82">
        <f t="shared" si="62"/>
        <v>3.2921237647087764E-4</v>
      </c>
      <c r="C521" s="58">
        <f t="shared" si="58"/>
        <v>42.457653939405489</v>
      </c>
      <c r="D521" s="83">
        <f t="shared" si="63"/>
        <v>180.75366027052362</v>
      </c>
      <c r="E521">
        <f t="shared" si="59"/>
        <v>10.756027789279171</v>
      </c>
      <c r="G521">
        <v>471</v>
      </c>
      <c r="H521" s="13">
        <f t="shared" si="64"/>
        <v>5.1608656820917531E-2</v>
      </c>
      <c r="I521">
        <f t="shared" si="65"/>
        <v>66.610272272736879</v>
      </c>
      <c r="J521">
        <f t="shared" si="60"/>
        <v>201.16682386595085</v>
      </c>
      <c r="K521" s="27">
        <f t="shared" si="61"/>
        <v>2088.6701457376716</v>
      </c>
    </row>
    <row r="522" spans="1:11">
      <c r="A522" s="26">
        <v>472</v>
      </c>
      <c r="B522" s="82">
        <f t="shared" si="62"/>
        <v>3.2921237647087764E-4</v>
      </c>
      <c r="C522" s="58">
        <f t="shared" si="58"/>
        <v>42.45798315178196</v>
      </c>
      <c r="D522" s="83">
        <f t="shared" si="63"/>
        <v>180.75430984428789</v>
      </c>
      <c r="E522">
        <f t="shared" si="59"/>
        <v>10.756105095354883</v>
      </c>
      <c r="G522">
        <v>472</v>
      </c>
      <c r="H522" s="13">
        <f t="shared" si="64"/>
        <v>5.1608656820917531E-2</v>
      </c>
      <c r="I522">
        <f t="shared" si="65"/>
        <v>66.661880929557796</v>
      </c>
      <c r="J522">
        <f t="shared" si="60"/>
        <v>201.18284392557027</v>
      </c>
      <c r="K522" s="27">
        <f t="shared" si="61"/>
        <v>2089.0020296551183</v>
      </c>
    </row>
    <row r="523" spans="1:11">
      <c r="A523" s="26">
        <v>473</v>
      </c>
      <c r="B523" s="82">
        <f t="shared" si="62"/>
        <v>3.2921237647087764E-4</v>
      </c>
      <c r="C523" s="58">
        <f t="shared" si="58"/>
        <v>42.458312364158431</v>
      </c>
      <c r="D523" s="83">
        <f t="shared" si="63"/>
        <v>180.7549593891593</v>
      </c>
      <c r="E523">
        <f t="shared" si="59"/>
        <v>10.756182398269937</v>
      </c>
      <c r="G523">
        <v>473</v>
      </c>
      <c r="H523" s="13">
        <f t="shared" si="64"/>
        <v>5.1608656820917531E-2</v>
      </c>
      <c r="I523">
        <f t="shared" si="65"/>
        <v>66.713489586378714</v>
      </c>
      <c r="J523">
        <f t="shared" si="60"/>
        <v>201.19878872271283</v>
      </c>
      <c r="K523" s="27">
        <f t="shared" si="61"/>
        <v>2089.3323778486624</v>
      </c>
    </row>
    <row r="524" spans="1:11">
      <c r="A524" s="26">
        <v>474</v>
      </c>
      <c r="B524" s="82">
        <f t="shared" si="62"/>
        <v>3.2921237647087764E-4</v>
      </c>
      <c r="C524" s="58">
        <f t="shared" si="58"/>
        <v>42.458641576534902</v>
      </c>
      <c r="D524" s="83">
        <f t="shared" si="63"/>
        <v>180.75560890514092</v>
      </c>
      <c r="E524">
        <f t="shared" si="59"/>
        <v>10.756259698024664</v>
      </c>
      <c r="G524">
        <v>474</v>
      </c>
      <c r="H524" s="13">
        <f t="shared" si="64"/>
        <v>5.1608656820917531E-2</v>
      </c>
      <c r="I524">
        <f t="shared" si="65"/>
        <v>66.765098243199631</v>
      </c>
      <c r="J524">
        <f t="shared" si="60"/>
        <v>201.21465835013055</v>
      </c>
      <c r="K524" s="27">
        <f t="shared" si="61"/>
        <v>2089.6611918681251</v>
      </c>
    </row>
    <row r="525" spans="1:11">
      <c r="A525" s="26">
        <v>475</v>
      </c>
      <c r="B525" s="82">
        <f t="shared" si="62"/>
        <v>3.2921237647087764E-4</v>
      </c>
      <c r="C525" s="58">
        <f t="shared" si="58"/>
        <v>42.458970788911373</v>
      </c>
      <c r="D525" s="83">
        <f t="shared" si="63"/>
        <v>180.75625839223585</v>
      </c>
      <c r="E525">
        <f t="shared" si="59"/>
        <v>10.756336994619394</v>
      </c>
      <c r="G525">
        <v>475</v>
      </c>
      <c r="H525" s="13">
        <f t="shared" si="64"/>
        <v>5.1608656820917531E-2</v>
      </c>
      <c r="I525">
        <f t="shared" si="65"/>
        <v>66.816706900020549</v>
      </c>
      <c r="J525">
        <f t="shared" si="60"/>
        <v>201.23045289998674</v>
      </c>
      <c r="K525" s="27">
        <f t="shared" si="61"/>
        <v>2089.9884732534879</v>
      </c>
    </row>
    <row r="526" spans="1:11">
      <c r="A526" s="26">
        <v>476</v>
      </c>
      <c r="B526" s="82">
        <f t="shared" si="62"/>
        <v>3.2921237647087764E-4</v>
      </c>
      <c r="C526" s="58">
        <f t="shared" si="58"/>
        <v>42.459300001287843</v>
      </c>
      <c r="D526" s="83">
        <f t="shared" si="63"/>
        <v>180.75690785044716</v>
      </c>
      <c r="E526">
        <f t="shared" si="59"/>
        <v>10.756414288054451</v>
      </c>
      <c r="G526">
        <v>476</v>
      </c>
      <c r="H526" s="13">
        <f t="shared" si="64"/>
        <v>5.1608656820917531E-2</v>
      </c>
      <c r="I526">
        <f t="shared" si="65"/>
        <v>66.868315556841466</v>
      </c>
      <c r="J526">
        <f t="shared" si="60"/>
        <v>201.24617246385935</v>
      </c>
      <c r="K526" s="27">
        <f t="shared" si="61"/>
        <v>2090.314223534941</v>
      </c>
    </row>
    <row r="527" spans="1:11">
      <c r="A527" s="26">
        <v>477</v>
      </c>
      <c r="B527" s="82">
        <f t="shared" si="62"/>
        <v>3.2921237647087764E-4</v>
      </c>
      <c r="C527" s="58">
        <f t="shared" si="58"/>
        <v>42.459629213664314</v>
      </c>
      <c r="D527" s="83">
        <f t="shared" si="63"/>
        <v>180.75755727977787</v>
      </c>
      <c r="E527">
        <f t="shared" si="59"/>
        <v>10.756491578330165</v>
      </c>
      <c r="G527">
        <v>477</v>
      </c>
      <c r="H527" s="13">
        <f t="shared" si="64"/>
        <v>5.1608656820917531E-2</v>
      </c>
      <c r="I527">
        <f t="shared" si="65"/>
        <v>66.919924213662384</v>
      </c>
      <c r="J527">
        <f t="shared" si="60"/>
        <v>201.26181713274354</v>
      </c>
      <c r="K527" s="27">
        <f t="shared" si="61"/>
        <v>2090.6384442329336</v>
      </c>
    </row>
    <row r="528" spans="1:11">
      <c r="A528" s="26">
        <v>478</v>
      </c>
      <c r="B528" s="82">
        <f t="shared" si="62"/>
        <v>3.2921237647087764E-4</v>
      </c>
      <c r="C528" s="58">
        <f t="shared" ref="C528:C591" si="66">($C$37-$C$36)/2000+C527</f>
        <v>42.459958426040785</v>
      </c>
      <c r="D528" s="83">
        <f t="shared" si="63"/>
        <v>180.7582066802311</v>
      </c>
      <c r="E528">
        <f t="shared" si="59"/>
        <v>10.756568865446864</v>
      </c>
      <c r="G528">
        <v>478</v>
      </c>
      <c r="H528" s="13">
        <f t="shared" si="64"/>
        <v>5.1608656820917531E-2</v>
      </c>
      <c r="I528">
        <f t="shared" si="65"/>
        <v>66.971532870483301</v>
      </c>
      <c r="J528">
        <f t="shared" si="60"/>
        <v>201.27738699705498</v>
      </c>
      <c r="K528" s="27">
        <f t="shared" si="61"/>
        <v>2090.9611368582232</v>
      </c>
    </row>
    <row r="529" spans="1:11">
      <c r="A529" s="26">
        <v>479</v>
      </c>
      <c r="B529" s="82">
        <f t="shared" si="62"/>
        <v>3.2921237647087764E-4</v>
      </c>
      <c r="C529" s="58">
        <f t="shared" si="66"/>
        <v>42.460287638417256</v>
      </c>
      <c r="D529" s="83">
        <f t="shared" si="63"/>
        <v>180.75885605180986</v>
      </c>
      <c r="E529">
        <f t="shared" si="59"/>
        <v>10.756646149404872</v>
      </c>
      <c r="G529">
        <v>479</v>
      </c>
      <c r="H529" s="13">
        <f t="shared" si="64"/>
        <v>5.1608656820917531E-2</v>
      </c>
      <c r="I529">
        <f t="shared" si="65"/>
        <v>67.023141527304219</v>
      </c>
      <c r="J529">
        <f t="shared" si="60"/>
        <v>201.29288214663242</v>
      </c>
      <c r="K529" s="27">
        <f t="shared" si="61"/>
        <v>2091.2823029119231</v>
      </c>
    </row>
    <row r="530" spans="1:11">
      <c r="A530" s="26">
        <v>480</v>
      </c>
      <c r="B530" s="82">
        <f t="shared" si="62"/>
        <v>3.2921237647087764E-4</v>
      </c>
      <c r="C530" s="58">
        <f t="shared" si="66"/>
        <v>42.460616850793727</v>
      </c>
      <c r="D530" s="83">
        <f t="shared" si="63"/>
        <v>180.75950539451728</v>
      </c>
      <c r="E530">
        <f t="shared" si="59"/>
        <v>10.756723430204522</v>
      </c>
      <c r="G530">
        <v>480</v>
      </c>
      <c r="H530" s="13">
        <f t="shared" si="64"/>
        <v>5.1608656820917531E-2</v>
      </c>
      <c r="I530">
        <f t="shared" si="65"/>
        <v>67.074750184125136</v>
      </c>
      <c r="J530">
        <f t="shared" si="60"/>
        <v>201.30830267074089</v>
      </c>
      <c r="K530" s="27">
        <f t="shared" si="61"/>
        <v>2091.601943885551</v>
      </c>
    </row>
    <row r="531" spans="1:11">
      <c r="A531" s="26">
        <v>481</v>
      </c>
      <c r="B531" s="82">
        <f t="shared" si="62"/>
        <v>3.2921237647087764E-4</v>
      </c>
      <c r="C531" s="58">
        <f t="shared" si="66"/>
        <v>42.460946063170198</v>
      </c>
      <c r="D531" s="83">
        <f t="shared" si="63"/>
        <v>180.76015470835634</v>
      </c>
      <c r="E531">
        <f t="shared" si="59"/>
        <v>10.756800707846137</v>
      </c>
      <c r="G531">
        <v>481</v>
      </c>
      <c r="H531" s="13">
        <f t="shared" si="64"/>
        <v>5.1608656820917531E-2</v>
      </c>
      <c r="I531">
        <f t="shared" si="65"/>
        <v>67.126358840946054</v>
      </c>
      <c r="J531">
        <f t="shared" si="60"/>
        <v>201.32364865807426</v>
      </c>
      <c r="K531" s="27">
        <f t="shared" si="61"/>
        <v>2091.9200612610771</v>
      </c>
    </row>
    <row r="532" spans="1:11">
      <c r="A532" s="26">
        <v>482</v>
      </c>
      <c r="B532" s="82">
        <f t="shared" si="62"/>
        <v>3.2921237647087764E-4</v>
      </c>
      <c r="C532" s="58">
        <f t="shared" si="66"/>
        <v>42.461275275546669</v>
      </c>
      <c r="D532" s="83">
        <f t="shared" si="63"/>
        <v>180.76080399333017</v>
      </c>
      <c r="E532">
        <f t="shared" si="59"/>
        <v>10.756877982330046</v>
      </c>
      <c r="G532">
        <v>482</v>
      </c>
      <c r="H532" s="13">
        <f t="shared" si="64"/>
        <v>5.1608656820917531E-2</v>
      </c>
      <c r="I532">
        <f t="shared" si="65"/>
        <v>67.177967497766971</v>
      </c>
      <c r="J532">
        <f t="shared" si="60"/>
        <v>201.33892019675835</v>
      </c>
      <c r="K532" s="27">
        <f t="shared" si="61"/>
        <v>2092.2366565109701</v>
      </c>
    </row>
    <row r="533" spans="1:11">
      <c r="A533" s="26">
        <v>483</v>
      </c>
      <c r="B533" s="82">
        <f t="shared" si="62"/>
        <v>3.2921237647087764E-4</v>
      </c>
      <c r="C533" s="58">
        <f t="shared" si="66"/>
        <v>42.46160448792314</v>
      </c>
      <c r="D533" s="83">
        <f t="shared" si="63"/>
        <v>180.76145324944181</v>
      </c>
      <c r="E533">
        <f t="shared" si="59"/>
        <v>10.756955253656576</v>
      </c>
      <c r="G533">
        <v>483</v>
      </c>
      <c r="H533" s="13">
        <f t="shared" si="64"/>
        <v>5.1608656820917531E-2</v>
      </c>
      <c r="I533">
        <f t="shared" si="65"/>
        <v>67.229576154587889</v>
      </c>
      <c r="J533">
        <f t="shared" si="60"/>
        <v>201.35411737435345</v>
      </c>
      <c r="K533" s="27">
        <f t="shared" si="61"/>
        <v>2092.5517310982436</v>
      </c>
    </row>
    <row r="534" spans="1:11">
      <c r="A534" s="26">
        <v>484</v>
      </c>
      <c r="B534" s="82">
        <f t="shared" si="62"/>
        <v>3.2921237647087764E-4</v>
      </c>
      <c r="C534" s="58">
        <f t="shared" si="66"/>
        <v>42.46193370029961</v>
      </c>
      <c r="D534" s="83">
        <f t="shared" si="63"/>
        <v>180.76210247669431</v>
      </c>
      <c r="E534">
        <f t="shared" si="59"/>
        <v>10.757032521826057</v>
      </c>
      <c r="G534">
        <v>484</v>
      </c>
      <c r="H534" s="13">
        <f t="shared" si="64"/>
        <v>5.1608656820917531E-2</v>
      </c>
      <c r="I534">
        <f t="shared" si="65"/>
        <v>67.281184811408806</v>
      </c>
      <c r="J534">
        <f t="shared" si="60"/>
        <v>201.36924027785733</v>
      </c>
      <c r="K534" s="27">
        <f t="shared" si="61"/>
        <v>2092.8652864765058</v>
      </c>
    </row>
    <row r="535" spans="1:11">
      <c r="A535" s="26">
        <v>485</v>
      </c>
      <c r="B535" s="82">
        <f t="shared" si="62"/>
        <v>3.2921237647087764E-4</v>
      </c>
      <c r="C535" s="58">
        <f t="shared" si="66"/>
        <v>42.462262912676081</v>
      </c>
      <c r="D535" s="83">
        <f t="shared" si="63"/>
        <v>180.76275167509075</v>
      </c>
      <c r="E535">
        <f t="shared" si="59"/>
        <v>10.757109786838813</v>
      </c>
      <c r="G535">
        <v>485</v>
      </c>
      <c r="H535" s="13">
        <f t="shared" si="64"/>
        <v>5.1608656820917531E-2</v>
      </c>
      <c r="I535">
        <f t="shared" si="65"/>
        <v>67.332793468229724</v>
      </c>
      <c r="J535">
        <f t="shared" si="60"/>
        <v>201.38428899370786</v>
      </c>
      <c r="K535" s="27">
        <f t="shared" si="61"/>
        <v>2093.1773240900025</v>
      </c>
    </row>
    <row r="536" spans="1:11">
      <c r="A536" s="26">
        <v>486</v>
      </c>
      <c r="B536" s="82">
        <f t="shared" si="62"/>
        <v>3.2921237647087764E-4</v>
      </c>
      <c r="C536" s="58">
        <f t="shared" si="66"/>
        <v>42.462592125052552</v>
      </c>
      <c r="D536" s="83">
        <f t="shared" si="63"/>
        <v>180.76340084463419</v>
      </c>
      <c r="E536">
        <f t="shared" si="59"/>
        <v>10.757187048695174</v>
      </c>
      <c r="G536">
        <v>486</v>
      </c>
      <c r="H536" s="13">
        <f t="shared" si="64"/>
        <v>5.1608656820917531E-2</v>
      </c>
      <c r="I536">
        <f t="shared" si="65"/>
        <v>67.384402125050642</v>
      </c>
      <c r="J536">
        <f t="shared" si="60"/>
        <v>201.39926360778583</v>
      </c>
      <c r="K536" s="27">
        <f t="shared" si="61"/>
        <v>2093.4878453736624</v>
      </c>
    </row>
    <row r="537" spans="1:11">
      <c r="A537" s="26">
        <v>487</v>
      </c>
      <c r="B537" s="82">
        <f t="shared" si="62"/>
        <v>3.2921237647087764E-4</v>
      </c>
      <c r="C537" s="58">
        <f t="shared" si="66"/>
        <v>42.462921337429023</v>
      </c>
      <c r="D537" s="83">
        <f t="shared" si="63"/>
        <v>180.76404998532769</v>
      </c>
      <c r="E537">
        <f t="shared" si="59"/>
        <v>10.757264307395465</v>
      </c>
      <c r="G537">
        <v>487</v>
      </c>
      <c r="H537" s="13">
        <f t="shared" si="64"/>
        <v>5.1608656820917531E-2</v>
      </c>
      <c r="I537">
        <f t="shared" si="65"/>
        <v>67.436010781871559</v>
      </c>
      <c r="J537">
        <f t="shared" si="60"/>
        <v>201.41416420541759</v>
      </c>
      <c r="K537" s="27">
        <f t="shared" si="61"/>
        <v>2093.7968517531449</v>
      </c>
    </row>
    <row r="538" spans="1:11">
      <c r="A538" s="26">
        <v>488</v>
      </c>
      <c r="B538" s="82">
        <f t="shared" si="62"/>
        <v>3.2921237647087764E-4</v>
      </c>
      <c r="C538" s="58">
        <f t="shared" si="66"/>
        <v>42.463250549805494</v>
      </c>
      <c r="D538" s="83">
        <f t="shared" si="63"/>
        <v>180.76469909717429</v>
      </c>
      <c r="E538">
        <f t="shared" si="59"/>
        <v>10.757341562940013</v>
      </c>
      <c r="G538">
        <v>488</v>
      </c>
      <c r="H538" s="13">
        <f t="shared" si="64"/>
        <v>5.1608656820917531E-2</v>
      </c>
      <c r="I538">
        <f t="shared" si="65"/>
        <v>67.487619438692477</v>
      </c>
      <c r="J538">
        <f t="shared" si="60"/>
        <v>201.42899087137775</v>
      </c>
      <c r="K538" s="27">
        <f t="shared" si="61"/>
        <v>2094.1043446448816</v>
      </c>
    </row>
    <row r="539" spans="1:11">
      <c r="A539" s="26">
        <v>489</v>
      </c>
      <c r="B539" s="82">
        <f t="shared" si="62"/>
        <v>3.2921237647087764E-4</v>
      </c>
      <c r="C539" s="58">
        <f t="shared" si="66"/>
        <v>42.463579762181965</v>
      </c>
      <c r="D539" s="83">
        <f t="shared" si="63"/>
        <v>180.76534818017706</v>
      </c>
      <c r="E539">
        <f t="shared" si="59"/>
        <v>10.757418815329146</v>
      </c>
      <c r="G539">
        <v>489</v>
      </c>
      <c r="H539" s="13">
        <f t="shared" si="64"/>
        <v>5.1608656820917531E-2</v>
      </c>
      <c r="I539">
        <f t="shared" si="65"/>
        <v>67.539228095513394</v>
      </c>
      <c r="J539">
        <f t="shared" si="60"/>
        <v>201.44374368989187</v>
      </c>
      <c r="K539" s="27">
        <f t="shared" si="61"/>
        <v>2094.4103254561228</v>
      </c>
    </row>
    <row r="540" spans="1:11">
      <c r="A540" s="26">
        <v>490</v>
      </c>
      <c r="B540" s="82">
        <f t="shared" si="62"/>
        <v>3.2921237647087764E-4</v>
      </c>
      <c r="C540" s="58">
        <f t="shared" si="66"/>
        <v>42.463908974558436</v>
      </c>
      <c r="D540" s="83">
        <f t="shared" si="63"/>
        <v>180.76599723433904</v>
      </c>
      <c r="E540">
        <f t="shared" si="59"/>
        <v>10.757496064563187</v>
      </c>
      <c r="G540">
        <v>490</v>
      </c>
      <c r="H540" s="13">
        <f t="shared" si="64"/>
        <v>5.1608656820917531E-2</v>
      </c>
      <c r="I540">
        <f t="shared" si="65"/>
        <v>67.590836752334312</v>
      </c>
      <c r="J540">
        <f t="shared" si="60"/>
        <v>201.45842274463905</v>
      </c>
      <c r="K540" s="27">
        <f t="shared" si="61"/>
        <v>2094.7147955849828</v>
      </c>
    </row>
    <row r="541" spans="1:11">
      <c r="A541" s="26">
        <v>491</v>
      </c>
      <c r="B541" s="82">
        <f t="shared" si="62"/>
        <v>3.2921237647087764E-4</v>
      </c>
      <c r="C541" s="58">
        <f t="shared" si="66"/>
        <v>42.464238186934907</v>
      </c>
      <c r="D541" s="83">
        <f t="shared" si="63"/>
        <v>180.7666462596633</v>
      </c>
      <c r="E541">
        <f t="shared" si="59"/>
        <v>10.757573310642469</v>
      </c>
      <c r="G541">
        <v>491</v>
      </c>
      <c r="H541" s="13">
        <f t="shared" si="64"/>
        <v>5.1608656820917531E-2</v>
      </c>
      <c r="I541">
        <f t="shared" si="65"/>
        <v>67.642445409155229</v>
      </c>
      <c r="J541">
        <f t="shared" si="60"/>
        <v>201.47302811875457</v>
      </c>
      <c r="K541" s="27">
        <f t="shared" si="61"/>
        <v>2095.0177564204796</v>
      </c>
    </row>
    <row r="542" spans="1:11">
      <c r="A542" s="26">
        <v>492</v>
      </c>
      <c r="B542" s="82">
        <f t="shared" si="62"/>
        <v>3.2921237647087764E-4</v>
      </c>
      <c r="C542" s="58">
        <f t="shared" si="66"/>
        <v>42.464567399311377</v>
      </c>
      <c r="D542" s="83">
        <f t="shared" si="63"/>
        <v>180.76729525615292</v>
      </c>
      <c r="E542">
        <f t="shared" si="59"/>
        <v>10.757650553567318</v>
      </c>
      <c r="G542">
        <v>492</v>
      </c>
      <c r="H542" s="13">
        <f t="shared" si="64"/>
        <v>5.1608656820917531E-2</v>
      </c>
      <c r="I542">
        <f t="shared" si="65"/>
        <v>67.694054065976147</v>
      </c>
      <c r="J542">
        <f t="shared" si="60"/>
        <v>201.48755989483249</v>
      </c>
      <c r="K542" s="27">
        <f t="shared" si="61"/>
        <v>2095.3192093425805</v>
      </c>
    </row>
    <row r="543" spans="1:11">
      <c r="A543" s="26">
        <v>493</v>
      </c>
      <c r="B543" s="82">
        <f t="shared" si="62"/>
        <v>3.2921237647087764E-4</v>
      </c>
      <c r="C543" s="58">
        <f t="shared" si="66"/>
        <v>42.464896611687848</v>
      </c>
      <c r="D543" s="83">
        <f t="shared" si="63"/>
        <v>180.76794422381096</v>
      </c>
      <c r="E543">
        <f t="shared" si="59"/>
        <v>10.757727793338058</v>
      </c>
      <c r="G543">
        <v>493</v>
      </c>
      <c r="H543" s="13">
        <f t="shared" si="64"/>
        <v>5.1608656820917531E-2</v>
      </c>
      <c r="I543">
        <f t="shared" si="65"/>
        <v>67.745662722797064</v>
      </c>
      <c r="J543">
        <f t="shared" si="60"/>
        <v>201.50201815492812</v>
      </c>
      <c r="K543" s="27">
        <f t="shared" si="61"/>
        <v>2095.6191557222446</v>
      </c>
    </row>
    <row r="544" spans="1:11">
      <c r="A544" s="26">
        <v>494</v>
      </c>
      <c r="B544" s="82">
        <f t="shared" si="62"/>
        <v>3.2921237647087764E-4</v>
      </c>
      <c r="C544" s="58">
        <f t="shared" si="66"/>
        <v>42.465225824064319</v>
      </c>
      <c r="D544" s="83">
        <f t="shared" si="63"/>
        <v>180.76859316264043</v>
      </c>
      <c r="E544">
        <f t="shared" si="59"/>
        <v>10.757805029955017</v>
      </c>
      <c r="G544">
        <v>494</v>
      </c>
      <c r="H544" s="13">
        <f t="shared" si="64"/>
        <v>5.1608656820917531E-2</v>
      </c>
      <c r="I544">
        <f t="shared" si="65"/>
        <v>67.797271379617982</v>
      </c>
      <c r="J544">
        <f t="shared" si="60"/>
        <v>201.51640298056077</v>
      </c>
      <c r="K544" s="27">
        <f t="shared" si="61"/>
        <v>2095.9175969214671</v>
      </c>
    </row>
    <row r="545" spans="1:11">
      <c r="A545" s="26">
        <v>495</v>
      </c>
      <c r="B545" s="82">
        <f t="shared" si="62"/>
        <v>3.2921237647087764E-4</v>
      </c>
      <c r="C545" s="58">
        <f t="shared" si="66"/>
        <v>42.46555503644079</v>
      </c>
      <c r="D545" s="83">
        <f t="shared" si="63"/>
        <v>180.76924207264443</v>
      </c>
      <c r="E545">
        <f t="shared" si="59"/>
        <v>10.757882263418523</v>
      </c>
      <c r="G545">
        <v>495</v>
      </c>
      <c r="H545" s="13">
        <f t="shared" si="64"/>
        <v>5.1608656820917531E-2</v>
      </c>
      <c r="I545">
        <f t="shared" si="65"/>
        <v>67.848880036438899</v>
      </c>
      <c r="J545">
        <f t="shared" si="60"/>
        <v>201.53071445271604</v>
      </c>
      <c r="K545" s="27">
        <f t="shared" si="61"/>
        <v>2096.2145342933168</v>
      </c>
    </row>
    <row r="546" spans="1:11">
      <c r="A546" s="26">
        <v>496</v>
      </c>
      <c r="B546" s="82">
        <f t="shared" si="62"/>
        <v>3.2921237647087764E-4</v>
      </c>
      <c r="C546" s="58">
        <f t="shared" si="66"/>
        <v>42.465884248817261</v>
      </c>
      <c r="D546" s="83">
        <f t="shared" si="63"/>
        <v>180.76989095382598</v>
      </c>
      <c r="E546">
        <f t="shared" si="59"/>
        <v>10.757959493728899</v>
      </c>
      <c r="G546">
        <v>496</v>
      </c>
      <c r="H546" s="13">
        <f t="shared" si="64"/>
        <v>5.1608656820917531E-2</v>
      </c>
      <c r="I546">
        <f t="shared" si="65"/>
        <v>67.900488693259817</v>
      </c>
      <c r="J546">
        <f t="shared" si="60"/>
        <v>201.54495265184849</v>
      </c>
      <c r="K546" s="27">
        <f t="shared" si="61"/>
        <v>2096.5099691819823</v>
      </c>
    </row>
    <row r="547" spans="1:11">
      <c r="A547" s="26">
        <v>497</v>
      </c>
      <c r="B547" s="82">
        <f t="shared" si="62"/>
        <v>3.2921237647087764E-4</v>
      </c>
      <c r="C547" s="58">
        <f t="shared" si="66"/>
        <v>42.466213461193732</v>
      </c>
      <c r="D547" s="83">
        <f t="shared" si="63"/>
        <v>180.77053980618814</v>
      </c>
      <c r="E547">
        <f t="shared" si="59"/>
        <v>10.758036720886475</v>
      </c>
      <c r="G547">
        <v>497</v>
      </c>
      <c r="H547" s="13">
        <f t="shared" si="64"/>
        <v>5.1608656820917531E-2</v>
      </c>
      <c r="I547">
        <f t="shared" si="65"/>
        <v>67.952097350080734</v>
      </c>
      <c r="J547">
        <f t="shared" si="60"/>
        <v>201.559117657884</v>
      </c>
      <c r="K547" s="27">
        <f t="shared" si="61"/>
        <v>2096.8039029228116</v>
      </c>
    </row>
    <row r="548" spans="1:11">
      <c r="A548" s="26">
        <v>498</v>
      </c>
      <c r="B548" s="82">
        <f t="shared" si="62"/>
        <v>3.2921237647087764E-4</v>
      </c>
      <c r="C548" s="58">
        <f t="shared" si="66"/>
        <v>42.466542673570203</v>
      </c>
      <c r="D548" s="83">
        <f t="shared" si="63"/>
        <v>180.77118862973398</v>
      </c>
      <c r="E548">
        <f t="shared" si="59"/>
        <v>10.758113944891576</v>
      </c>
      <c r="G548">
        <v>498</v>
      </c>
      <c r="H548" s="13">
        <f t="shared" si="64"/>
        <v>5.1608656820917531E-2</v>
      </c>
      <c r="I548">
        <f t="shared" si="65"/>
        <v>68.003706006901652</v>
      </c>
      <c r="J548">
        <f t="shared" si="60"/>
        <v>201.57320955022229</v>
      </c>
      <c r="K548" s="27">
        <f t="shared" si="61"/>
        <v>2097.0963368423531</v>
      </c>
    </row>
    <row r="549" spans="1:11">
      <c r="A549" s="26">
        <v>499</v>
      </c>
      <c r="B549" s="82">
        <f t="shared" si="62"/>
        <v>3.2921237647087764E-4</v>
      </c>
      <c r="C549" s="58">
        <f t="shared" si="66"/>
        <v>42.466871885946674</v>
      </c>
      <c r="D549" s="83">
        <f t="shared" si="63"/>
        <v>180.77183742446658</v>
      </c>
      <c r="E549">
        <f t="shared" si="59"/>
        <v>10.758191165744529</v>
      </c>
      <c r="G549">
        <v>499</v>
      </c>
      <c r="H549" s="13">
        <f t="shared" si="64"/>
        <v>5.1608656820917531E-2</v>
      </c>
      <c r="I549">
        <f t="shared" si="65"/>
        <v>68.055314663722569</v>
      </c>
      <c r="J549">
        <f t="shared" si="60"/>
        <v>201.58722840773933</v>
      </c>
      <c r="K549" s="27">
        <f t="shared" si="61"/>
        <v>2097.3872722583947</v>
      </c>
    </row>
    <row r="550" spans="1:11">
      <c r="A550" s="26">
        <v>500</v>
      </c>
      <c r="B550" s="82">
        <f t="shared" si="62"/>
        <v>3.2921237647087764E-4</v>
      </c>
      <c r="C550" s="58">
        <f t="shared" si="66"/>
        <v>42.467201098323144</v>
      </c>
      <c r="D550" s="83">
        <f t="shared" si="63"/>
        <v>180.77248619038892</v>
      </c>
      <c r="E550">
        <f t="shared" si="59"/>
        <v>10.75826838344566</v>
      </c>
      <c r="G550">
        <v>500</v>
      </c>
      <c r="H550" s="13">
        <f t="shared" si="64"/>
        <v>5.1608656820917531E-2</v>
      </c>
      <c r="I550">
        <f t="shared" si="65"/>
        <v>68.106923320543487</v>
      </c>
      <c r="J550">
        <f t="shared" si="60"/>
        <v>201.60117430878981</v>
      </c>
      <c r="K550" s="27">
        <f t="shared" si="61"/>
        <v>2097.6767104800074</v>
      </c>
    </row>
    <row r="551" spans="1:11">
      <c r="A551" s="26">
        <v>501</v>
      </c>
      <c r="B551" s="82">
        <f t="shared" si="62"/>
        <v>3.2921237647087764E-4</v>
      </c>
      <c r="C551" s="58">
        <f t="shared" si="66"/>
        <v>42.467530310699615</v>
      </c>
      <c r="D551" s="83">
        <f t="shared" si="63"/>
        <v>180.77313492750412</v>
      </c>
      <c r="E551">
        <f t="shared" si="59"/>
        <v>10.758345597995294</v>
      </c>
      <c r="G551">
        <v>501</v>
      </c>
      <c r="H551" s="13">
        <f t="shared" si="64"/>
        <v>5.1608656820917531E-2</v>
      </c>
      <c r="I551">
        <f t="shared" si="65"/>
        <v>68.158531977364404</v>
      </c>
      <c r="J551">
        <f t="shared" si="60"/>
        <v>201.61504733120938</v>
      </c>
      <c r="K551" s="27">
        <f t="shared" si="61"/>
        <v>2097.9646528075823</v>
      </c>
    </row>
    <row r="552" spans="1:11">
      <c r="A552" s="26">
        <v>502</v>
      </c>
      <c r="B552" s="82">
        <f t="shared" si="62"/>
        <v>3.2921237647087764E-4</v>
      </c>
      <c r="C552" s="58">
        <f t="shared" si="66"/>
        <v>42.467859523076086</v>
      </c>
      <c r="D552" s="83">
        <f t="shared" si="63"/>
        <v>180.77378363581516</v>
      </c>
      <c r="E552">
        <f t="shared" si="59"/>
        <v>10.758422809393762</v>
      </c>
      <c r="G552">
        <v>502</v>
      </c>
      <c r="H552" s="13">
        <f t="shared" si="64"/>
        <v>5.1608656820917531E-2</v>
      </c>
      <c r="I552">
        <f t="shared" si="65"/>
        <v>68.210140634185322</v>
      </c>
      <c r="J552">
        <f t="shared" si="60"/>
        <v>201.62884755231724</v>
      </c>
      <c r="K552" s="27">
        <f t="shared" si="61"/>
        <v>2098.2511005328711</v>
      </c>
    </row>
    <row r="553" spans="1:11">
      <c r="A553" s="26">
        <v>503</v>
      </c>
      <c r="B553" s="82">
        <f t="shared" si="62"/>
        <v>3.2921237647087764E-4</v>
      </c>
      <c r="C553" s="58">
        <f t="shared" si="66"/>
        <v>42.468188735452557</v>
      </c>
      <c r="D553" s="83">
        <f t="shared" si="63"/>
        <v>180.77443231532516</v>
      </c>
      <c r="E553">
        <f t="shared" si="59"/>
        <v>10.758500017641383</v>
      </c>
      <c r="G553">
        <v>503</v>
      </c>
      <c r="H553" s="13">
        <f t="shared" si="64"/>
        <v>5.1608656820917531E-2</v>
      </c>
      <c r="I553">
        <f t="shared" si="65"/>
        <v>68.26174929100624</v>
      </c>
      <c r="J553">
        <f t="shared" si="60"/>
        <v>201.64257504891825</v>
      </c>
      <c r="K553" s="27">
        <f t="shared" si="61"/>
        <v>2098.5360549390257</v>
      </c>
    </row>
    <row r="554" spans="1:11">
      <c r="A554" s="26">
        <v>504</v>
      </c>
      <c r="B554" s="82">
        <f t="shared" si="62"/>
        <v>3.2921237647087764E-4</v>
      </c>
      <c r="C554" s="58">
        <f t="shared" si="66"/>
        <v>42.468517947829028</v>
      </c>
      <c r="D554" s="83">
        <f t="shared" si="63"/>
        <v>180.77508096603714</v>
      </c>
      <c r="E554">
        <f t="shared" si="59"/>
        <v>10.75857722273849</v>
      </c>
      <c r="G554">
        <v>504</v>
      </c>
      <c r="H554" s="13">
        <f t="shared" si="64"/>
        <v>5.1608656820917531E-2</v>
      </c>
      <c r="I554">
        <f t="shared" si="65"/>
        <v>68.313357947827157</v>
      </c>
      <c r="J554">
        <f t="shared" si="60"/>
        <v>201.65622989730545</v>
      </c>
      <c r="K554" s="27">
        <f t="shared" si="61"/>
        <v>2098.8195173006366</v>
      </c>
    </row>
    <row r="555" spans="1:11">
      <c r="A555" s="26">
        <v>505</v>
      </c>
      <c r="B555" s="82">
        <f t="shared" si="62"/>
        <v>3.2921237647087764E-4</v>
      </c>
      <c r="C555" s="58">
        <f t="shared" si="66"/>
        <v>42.468847160205499</v>
      </c>
      <c r="D555" s="83">
        <f t="shared" si="63"/>
        <v>180.77572958795415</v>
      </c>
      <c r="E555">
        <f t="shared" si="59"/>
        <v>10.758654424685405</v>
      </c>
      <c r="G555">
        <v>505</v>
      </c>
      <c r="H555" s="13">
        <f t="shared" si="64"/>
        <v>5.1608656820917531E-2</v>
      </c>
      <c r="I555">
        <f t="shared" si="65"/>
        <v>68.364966604648075</v>
      </c>
      <c r="J555">
        <f t="shared" si="60"/>
        <v>201.6698121732623</v>
      </c>
      <c r="K555" s="27">
        <f t="shared" si="61"/>
        <v>2099.1014888837722</v>
      </c>
    </row>
    <row r="556" spans="1:11">
      <c r="A556" s="26">
        <v>506</v>
      </c>
      <c r="B556" s="82">
        <f t="shared" si="62"/>
        <v>3.2921237647087764E-4</v>
      </c>
      <c r="C556" s="58">
        <f t="shared" si="66"/>
        <v>42.46917637258197</v>
      </c>
      <c r="D556" s="83">
        <f t="shared" si="63"/>
        <v>180.77637818107925</v>
      </c>
      <c r="E556">
        <f t="shared" si="59"/>
        <v>10.758731623482454</v>
      </c>
      <c r="G556">
        <v>506</v>
      </c>
      <c r="H556" s="13">
        <f t="shared" si="64"/>
        <v>5.1608656820917531E-2</v>
      </c>
      <c r="I556">
        <f t="shared" si="65"/>
        <v>68.416575261468992</v>
      </c>
      <c r="J556">
        <f t="shared" si="60"/>
        <v>201.68332195206486</v>
      </c>
      <c r="K556" s="27">
        <f t="shared" si="61"/>
        <v>2099.3819709460145</v>
      </c>
    </row>
    <row r="557" spans="1:11">
      <c r="A557" s="26">
        <v>507</v>
      </c>
      <c r="B557" s="82">
        <f t="shared" si="62"/>
        <v>3.2921237647087764E-4</v>
      </c>
      <c r="C557" s="58">
        <f t="shared" si="66"/>
        <v>42.469505584958441</v>
      </c>
      <c r="D557" s="83">
        <f t="shared" si="63"/>
        <v>180.77702674541547</v>
      </c>
      <c r="E557">
        <f t="shared" si="59"/>
        <v>10.758808819129962</v>
      </c>
      <c r="G557">
        <v>507</v>
      </c>
      <c r="H557" s="13">
        <f t="shared" si="64"/>
        <v>5.1608656820917531E-2</v>
      </c>
      <c r="I557">
        <f t="shared" si="65"/>
        <v>68.46818391828991</v>
      </c>
      <c r="J557">
        <f t="shared" si="60"/>
        <v>201.69675930848427</v>
      </c>
      <c r="K557" s="27">
        <f t="shared" si="61"/>
        <v>2099.6609647365003</v>
      </c>
    </row>
    <row r="558" spans="1:11">
      <c r="A558" s="26">
        <v>508</v>
      </c>
      <c r="B558" s="82">
        <f t="shared" si="62"/>
        <v>3.2921237647087764E-4</v>
      </c>
      <c r="C558" s="58">
        <f t="shared" si="66"/>
        <v>42.469834797334912</v>
      </c>
      <c r="D558" s="83">
        <f t="shared" si="63"/>
        <v>180.77767528096587</v>
      </c>
      <c r="E558">
        <f t="shared" si="59"/>
        <v>10.758886011628261</v>
      </c>
      <c r="G558">
        <v>508</v>
      </c>
      <c r="H558" s="13">
        <f t="shared" si="64"/>
        <v>5.1608656820917531E-2</v>
      </c>
      <c r="I558">
        <f t="shared" si="65"/>
        <v>68.519792575110827</v>
      </c>
      <c r="J558">
        <f t="shared" si="60"/>
        <v>201.71012431678884</v>
      </c>
      <c r="K558" s="27">
        <f t="shared" si="61"/>
        <v>2099.9384714959565</v>
      </c>
    </row>
    <row r="559" spans="1:11">
      <c r="A559" s="26">
        <v>509</v>
      </c>
      <c r="B559" s="82">
        <f t="shared" si="62"/>
        <v>3.2921237647087764E-4</v>
      </c>
      <c r="C559" s="58">
        <f t="shared" si="66"/>
        <v>42.470164009711382</v>
      </c>
      <c r="D559" s="83">
        <f t="shared" si="63"/>
        <v>180.77832378773351</v>
      </c>
      <c r="E559">
        <f t="shared" si="59"/>
        <v>10.75896320097767</v>
      </c>
      <c r="G559">
        <v>509</v>
      </c>
      <c r="H559" s="13">
        <f t="shared" si="64"/>
        <v>5.1608656820917531E-2</v>
      </c>
      <c r="I559">
        <f t="shared" si="65"/>
        <v>68.571401231931745</v>
      </c>
      <c r="J559">
        <f t="shared" si="60"/>
        <v>201.72341705074626</v>
      </c>
      <c r="K559" s="27">
        <f t="shared" si="61"/>
        <v>2100.2144924567374</v>
      </c>
    </row>
    <row r="560" spans="1:11">
      <c r="A560" s="26">
        <v>510</v>
      </c>
      <c r="B560" s="82">
        <f t="shared" si="62"/>
        <v>3.2921237647087764E-4</v>
      </c>
      <c r="C560" s="58">
        <f t="shared" si="66"/>
        <v>42.470493222087853</v>
      </c>
      <c r="D560" s="83">
        <f t="shared" si="63"/>
        <v>180.77897226572139</v>
      </c>
      <c r="E560">
        <f t="shared" si="59"/>
        <v>10.759040387178516</v>
      </c>
      <c r="G560">
        <v>510</v>
      </c>
      <c r="H560" s="13">
        <f t="shared" si="64"/>
        <v>5.1608656820917531E-2</v>
      </c>
      <c r="I560">
        <f t="shared" si="65"/>
        <v>68.623009888752662</v>
      </c>
      <c r="J560">
        <f t="shared" si="60"/>
        <v>201.73663758362594</v>
      </c>
      <c r="K560" s="27">
        <f t="shared" si="61"/>
        <v>2100.4890288428619</v>
      </c>
    </row>
    <row r="561" spans="1:11">
      <c r="A561" s="26">
        <v>511</v>
      </c>
      <c r="B561" s="82">
        <f t="shared" si="62"/>
        <v>3.2921237647087764E-4</v>
      </c>
      <c r="C561" s="58">
        <f t="shared" si="66"/>
        <v>42.470822434464324</v>
      </c>
      <c r="D561" s="83">
        <f t="shared" si="63"/>
        <v>180.77962071493261</v>
      </c>
      <c r="E561">
        <f t="shared" si="59"/>
        <v>10.759117570231128</v>
      </c>
      <c r="G561">
        <v>511</v>
      </c>
      <c r="H561" s="13">
        <f t="shared" si="64"/>
        <v>5.1608656820917531E-2</v>
      </c>
      <c r="I561">
        <f t="shared" si="65"/>
        <v>68.67461854557358</v>
      </c>
      <c r="J561">
        <f t="shared" si="60"/>
        <v>201.7497859882011</v>
      </c>
      <c r="K561" s="27">
        <f t="shared" si="61"/>
        <v>2100.7620818700511</v>
      </c>
    </row>
    <row r="562" spans="1:11">
      <c r="A562" s="26">
        <v>512</v>
      </c>
      <c r="B562" s="82">
        <f t="shared" si="62"/>
        <v>3.2921237647087764E-4</v>
      </c>
      <c r="C562" s="58">
        <f t="shared" si="66"/>
        <v>42.471151646840795</v>
      </c>
      <c r="D562" s="83">
        <f t="shared" si="63"/>
        <v>180.78026913537019</v>
      </c>
      <c r="E562">
        <f t="shared" si="59"/>
        <v>10.759194750135832</v>
      </c>
      <c r="G562">
        <v>512</v>
      </c>
      <c r="H562" s="13">
        <f t="shared" si="64"/>
        <v>5.1608656820917531E-2</v>
      </c>
      <c r="I562">
        <f t="shared" si="65"/>
        <v>68.726227202394497</v>
      </c>
      <c r="J562">
        <f t="shared" si="60"/>
        <v>201.76286233675091</v>
      </c>
      <c r="K562" s="27">
        <f t="shared" si="61"/>
        <v>2101.0336527457625</v>
      </c>
    </row>
    <row r="563" spans="1:11">
      <c r="A563" s="26">
        <v>513</v>
      </c>
      <c r="B563" s="82">
        <f t="shared" si="62"/>
        <v>3.2921237647087764E-4</v>
      </c>
      <c r="C563" s="58">
        <f t="shared" si="66"/>
        <v>42.471480859217266</v>
      </c>
      <c r="D563" s="83">
        <f t="shared" si="63"/>
        <v>180.78091752703719</v>
      </c>
      <c r="E563">
        <f t="shared" ref="E563:E626" si="67">((D563^2)+(D563*D564)+(D564^2))*B564/3</f>
        <v>10.75927192689295</v>
      </c>
      <c r="G563">
        <v>513</v>
      </c>
      <c r="H563" s="13">
        <f t="shared" si="64"/>
        <v>5.1608656820917531E-2</v>
      </c>
      <c r="I563">
        <f t="shared" si="65"/>
        <v>68.777835859215415</v>
      </c>
      <c r="J563">
        <f t="shared" ref="J563:J626" si="68">IF($G$28&lt;$C$14,0,((($C$11^2)-((I563-$C$13)^2))^0.5)+$C$16)</f>
        <v>201.77586670106274</v>
      </c>
      <c r="K563" s="27">
        <f t="shared" ref="K563:K626" si="69">((J563^2)+(J563*J564)+(J564^2))*H564/3</f>
        <v>2101.3037426692258</v>
      </c>
    </row>
    <row r="564" spans="1:11">
      <c r="A564" s="26">
        <v>514</v>
      </c>
      <c r="B564" s="82">
        <f t="shared" ref="B564:B627" si="70">C564-C563</f>
        <v>3.2921237647087764E-4</v>
      </c>
      <c r="C564" s="58">
        <f t="shared" si="66"/>
        <v>42.471810071593737</v>
      </c>
      <c r="D564" s="83">
        <f t="shared" ref="D564:D627" si="71">IF($G$28&lt;$C$14,0,((($C$11^2)-((C564-$C$13)^2))^0.5)+$C$16)</f>
        <v>180.78156588993664</v>
      </c>
      <c r="E564">
        <f t="shared" si="67"/>
        <v>10.759349100502808</v>
      </c>
      <c r="G564">
        <v>514</v>
      </c>
      <c r="H564" s="13">
        <f t="shared" ref="H564:H627" si="72">I564-I563</f>
        <v>5.1608656820917531E-2</v>
      </c>
      <c r="I564">
        <f t="shared" ref="I564:I627" si="73">($G$27-$C$14)/2000+I563</f>
        <v>68.829444516036332</v>
      </c>
      <c r="J564">
        <f t="shared" si="68"/>
        <v>201.78879915243419</v>
      </c>
      <c r="K564" s="27">
        <f t="shared" si="69"/>
        <v>2101.5723528314811</v>
      </c>
    </row>
    <row r="565" spans="1:11">
      <c r="A565" s="26">
        <v>515</v>
      </c>
      <c r="B565" s="82">
        <f t="shared" si="70"/>
        <v>3.2921237647087764E-4</v>
      </c>
      <c r="C565" s="58">
        <f t="shared" si="66"/>
        <v>42.472139283970208</v>
      </c>
      <c r="D565" s="83">
        <f t="shared" si="71"/>
        <v>180.78221422407159</v>
      </c>
      <c r="E565">
        <f t="shared" si="67"/>
        <v>10.759426270965733</v>
      </c>
      <c r="G565">
        <v>515</v>
      </c>
      <c r="H565" s="13">
        <f t="shared" si="72"/>
        <v>5.1608656820917531E-2</v>
      </c>
      <c r="I565">
        <f t="shared" si="73"/>
        <v>68.88105317285725</v>
      </c>
      <c r="J565">
        <f t="shared" si="68"/>
        <v>201.80165976167532</v>
      </c>
      <c r="K565" s="27">
        <f t="shared" si="69"/>
        <v>2101.8394844154118</v>
      </c>
    </row>
    <row r="566" spans="1:11">
      <c r="A566" s="26">
        <v>516</v>
      </c>
      <c r="B566" s="82">
        <f t="shared" si="70"/>
        <v>3.2921237647087764E-4</v>
      </c>
      <c r="C566" s="58">
        <f t="shared" si="66"/>
        <v>42.472468496346679</v>
      </c>
      <c r="D566" s="83">
        <f t="shared" si="71"/>
        <v>180.78286252944505</v>
      </c>
      <c r="E566">
        <f t="shared" si="67"/>
        <v>10.759503438282048</v>
      </c>
      <c r="G566">
        <v>516</v>
      </c>
      <c r="H566" s="13">
        <f t="shared" si="72"/>
        <v>5.1608656820917531E-2</v>
      </c>
      <c r="I566">
        <f t="shared" si="73"/>
        <v>68.932661829678167</v>
      </c>
      <c r="J566">
        <f t="shared" si="68"/>
        <v>201.81444859911056</v>
      </c>
      <c r="K566" s="27">
        <f t="shared" si="69"/>
        <v>2102.1051385957803</v>
      </c>
    </row>
    <row r="567" spans="1:11">
      <c r="A567" s="26">
        <v>517</v>
      </c>
      <c r="B567" s="82">
        <f t="shared" si="70"/>
        <v>3.2921237647087764E-4</v>
      </c>
      <c r="C567" s="58">
        <f t="shared" si="66"/>
        <v>42.472797708723149</v>
      </c>
      <c r="D567" s="83">
        <f t="shared" si="71"/>
        <v>180.78351080606012</v>
      </c>
      <c r="E567">
        <f t="shared" si="67"/>
        <v>10.759580602452081</v>
      </c>
      <c r="G567">
        <v>517</v>
      </c>
      <c r="H567" s="13">
        <f t="shared" si="72"/>
        <v>5.1608656820917531E-2</v>
      </c>
      <c r="I567">
        <f t="shared" si="73"/>
        <v>68.984270486499085</v>
      </c>
      <c r="J567">
        <f t="shared" si="68"/>
        <v>201.827165734581</v>
      </c>
      <c r="K567" s="27">
        <f t="shared" si="69"/>
        <v>2102.3693165392601</v>
      </c>
    </row>
    <row r="568" spans="1:11">
      <c r="A568" s="26">
        <v>518</v>
      </c>
      <c r="B568" s="82">
        <f t="shared" si="70"/>
        <v>3.2921237647087764E-4</v>
      </c>
      <c r="C568" s="58">
        <f t="shared" si="66"/>
        <v>42.47312692109962</v>
      </c>
      <c r="D568" s="83">
        <f t="shared" si="71"/>
        <v>180.78415905391984</v>
      </c>
      <c r="E568">
        <f t="shared" si="67"/>
        <v>10.759657763476156</v>
      </c>
      <c r="G568">
        <v>518</v>
      </c>
      <c r="H568" s="13">
        <f t="shared" si="72"/>
        <v>5.1608656820917531E-2</v>
      </c>
      <c r="I568">
        <f t="shared" si="73"/>
        <v>69.035879143320003</v>
      </c>
      <c r="J568">
        <f t="shared" si="68"/>
        <v>201.83981123744618</v>
      </c>
      <c r="K568" s="27">
        <f t="shared" si="69"/>
        <v>2102.6320194044761</v>
      </c>
    </row>
    <row r="569" spans="1:11">
      <c r="A569" s="26">
        <v>519</v>
      </c>
      <c r="B569" s="82">
        <f t="shared" si="70"/>
        <v>3.2921237647087764E-4</v>
      </c>
      <c r="C569" s="58">
        <f t="shared" si="66"/>
        <v>42.473456133476091</v>
      </c>
      <c r="D569" s="83">
        <f t="shared" si="71"/>
        <v>180.78480727302718</v>
      </c>
      <c r="E569">
        <f t="shared" si="67"/>
        <v>10.7597349213546</v>
      </c>
      <c r="G569">
        <v>519</v>
      </c>
      <c r="H569" s="13">
        <f t="shared" si="72"/>
        <v>5.1608656820917531E-2</v>
      </c>
      <c r="I569">
        <f t="shared" si="73"/>
        <v>69.08748780014092</v>
      </c>
      <c r="J569">
        <f t="shared" si="68"/>
        <v>201.85238517658647</v>
      </c>
      <c r="K569" s="27">
        <f t="shared" si="69"/>
        <v>2102.8932483420326</v>
      </c>
    </row>
    <row r="570" spans="1:11">
      <c r="A570" s="26">
        <v>520</v>
      </c>
      <c r="B570" s="82">
        <f t="shared" si="70"/>
        <v>3.2921237647087764E-4</v>
      </c>
      <c r="C570" s="58">
        <f t="shared" si="66"/>
        <v>42.473785345852562</v>
      </c>
      <c r="D570" s="83">
        <f t="shared" si="71"/>
        <v>180.78545546338529</v>
      </c>
      <c r="E570">
        <f t="shared" si="67"/>
        <v>10.759812076087734</v>
      </c>
      <c r="G570">
        <v>520</v>
      </c>
      <c r="H570" s="13">
        <f t="shared" si="72"/>
        <v>5.1608656820917531E-2</v>
      </c>
      <c r="I570">
        <f t="shared" si="73"/>
        <v>69.139096456961838</v>
      </c>
      <c r="J570">
        <f t="shared" si="68"/>
        <v>201.86488762040472</v>
      </c>
      <c r="K570" s="27">
        <f t="shared" si="69"/>
        <v>2103.153004494548</v>
      </c>
    </row>
    <row r="571" spans="1:11">
      <c r="A571" s="26">
        <v>521</v>
      </c>
      <c r="B571" s="82">
        <f t="shared" si="70"/>
        <v>3.2921237647087764E-4</v>
      </c>
      <c r="C571" s="58">
        <f t="shared" si="66"/>
        <v>42.474114558229033</v>
      </c>
      <c r="D571" s="83">
        <f t="shared" si="71"/>
        <v>180.78610362499711</v>
      </c>
      <c r="E571">
        <f t="shared" si="67"/>
        <v>10.75988922767589</v>
      </c>
      <c r="G571">
        <v>521</v>
      </c>
      <c r="H571" s="13">
        <f t="shared" si="72"/>
        <v>5.1608656820917531E-2</v>
      </c>
      <c r="I571">
        <f t="shared" si="73"/>
        <v>69.190705113782755</v>
      </c>
      <c r="J571">
        <f t="shared" si="68"/>
        <v>201.87731863682853</v>
      </c>
      <c r="K571" s="27">
        <f t="shared" si="69"/>
        <v>2103.4112889966927</v>
      </c>
    </row>
    <row r="572" spans="1:11">
      <c r="A572" s="26">
        <v>522</v>
      </c>
      <c r="B572" s="82">
        <f t="shared" si="70"/>
        <v>3.2921237647087764E-4</v>
      </c>
      <c r="C572" s="58">
        <f t="shared" si="66"/>
        <v>42.474443770605504</v>
      </c>
      <c r="D572" s="83">
        <f t="shared" si="71"/>
        <v>180.78675175786572</v>
      </c>
      <c r="E572">
        <f t="shared" si="67"/>
        <v>10.759966376119381</v>
      </c>
      <c r="G572">
        <v>522</v>
      </c>
      <c r="H572" s="13">
        <f t="shared" si="72"/>
        <v>5.1608656820917531E-2</v>
      </c>
      <c r="I572">
        <f t="shared" si="73"/>
        <v>69.242313770603673</v>
      </c>
      <c r="J572">
        <f t="shared" si="68"/>
        <v>201.88967829331216</v>
      </c>
      <c r="K572" s="27">
        <f t="shared" si="69"/>
        <v>2103.6681029752158</v>
      </c>
    </row>
    <row r="573" spans="1:11">
      <c r="A573" s="26">
        <v>523</v>
      </c>
      <c r="B573" s="82">
        <f t="shared" si="70"/>
        <v>3.2921237647087764E-4</v>
      </c>
      <c r="C573" s="58">
        <f t="shared" si="66"/>
        <v>42.474772982981975</v>
      </c>
      <c r="D573" s="83">
        <f t="shared" si="71"/>
        <v>180.78739986199415</v>
      </c>
      <c r="E573">
        <f t="shared" si="67"/>
        <v>10.760043521418547</v>
      </c>
      <c r="G573">
        <v>523</v>
      </c>
      <c r="H573" s="13">
        <f t="shared" si="72"/>
        <v>5.1608656820917531E-2</v>
      </c>
      <c r="I573">
        <f t="shared" si="73"/>
        <v>69.29392242742459</v>
      </c>
      <c r="J573">
        <f t="shared" si="68"/>
        <v>201.90196665683837</v>
      </c>
      <c r="K573" s="27">
        <f t="shared" si="69"/>
        <v>2103.9234475489816</v>
      </c>
    </row>
    <row r="574" spans="1:11">
      <c r="A574" s="26">
        <v>524</v>
      </c>
      <c r="B574" s="82">
        <f t="shared" si="70"/>
        <v>3.2921237647087764E-4</v>
      </c>
      <c r="C574" s="58">
        <f t="shared" si="66"/>
        <v>42.475102195358446</v>
      </c>
      <c r="D574" s="83">
        <f t="shared" si="71"/>
        <v>180.78804793738547</v>
      </c>
      <c r="E574">
        <f t="shared" si="67"/>
        <v>10.760120663573703</v>
      </c>
      <c r="G574">
        <v>524</v>
      </c>
      <c r="H574" s="13">
        <f t="shared" si="72"/>
        <v>5.1608656820917531E-2</v>
      </c>
      <c r="I574">
        <f t="shared" si="73"/>
        <v>69.345531084245508</v>
      </c>
      <c r="J574">
        <f t="shared" si="68"/>
        <v>201.91418379392053</v>
      </c>
      <c r="K574" s="27">
        <f t="shared" si="69"/>
        <v>2104.1773238290029</v>
      </c>
    </row>
    <row r="575" spans="1:11">
      <c r="A575" s="26">
        <v>525</v>
      </c>
      <c r="B575" s="82">
        <f t="shared" si="70"/>
        <v>3.2921237647087764E-4</v>
      </c>
      <c r="C575" s="58">
        <f t="shared" si="66"/>
        <v>42.475431407734916</v>
      </c>
      <c r="D575" s="83">
        <f t="shared" si="71"/>
        <v>180.78869598404268</v>
      </c>
      <c r="E575">
        <f t="shared" si="67"/>
        <v>10.760197802585175</v>
      </c>
      <c r="G575">
        <v>525</v>
      </c>
      <c r="H575" s="13">
        <f t="shared" si="72"/>
        <v>5.1608656820917531E-2</v>
      </c>
      <c r="I575">
        <f t="shared" si="73"/>
        <v>69.397139741066425</v>
      </c>
      <c r="J575">
        <f t="shared" si="68"/>
        <v>201.92632977060453</v>
      </c>
      <c r="K575" s="27">
        <f t="shared" si="69"/>
        <v>2104.4297329184701</v>
      </c>
    </row>
    <row r="576" spans="1:11">
      <c r="A576" s="26">
        <v>526</v>
      </c>
      <c r="B576" s="82">
        <f t="shared" si="70"/>
        <v>3.2921237647087764E-4</v>
      </c>
      <c r="C576" s="58">
        <f t="shared" si="66"/>
        <v>42.475760620111387</v>
      </c>
      <c r="D576" s="83">
        <f t="shared" si="71"/>
        <v>180.78934400196886</v>
      </c>
      <c r="E576">
        <f t="shared" si="67"/>
        <v>10.760274938453293</v>
      </c>
      <c r="G576">
        <v>526</v>
      </c>
      <c r="H576" s="13">
        <f t="shared" si="72"/>
        <v>5.1608656820917531E-2</v>
      </c>
      <c r="I576">
        <f t="shared" si="73"/>
        <v>69.448748397887343</v>
      </c>
      <c r="J576">
        <f t="shared" si="68"/>
        <v>201.93840465247058</v>
      </c>
      <c r="K576" s="27">
        <f t="shared" si="69"/>
        <v>2104.6806759127844</v>
      </c>
    </row>
    <row r="577" spans="1:11">
      <c r="A577" s="26">
        <v>527</v>
      </c>
      <c r="B577" s="82">
        <f t="shared" si="70"/>
        <v>3.2921237647087764E-4</v>
      </c>
      <c r="C577" s="58">
        <f t="shared" si="66"/>
        <v>42.476089832487858</v>
      </c>
      <c r="D577" s="83">
        <f t="shared" si="71"/>
        <v>180.789991991167</v>
      </c>
      <c r="E577">
        <f t="shared" si="67"/>
        <v>10.760352071178376</v>
      </c>
      <c r="G577">
        <v>527</v>
      </c>
      <c r="H577" s="13">
        <f t="shared" si="72"/>
        <v>5.1608656820917531E-2</v>
      </c>
      <c r="I577">
        <f t="shared" si="73"/>
        <v>69.50035705470826</v>
      </c>
      <c r="J577">
        <f t="shared" si="68"/>
        <v>201.95040850463516</v>
      </c>
      <c r="K577" s="27">
        <f t="shared" si="69"/>
        <v>2104.930153899591</v>
      </c>
    </row>
    <row r="578" spans="1:11">
      <c r="A578" s="26">
        <v>528</v>
      </c>
      <c r="B578" s="82">
        <f t="shared" si="70"/>
        <v>3.2921237647087764E-4</v>
      </c>
      <c r="C578" s="58">
        <f t="shared" si="66"/>
        <v>42.476419044864329</v>
      </c>
      <c r="D578" s="83">
        <f t="shared" si="71"/>
        <v>180.79063995164017</v>
      </c>
      <c r="E578">
        <f t="shared" si="67"/>
        <v>10.760429200760754</v>
      </c>
      <c r="G578">
        <v>528</v>
      </c>
      <c r="H578" s="13">
        <f t="shared" si="72"/>
        <v>5.1608656820917531E-2</v>
      </c>
      <c r="I578">
        <f t="shared" si="73"/>
        <v>69.551965711529178</v>
      </c>
      <c r="J578">
        <f t="shared" si="68"/>
        <v>201.96234139175294</v>
      </c>
      <c r="K578" s="27">
        <f t="shared" si="69"/>
        <v>2105.1781679588075</v>
      </c>
    </row>
    <row r="579" spans="1:11">
      <c r="A579" s="26">
        <v>529</v>
      </c>
      <c r="B579" s="82">
        <f t="shared" si="70"/>
        <v>3.2921237647087764E-4</v>
      </c>
      <c r="C579" s="58">
        <f t="shared" si="66"/>
        <v>42.4767482572408</v>
      </c>
      <c r="D579" s="83">
        <f t="shared" si="71"/>
        <v>180.79128788339139</v>
      </c>
      <c r="E579">
        <f t="shared" si="67"/>
        <v>10.760506327200744</v>
      </c>
      <c r="G579">
        <v>529</v>
      </c>
      <c r="H579" s="13">
        <f t="shared" si="72"/>
        <v>5.1608656820917531E-2</v>
      </c>
      <c r="I579">
        <f t="shared" si="73"/>
        <v>69.603574368350095</v>
      </c>
      <c r="J579">
        <f t="shared" si="68"/>
        <v>201.97420337801867</v>
      </c>
      <c r="K579" s="27">
        <f t="shared" si="69"/>
        <v>2105.4247191626587</v>
      </c>
    </row>
    <row r="580" spans="1:11">
      <c r="A580" s="26">
        <v>530</v>
      </c>
      <c r="B580" s="82">
        <f t="shared" si="70"/>
        <v>3.2921237647087764E-4</v>
      </c>
      <c r="C580" s="58">
        <f t="shared" si="66"/>
        <v>42.477077469617271</v>
      </c>
      <c r="D580" s="83">
        <f t="shared" si="71"/>
        <v>180.79193578642369</v>
      </c>
      <c r="E580">
        <f t="shared" si="67"/>
        <v>10.760583450498673</v>
      </c>
      <c r="G580">
        <v>530</v>
      </c>
      <c r="H580" s="13">
        <f t="shared" si="72"/>
        <v>5.1608656820917531E-2</v>
      </c>
      <c r="I580">
        <f t="shared" si="73"/>
        <v>69.655183025171013</v>
      </c>
      <c r="J580">
        <f t="shared" si="68"/>
        <v>201.98599452716883</v>
      </c>
      <c r="K580" s="27">
        <f t="shared" si="69"/>
        <v>2105.669808575703</v>
      </c>
    </row>
    <row r="581" spans="1:11">
      <c r="A581" s="26">
        <v>531</v>
      </c>
      <c r="B581" s="82">
        <f t="shared" si="70"/>
        <v>3.2921237647087764E-4</v>
      </c>
      <c r="C581" s="58">
        <f t="shared" si="66"/>
        <v>42.477406681993742</v>
      </c>
      <c r="D581" s="83">
        <f t="shared" si="71"/>
        <v>180.79258366074012</v>
      </c>
      <c r="E581">
        <f t="shared" si="67"/>
        <v>10.760660570654872</v>
      </c>
      <c r="G581">
        <v>531</v>
      </c>
      <c r="H581" s="13">
        <f t="shared" si="72"/>
        <v>5.1608656820917531E-2</v>
      </c>
      <c r="I581">
        <f t="shared" si="73"/>
        <v>69.70679168199193</v>
      </c>
      <c r="J581">
        <f t="shared" si="68"/>
        <v>201.99771490248372</v>
      </c>
      <c r="K581" s="27">
        <f t="shared" si="69"/>
        <v>2105.9134372548665</v>
      </c>
    </row>
    <row r="582" spans="1:11">
      <c r="A582" s="26">
        <v>532</v>
      </c>
      <c r="B582" s="82">
        <f t="shared" si="70"/>
        <v>3.2921237647087764E-4</v>
      </c>
      <c r="C582" s="58">
        <f t="shared" si="66"/>
        <v>42.477735894370213</v>
      </c>
      <c r="D582" s="83">
        <f t="shared" si="71"/>
        <v>180.79323150634372</v>
      </c>
      <c r="E582">
        <f t="shared" si="67"/>
        <v>10.760737687669662</v>
      </c>
      <c r="G582">
        <v>532</v>
      </c>
      <c r="H582" s="13">
        <f t="shared" si="72"/>
        <v>5.1608656820917531E-2</v>
      </c>
      <c r="I582">
        <f t="shared" si="73"/>
        <v>69.758400338812848</v>
      </c>
      <c r="J582">
        <f t="shared" si="68"/>
        <v>202.00936456678903</v>
      </c>
      <c r="K582" s="27">
        <f t="shared" si="69"/>
        <v>2106.155606249471</v>
      </c>
    </row>
    <row r="583" spans="1:11">
      <c r="A583" s="26">
        <v>533</v>
      </c>
      <c r="B583" s="82">
        <f t="shared" si="70"/>
        <v>3.2921237647087764E-4</v>
      </c>
      <c r="C583" s="58">
        <f t="shared" si="66"/>
        <v>42.478065106746683</v>
      </c>
      <c r="D583" s="83">
        <f t="shared" si="71"/>
        <v>180.79387932323752</v>
      </c>
      <c r="E583">
        <f t="shared" si="67"/>
        <v>10.760814801543367</v>
      </c>
      <c r="G583">
        <v>533</v>
      </c>
      <c r="H583" s="13">
        <f t="shared" si="72"/>
        <v>5.1608656820917531E-2</v>
      </c>
      <c r="I583">
        <f t="shared" si="73"/>
        <v>69.810008995633765</v>
      </c>
      <c r="J583">
        <f t="shared" si="68"/>
        <v>202.02094358245782</v>
      </c>
      <c r="K583" s="27">
        <f t="shared" si="69"/>
        <v>2106.3963166012645</v>
      </c>
    </row>
    <row r="584" spans="1:11">
      <c r="A584" s="26">
        <v>534</v>
      </c>
      <c r="B584" s="82">
        <f t="shared" si="70"/>
        <v>3.2921237647087764E-4</v>
      </c>
      <c r="C584" s="58">
        <f t="shared" si="66"/>
        <v>42.478394319123154</v>
      </c>
      <c r="D584" s="83">
        <f t="shared" si="71"/>
        <v>180.79452711142454</v>
      </c>
      <c r="E584">
        <f t="shared" si="67"/>
        <v>10.760891912276305</v>
      </c>
      <c r="G584">
        <v>534</v>
      </c>
      <c r="H584" s="13">
        <f t="shared" si="72"/>
        <v>5.1608656820917531E-2</v>
      </c>
      <c r="I584">
        <f t="shared" si="73"/>
        <v>69.861617652454683</v>
      </c>
      <c r="J584">
        <f t="shared" si="68"/>
        <v>202.0324520114122</v>
      </c>
      <c r="K584" s="27">
        <f t="shared" si="69"/>
        <v>2106.6355693444525</v>
      </c>
    </row>
    <row r="585" spans="1:11">
      <c r="A585" s="26">
        <v>535</v>
      </c>
      <c r="B585" s="82">
        <f t="shared" si="70"/>
        <v>3.2921237647087764E-4</v>
      </c>
      <c r="C585" s="58">
        <f t="shared" si="66"/>
        <v>42.478723531499625</v>
      </c>
      <c r="D585" s="83">
        <f t="shared" si="71"/>
        <v>180.7951748709078</v>
      </c>
      <c r="E585">
        <f t="shared" si="67"/>
        <v>10.760969019868805</v>
      </c>
      <c r="G585">
        <v>535</v>
      </c>
      <c r="H585" s="13">
        <f t="shared" si="72"/>
        <v>5.1608656820917531E-2</v>
      </c>
      <c r="I585">
        <f t="shared" si="73"/>
        <v>69.913226309275601</v>
      </c>
      <c r="J585">
        <f t="shared" si="68"/>
        <v>202.04388991512513</v>
      </c>
      <c r="K585" s="27">
        <f t="shared" si="69"/>
        <v>2106.8733655057249</v>
      </c>
    </row>
    <row r="586" spans="1:11">
      <c r="A586" s="26">
        <v>536</v>
      </c>
      <c r="B586" s="82">
        <f t="shared" si="70"/>
        <v>3.2921237647087764E-4</v>
      </c>
      <c r="C586" s="58">
        <f t="shared" si="66"/>
        <v>42.479052743876096</v>
      </c>
      <c r="D586" s="83">
        <f t="shared" si="71"/>
        <v>180.79582260169036</v>
      </c>
      <c r="E586">
        <f t="shared" si="67"/>
        <v>10.761046124321197</v>
      </c>
      <c r="G586">
        <v>536</v>
      </c>
      <c r="H586" s="13">
        <f t="shared" si="72"/>
        <v>5.1608656820917531E-2</v>
      </c>
      <c r="I586">
        <f t="shared" si="73"/>
        <v>69.964834966096518</v>
      </c>
      <c r="J586">
        <f t="shared" si="68"/>
        <v>202.05525735462211</v>
      </c>
      <c r="K586" s="27">
        <f t="shared" si="69"/>
        <v>2107.109706104286</v>
      </c>
    </row>
    <row r="587" spans="1:11">
      <c r="A587" s="26">
        <v>537</v>
      </c>
      <c r="B587" s="82">
        <f t="shared" si="70"/>
        <v>3.2921237647087764E-4</v>
      </c>
      <c r="C587" s="58">
        <f t="shared" si="66"/>
        <v>42.479381956252567</v>
      </c>
      <c r="D587" s="83">
        <f t="shared" si="71"/>
        <v>180.79647030377527</v>
      </c>
      <c r="E587">
        <f t="shared" si="67"/>
        <v>10.761123225633801</v>
      </c>
      <c r="G587">
        <v>537</v>
      </c>
      <c r="H587" s="13">
        <f t="shared" si="72"/>
        <v>5.1608656820917531E-2</v>
      </c>
      <c r="I587">
        <f t="shared" si="73"/>
        <v>70.016443622917436</v>
      </c>
      <c r="J587">
        <f t="shared" si="68"/>
        <v>202.06655439048299</v>
      </c>
      <c r="K587" s="27">
        <f t="shared" si="69"/>
        <v>2107.3445921518837</v>
      </c>
    </row>
    <row r="588" spans="1:11">
      <c r="A588" s="26">
        <v>538</v>
      </c>
      <c r="B588" s="82">
        <f t="shared" si="70"/>
        <v>3.2921237647087764E-4</v>
      </c>
      <c r="C588" s="58">
        <f t="shared" si="66"/>
        <v>42.479711168629038</v>
      </c>
      <c r="D588" s="83">
        <f t="shared" si="71"/>
        <v>180.7971179771655</v>
      </c>
      <c r="E588">
        <f t="shared" si="67"/>
        <v>10.761200323806934</v>
      </c>
      <c r="G588">
        <v>538</v>
      </c>
      <c r="H588" s="13">
        <f t="shared" si="72"/>
        <v>5.1608656820917531E-2</v>
      </c>
      <c r="I588">
        <f t="shared" si="73"/>
        <v>70.068052279738353</v>
      </c>
      <c r="J588">
        <f t="shared" si="68"/>
        <v>202.07778108284359</v>
      </c>
      <c r="K588" s="27">
        <f t="shared" si="69"/>
        <v>2107.5780246528388</v>
      </c>
    </row>
    <row r="589" spans="1:11">
      <c r="A589" s="26">
        <v>539</v>
      </c>
      <c r="B589" s="82">
        <f t="shared" si="70"/>
        <v>3.2921237647087764E-4</v>
      </c>
      <c r="C589" s="58">
        <f t="shared" si="66"/>
        <v>42.480040381005509</v>
      </c>
      <c r="D589" s="83">
        <f t="shared" si="71"/>
        <v>180.79776562186413</v>
      </c>
      <c r="E589">
        <f t="shared" si="67"/>
        <v>10.761277418840933</v>
      </c>
      <c r="G589">
        <v>539</v>
      </c>
      <c r="H589" s="13">
        <f t="shared" si="72"/>
        <v>5.1608656820917531E-2</v>
      </c>
      <c r="I589">
        <f t="shared" si="73"/>
        <v>70.119660936559271</v>
      </c>
      <c r="J589">
        <f t="shared" si="68"/>
        <v>202.0889374913975</v>
      </c>
      <c r="K589" s="27">
        <f t="shared" si="69"/>
        <v>2107.8100046040713</v>
      </c>
    </row>
    <row r="590" spans="1:11">
      <c r="A590" s="26">
        <v>540</v>
      </c>
      <c r="B590" s="82">
        <f t="shared" si="70"/>
        <v>3.2921237647087764E-4</v>
      </c>
      <c r="C590" s="58">
        <f t="shared" si="66"/>
        <v>42.48036959338198</v>
      </c>
      <c r="D590" s="83">
        <f t="shared" si="71"/>
        <v>180.7984132378742</v>
      </c>
      <c r="E590">
        <f t="shared" si="67"/>
        <v>10.761354510736112</v>
      </c>
      <c r="G590">
        <v>540</v>
      </c>
      <c r="H590" s="13">
        <f t="shared" si="72"/>
        <v>5.1608656820917531E-2</v>
      </c>
      <c r="I590">
        <f t="shared" si="73"/>
        <v>70.171269593380188</v>
      </c>
      <c r="J590">
        <f t="shared" si="68"/>
        <v>202.10002367539769</v>
      </c>
      <c r="K590" s="27">
        <f t="shared" si="69"/>
        <v>2108.0405329951304</v>
      </c>
    </row>
    <row r="591" spans="1:11">
      <c r="A591" s="26">
        <v>541</v>
      </c>
      <c r="B591" s="82">
        <f t="shared" si="70"/>
        <v>3.2921237647087764E-4</v>
      </c>
      <c r="C591" s="58">
        <f t="shared" si="66"/>
        <v>42.48069880575845</v>
      </c>
      <c r="D591" s="83">
        <f t="shared" si="71"/>
        <v>180.79906082519869</v>
      </c>
      <c r="E591">
        <f t="shared" si="67"/>
        <v>10.7614315994928</v>
      </c>
      <c r="G591">
        <v>541</v>
      </c>
      <c r="H591" s="13">
        <f t="shared" si="72"/>
        <v>5.1608656820917531E-2</v>
      </c>
      <c r="I591">
        <f t="shared" si="73"/>
        <v>70.222878250201106</v>
      </c>
      <c r="J591">
        <f t="shared" si="68"/>
        <v>202.11103969365823</v>
      </c>
      <c r="K591" s="27">
        <f t="shared" si="69"/>
        <v>2108.2696108082223</v>
      </c>
    </row>
    <row r="592" spans="1:11">
      <c r="A592" s="26">
        <v>542</v>
      </c>
      <c r="B592" s="82">
        <f t="shared" si="70"/>
        <v>3.2921237647087764E-4</v>
      </c>
      <c r="C592" s="58">
        <f t="shared" ref="C592:C655" si="74">($C$37-$C$36)/2000+C591</f>
        <v>42.481028018134921</v>
      </c>
      <c r="D592" s="83">
        <f t="shared" si="71"/>
        <v>180.79970838384065</v>
      </c>
      <c r="E592">
        <f t="shared" si="67"/>
        <v>10.761508685111316</v>
      </c>
      <c r="G592">
        <v>542</v>
      </c>
      <c r="H592" s="13">
        <f t="shared" si="72"/>
        <v>5.1608656820917531E-2</v>
      </c>
      <c r="I592">
        <f t="shared" si="73"/>
        <v>70.274486907022023</v>
      </c>
      <c r="J592">
        <f t="shared" si="68"/>
        <v>202.12198560455587</v>
      </c>
      <c r="K592" s="27">
        <f t="shared" si="69"/>
        <v>2108.4972390182352</v>
      </c>
    </row>
    <row r="593" spans="1:11">
      <c r="A593" s="26">
        <v>543</v>
      </c>
      <c r="B593" s="82">
        <f t="shared" si="70"/>
        <v>3.2921237647087764E-4</v>
      </c>
      <c r="C593" s="58">
        <f t="shared" si="74"/>
        <v>42.481357230511392</v>
      </c>
      <c r="D593" s="83">
        <f t="shared" si="71"/>
        <v>180.80035591380312</v>
      </c>
      <c r="E593">
        <f t="shared" si="67"/>
        <v>10.761585767591988</v>
      </c>
      <c r="G593">
        <v>543</v>
      </c>
      <c r="H593" s="13">
        <f t="shared" si="72"/>
        <v>5.1608656820917531E-2</v>
      </c>
      <c r="I593">
        <f t="shared" si="73"/>
        <v>70.326095563842941</v>
      </c>
      <c r="J593">
        <f t="shared" si="68"/>
        <v>202.13286146603176</v>
      </c>
      <c r="K593" s="27">
        <f t="shared" si="69"/>
        <v>2108.7234185927696</v>
      </c>
    </row>
    <row r="594" spans="1:11">
      <c r="A594" s="26">
        <v>544</v>
      </c>
      <c r="B594" s="82">
        <f t="shared" si="70"/>
        <v>3.2921237647087764E-4</v>
      </c>
      <c r="C594" s="58">
        <f t="shared" si="74"/>
        <v>42.481686442887863</v>
      </c>
      <c r="D594" s="83">
        <f t="shared" si="71"/>
        <v>180.8010034150891</v>
      </c>
      <c r="E594">
        <f t="shared" si="67"/>
        <v>10.761662846935137</v>
      </c>
      <c r="G594">
        <v>544</v>
      </c>
      <c r="H594" s="13">
        <f t="shared" si="72"/>
        <v>5.1608656820917531E-2</v>
      </c>
      <c r="I594">
        <f t="shared" si="73"/>
        <v>70.377704220663858</v>
      </c>
      <c r="J594">
        <f t="shared" si="68"/>
        <v>202.14366733559297</v>
      </c>
      <c r="K594" s="27">
        <f t="shared" si="69"/>
        <v>2108.9481504921637</v>
      </c>
    </row>
    <row r="595" spans="1:11">
      <c r="A595" s="26">
        <v>545</v>
      </c>
      <c r="B595" s="82">
        <f t="shared" si="70"/>
        <v>3.2921237647087764E-4</v>
      </c>
      <c r="C595" s="58">
        <f t="shared" si="74"/>
        <v>42.482015655264334</v>
      </c>
      <c r="D595" s="83">
        <f t="shared" si="71"/>
        <v>180.80165088770164</v>
      </c>
      <c r="E595">
        <f t="shared" si="67"/>
        <v>10.761739923141088</v>
      </c>
      <c r="G595">
        <v>545</v>
      </c>
      <c r="H595" s="13">
        <f t="shared" si="72"/>
        <v>5.1608656820917531E-2</v>
      </c>
      <c r="I595">
        <f t="shared" si="73"/>
        <v>70.429312877484776</v>
      </c>
      <c r="J595">
        <f t="shared" si="68"/>
        <v>202.15440327031422</v>
      </c>
      <c r="K595" s="27">
        <f t="shared" si="69"/>
        <v>2109.1714356695225</v>
      </c>
    </row>
    <row r="596" spans="1:11">
      <c r="A596" s="26">
        <v>546</v>
      </c>
      <c r="B596" s="82">
        <f t="shared" si="70"/>
        <v>3.2921237647087764E-4</v>
      </c>
      <c r="C596" s="58">
        <f t="shared" si="74"/>
        <v>42.482344867640805</v>
      </c>
      <c r="D596" s="83">
        <f t="shared" si="71"/>
        <v>180.80229833164378</v>
      </c>
      <c r="E596">
        <f t="shared" si="67"/>
        <v>10.761816996210166</v>
      </c>
      <c r="G596">
        <v>546</v>
      </c>
      <c r="H596" s="13">
        <f t="shared" si="72"/>
        <v>5.1608656820917531E-2</v>
      </c>
      <c r="I596">
        <f t="shared" si="73"/>
        <v>70.480921534305693</v>
      </c>
      <c r="J596">
        <f t="shared" si="68"/>
        <v>202.16506932683941</v>
      </c>
      <c r="K596" s="27">
        <f t="shared" si="69"/>
        <v>2109.3932750707409</v>
      </c>
    </row>
    <row r="597" spans="1:11">
      <c r="A597" s="26">
        <v>547</v>
      </c>
      <c r="B597" s="82">
        <f t="shared" si="70"/>
        <v>3.2921237647087764E-4</v>
      </c>
      <c r="C597" s="58">
        <f t="shared" si="74"/>
        <v>42.482674080017276</v>
      </c>
      <c r="D597" s="83">
        <f t="shared" si="71"/>
        <v>180.80294574691851</v>
      </c>
      <c r="E597">
        <f t="shared" si="67"/>
        <v>10.761894066142693</v>
      </c>
      <c r="G597">
        <v>547</v>
      </c>
      <c r="H597" s="13">
        <f t="shared" si="72"/>
        <v>5.1608656820917531E-2</v>
      </c>
      <c r="I597">
        <f t="shared" si="73"/>
        <v>70.532530191126611</v>
      </c>
      <c r="J597">
        <f t="shared" si="68"/>
        <v>202.17566556138314</v>
      </c>
      <c r="K597" s="27">
        <f t="shared" si="69"/>
        <v>2109.6136696345302</v>
      </c>
    </row>
    <row r="598" spans="1:11">
      <c r="A598" s="26">
        <v>548</v>
      </c>
      <c r="B598" s="82">
        <f t="shared" si="70"/>
        <v>3.2921237647087764E-4</v>
      </c>
      <c r="C598" s="58">
        <f t="shared" si="74"/>
        <v>42.483003292393747</v>
      </c>
      <c r="D598" s="83">
        <f t="shared" si="71"/>
        <v>180.80359313352889</v>
      </c>
      <c r="E598">
        <f t="shared" si="67"/>
        <v>10.76197113293899</v>
      </c>
      <c r="G598">
        <v>548</v>
      </c>
      <c r="H598" s="13">
        <f t="shared" si="72"/>
        <v>5.1608656820917531E-2</v>
      </c>
      <c r="I598">
        <f t="shared" si="73"/>
        <v>70.584138847947528</v>
      </c>
      <c r="J598">
        <f t="shared" si="68"/>
        <v>202.18619202973235</v>
      </c>
      <c r="K598" s="27">
        <f t="shared" si="69"/>
        <v>2109.8326202924491</v>
      </c>
    </row>
    <row r="599" spans="1:11">
      <c r="A599" s="26">
        <v>549</v>
      </c>
      <c r="B599" s="82">
        <f t="shared" si="70"/>
        <v>3.2921237647087764E-4</v>
      </c>
      <c r="C599" s="58">
        <f t="shared" si="74"/>
        <v>42.483332504770217</v>
      </c>
      <c r="D599" s="83">
        <f t="shared" si="71"/>
        <v>180.80424049147791</v>
      </c>
      <c r="E599">
        <f t="shared" si="67"/>
        <v>10.762048196599389</v>
      </c>
      <c r="G599">
        <v>549</v>
      </c>
      <c r="H599" s="13">
        <f t="shared" si="72"/>
        <v>5.1608656820917531E-2</v>
      </c>
      <c r="I599">
        <f t="shared" si="73"/>
        <v>70.635747504768446</v>
      </c>
      <c r="J599">
        <f t="shared" si="68"/>
        <v>202.19664878724791</v>
      </c>
      <c r="K599" s="27">
        <f t="shared" si="69"/>
        <v>2110.0501279689238</v>
      </c>
    </row>
    <row r="600" spans="1:11">
      <c r="A600" s="26">
        <v>550</v>
      </c>
      <c r="B600" s="82">
        <f t="shared" si="70"/>
        <v>3.2921237647087764E-4</v>
      </c>
      <c r="C600" s="58">
        <f t="shared" si="74"/>
        <v>42.483661717146688</v>
      </c>
      <c r="D600" s="83">
        <f t="shared" si="71"/>
        <v>180.80488782076864</v>
      </c>
      <c r="E600">
        <f t="shared" si="67"/>
        <v>10.762125257124206</v>
      </c>
      <c r="G600">
        <v>550</v>
      </c>
      <c r="H600" s="13">
        <f t="shared" si="72"/>
        <v>5.1608656820917531E-2</v>
      </c>
      <c r="I600">
        <f t="shared" si="73"/>
        <v>70.687356161589364</v>
      </c>
      <c r="J600">
        <f t="shared" si="68"/>
        <v>202.20703588886596</v>
      </c>
      <c r="K600" s="27">
        <f t="shared" si="69"/>
        <v>2110.2661935812766</v>
      </c>
    </row>
    <row r="601" spans="1:11">
      <c r="A601" s="26">
        <v>551</v>
      </c>
      <c r="B601" s="82">
        <f t="shared" si="70"/>
        <v>3.2921237647087764E-4</v>
      </c>
      <c r="C601" s="58">
        <f t="shared" si="74"/>
        <v>42.483990929523159</v>
      </c>
      <c r="D601" s="83">
        <f t="shared" si="71"/>
        <v>180.80553512140406</v>
      </c>
      <c r="E601">
        <f t="shared" si="67"/>
        <v>10.762202314513763</v>
      </c>
      <c r="G601">
        <v>551</v>
      </c>
      <c r="H601" s="13">
        <f t="shared" si="72"/>
        <v>5.1608656820917531E-2</v>
      </c>
      <c r="I601">
        <f t="shared" si="73"/>
        <v>70.738964818410281</v>
      </c>
      <c r="J601">
        <f t="shared" si="68"/>
        <v>202.21735338909969</v>
      </c>
      <c r="K601" s="27">
        <f t="shared" si="69"/>
        <v>2110.4808180397504</v>
      </c>
    </row>
    <row r="602" spans="1:11">
      <c r="A602" s="26">
        <v>552</v>
      </c>
      <c r="B602" s="82">
        <f t="shared" si="70"/>
        <v>3.2921237647087764E-4</v>
      </c>
      <c r="C602" s="58">
        <f t="shared" si="74"/>
        <v>42.48432014189963</v>
      </c>
      <c r="D602" s="83">
        <f t="shared" si="71"/>
        <v>180.80618239338722</v>
      </c>
      <c r="E602">
        <f t="shared" si="67"/>
        <v>10.762279368768388</v>
      </c>
      <c r="G602">
        <v>552</v>
      </c>
      <c r="H602" s="13">
        <f t="shared" si="72"/>
        <v>5.1608656820917531E-2</v>
      </c>
      <c r="I602">
        <f t="shared" si="73"/>
        <v>70.790573475231199</v>
      </c>
      <c r="J602">
        <f t="shared" si="68"/>
        <v>202.2276013420406</v>
      </c>
      <c r="K602" s="27">
        <f t="shared" si="69"/>
        <v>2110.6940022475333</v>
      </c>
    </row>
    <row r="603" spans="1:11">
      <c r="A603" s="26">
        <v>553</v>
      </c>
      <c r="B603" s="82">
        <f t="shared" si="70"/>
        <v>3.2921237647087764E-4</v>
      </c>
      <c r="C603" s="58">
        <f t="shared" si="74"/>
        <v>42.484649354276101</v>
      </c>
      <c r="D603" s="83">
        <f t="shared" si="71"/>
        <v>180.80682963672112</v>
      </c>
      <c r="E603">
        <f t="shared" si="67"/>
        <v>10.7623564198884</v>
      </c>
      <c r="G603">
        <v>553</v>
      </c>
      <c r="H603" s="13">
        <f t="shared" si="72"/>
        <v>5.1608656820917531E-2</v>
      </c>
      <c r="I603">
        <f t="shared" si="73"/>
        <v>70.842182132052116</v>
      </c>
      <c r="J603">
        <f t="shared" si="68"/>
        <v>202.2377798013602</v>
      </c>
      <c r="K603" s="27">
        <f t="shared" si="69"/>
        <v>2110.9057471007854</v>
      </c>
    </row>
    <row r="604" spans="1:11">
      <c r="A604" s="26">
        <v>554</v>
      </c>
      <c r="B604" s="82">
        <f t="shared" si="70"/>
        <v>3.2921237647087764E-4</v>
      </c>
      <c r="C604" s="58">
        <f t="shared" si="74"/>
        <v>42.484978566652572</v>
      </c>
      <c r="D604" s="83">
        <f t="shared" si="71"/>
        <v>180.80747685140881</v>
      </c>
      <c r="E604">
        <f t="shared" si="67"/>
        <v>10.762433467874125</v>
      </c>
      <c r="G604">
        <v>554</v>
      </c>
      <c r="H604" s="13">
        <f t="shared" si="72"/>
        <v>5.1608656820917531E-2</v>
      </c>
      <c r="I604">
        <f t="shared" si="73"/>
        <v>70.893790788873034</v>
      </c>
      <c r="J604">
        <f t="shared" si="68"/>
        <v>202.24788882031137</v>
      </c>
      <c r="K604" s="27">
        <f t="shared" si="69"/>
        <v>2111.1160534886617</v>
      </c>
    </row>
    <row r="605" spans="1:11">
      <c r="A605" s="26">
        <v>555</v>
      </c>
      <c r="B605" s="82">
        <f t="shared" si="70"/>
        <v>3.2921237647087764E-4</v>
      </c>
      <c r="C605" s="58">
        <f t="shared" si="74"/>
        <v>42.485307779029043</v>
      </c>
      <c r="D605" s="83">
        <f t="shared" si="71"/>
        <v>180.8081240374533</v>
      </c>
      <c r="E605">
        <f t="shared" si="67"/>
        <v>10.762510512725884</v>
      </c>
      <c r="G605">
        <v>555</v>
      </c>
      <c r="H605" s="13">
        <f t="shared" si="72"/>
        <v>5.1608656820917531E-2</v>
      </c>
      <c r="I605">
        <f t="shared" si="73"/>
        <v>70.945399445693951</v>
      </c>
      <c r="J605">
        <f t="shared" si="68"/>
        <v>202.25792845172978</v>
      </c>
      <c r="K605" s="27">
        <f t="shared" si="69"/>
        <v>2111.324922293335</v>
      </c>
    </row>
    <row r="606" spans="1:11">
      <c r="A606" s="26">
        <v>556</v>
      </c>
      <c r="B606" s="82">
        <f t="shared" si="70"/>
        <v>3.2921237647087764E-4</v>
      </c>
      <c r="C606" s="58">
        <f t="shared" si="74"/>
        <v>42.485636991405514</v>
      </c>
      <c r="D606" s="83">
        <f t="shared" si="71"/>
        <v>180.80877119485757</v>
      </c>
      <c r="E606">
        <f t="shared" si="67"/>
        <v>10.762587554444005</v>
      </c>
      <c r="G606">
        <v>556</v>
      </c>
      <c r="H606" s="13">
        <f t="shared" si="72"/>
        <v>5.1608656820917531E-2</v>
      </c>
      <c r="I606">
        <f t="shared" si="73"/>
        <v>70.997008102514869</v>
      </c>
      <c r="J606">
        <f t="shared" si="68"/>
        <v>202.26789874803544</v>
      </c>
      <c r="K606" s="27">
        <f t="shared" si="69"/>
        <v>2111.5323543900245</v>
      </c>
    </row>
    <row r="607" spans="1:11">
      <c r="A607" s="26">
        <v>557</v>
      </c>
      <c r="B607" s="82">
        <f t="shared" si="70"/>
        <v>3.2921237647087764E-4</v>
      </c>
      <c r="C607" s="58">
        <f t="shared" si="74"/>
        <v>42.485966203781985</v>
      </c>
      <c r="D607" s="83">
        <f t="shared" si="71"/>
        <v>180.80941832362473</v>
      </c>
      <c r="E607">
        <f t="shared" si="67"/>
        <v>10.762664593028804</v>
      </c>
      <c r="G607">
        <v>557</v>
      </c>
      <c r="H607" s="13">
        <f t="shared" si="72"/>
        <v>5.1608656820917531E-2</v>
      </c>
      <c r="I607">
        <f t="shared" si="73"/>
        <v>71.048616759335786</v>
      </c>
      <c r="J607">
        <f t="shared" si="68"/>
        <v>202.27779976123412</v>
      </c>
      <c r="K607" s="27">
        <f t="shared" si="69"/>
        <v>2111.7383506470173</v>
      </c>
    </row>
    <row r="608" spans="1:11">
      <c r="A608" s="26">
        <v>558</v>
      </c>
      <c r="B608" s="82">
        <f t="shared" si="70"/>
        <v>3.2921237647087764E-4</v>
      </c>
      <c r="C608" s="58">
        <f t="shared" si="74"/>
        <v>42.486295416158455</v>
      </c>
      <c r="D608" s="83">
        <f t="shared" si="71"/>
        <v>180.81006542375772</v>
      </c>
      <c r="E608">
        <f t="shared" si="67"/>
        <v>10.76274162848061</v>
      </c>
      <c r="G608">
        <v>558</v>
      </c>
      <c r="H608" s="13">
        <f t="shared" si="72"/>
        <v>5.1608656820917531E-2</v>
      </c>
      <c r="I608">
        <f t="shared" si="73"/>
        <v>71.100225416156704</v>
      </c>
      <c r="J608">
        <f t="shared" si="68"/>
        <v>202.28763154291875</v>
      </c>
      <c r="K608" s="27">
        <f t="shared" si="69"/>
        <v>2111.9429119256893</v>
      </c>
    </row>
    <row r="609" spans="1:11">
      <c r="A609" s="26">
        <v>559</v>
      </c>
      <c r="B609" s="82">
        <f t="shared" si="70"/>
        <v>3.2921237647087764E-4</v>
      </c>
      <c r="C609" s="58">
        <f t="shared" si="74"/>
        <v>42.486624628534926</v>
      </c>
      <c r="D609" s="83">
        <f t="shared" si="71"/>
        <v>180.81071249525959</v>
      </c>
      <c r="E609">
        <f t="shared" si="67"/>
        <v>10.762818660799743</v>
      </c>
      <c r="G609">
        <v>559</v>
      </c>
      <c r="H609" s="13">
        <f t="shared" si="72"/>
        <v>5.1608656820917531E-2</v>
      </c>
      <c r="I609">
        <f t="shared" si="73"/>
        <v>71.151834072977621</v>
      </c>
      <c r="J609">
        <f t="shared" si="68"/>
        <v>202.29739414427075</v>
      </c>
      <c r="K609" s="27">
        <f t="shared" si="69"/>
        <v>2112.1460390805332</v>
      </c>
    </row>
    <row r="610" spans="1:11">
      <c r="A610" s="26">
        <v>560</v>
      </c>
      <c r="B610" s="82">
        <f t="shared" si="70"/>
        <v>3.2921237647087764E-4</v>
      </c>
      <c r="C610" s="58">
        <f t="shared" si="74"/>
        <v>42.486953840911397</v>
      </c>
      <c r="D610" s="83">
        <f t="shared" si="71"/>
        <v>180.81135953813336</v>
      </c>
      <c r="E610">
        <f t="shared" si="67"/>
        <v>10.762895689986522</v>
      </c>
      <c r="G610">
        <v>560</v>
      </c>
      <c r="H610" s="13">
        <f t="shared" si="72"/>
        <v>5.1608656820917531E-2</v>
      </c>
      <c r="I610">
        <f t="shared" si="73"/>
        <v>71.203442729798539</v>
      </c>
      <c r="J610">
        <f t="shared" si="68"/>
        <v>202.30708761606155</v>
      </c>
      <c r="K610" s="27">
        <f t="shared" si="69"/>
        <v>2112.347732959181</v>
      </c>
    </row>
    <row r="611" spans="1:11">
      <c r="A611" s="26">
        <v>561</v>
      </c>
      <c r="B611" s="82">
        <f t="shared" si="70"/>
        <v>3.2921237647087764E-4</v>
      </c>
      <c r="C611" s="58">
        <f t="shared" si="74"/>
        <v>42.487283053287868</v>
      </c>
      <c r="D611" s="83">
        <f t="shared" si="71"/>
        <v>180.81200655238203</v>
      </c>
      <c r="E611">
        <f t="shared" si="67"/>
        <v>10.762972716041276</v>
      </c>
      <c r="G611">
        <v>561</v>
      </c>
      <c r="H611" s="13">
        <f t="shared" si="72"/>
        <v>5.1608656820917531E-2</v>
      </c>
      <c r="I611">
        <f t="shared" si="73"/>
        <v>71.255051386619456</v>
      </c>
      <c r="J611">
        <f t="shared" si="68"/>
        <v>202.31671200865401</v>
      </c>
      <c r="K611" s="27">
        <f t="shared" si="69"/>
        <v>2112.547994402425</v>
      </c>
    </row>
    <row r="612" spans="1:11">
      <c r="A612" s="26">
        <v>562</v>
      </c>
      <c r="B612" s="82">
        <f t="shared" si="70"/>
        <v>3.2921237647087764E-4</v>
      </c>
      <c r="C612" s="58">
        <f t="shared" si="74"/>
        <v>42.487612265664339</v>
      </c>
      <c r="D612" s="83">
        <f t="shared" si="71"/>
        <v>180.81265353800865</v>
      </c>
      <c r="E612">
        <f t="shared" si="67"/>
        <v>10.763049738964321</v>
      </c>
      <c r="G612">
        <v>562</v>
      </c>
      <c r="H612" s="13">
        <f t="shared" si="72"/>
        <v>5.1608656820917531E-2</v>
      </c>
      <c r="I612">
        <f t="shared" si="73"/>
        <v>71.306660043440374</v>
      </c>
      <c r="J612">
        <f t="shared" si="68"/>
        <v>202.32626737200351</v>
      </c>
      <c r="K612" s="27">
        <f t="shared" si="69"/>
        <v>2112.7468242442401</v>
      </c>
    </row>
    <row r="613" spans="1:11">
      <c r="A613" s="26">
        <v>563</v>
      </c>
      <c r="B613" s="82">
        <f t="shared" si="70"/>
        <v>3.2921237647087764E-4</v>
      </c>
      <c r="C613" s="58">
        <f t="shared" si="74"/>
        <v>42.48794147804081</v>
      </c>
      <c r="D613" s="83">
        <f t="shared" si="71"/>
        <v>180.81330049501619</v>
      </c>
      <c r="E613">
        <f t="shared" si="67"/>
        <v>10.763126758755989</v>
      </c>
      <c r="G613">
        <v>563</v>
      </c>
      <c r="H613" s="13">
        <f t="shared" si="72"/>
        <v>5.1608656820917531E-2</v>
      </c>
      <c r="I613">
        <f t="shared" si="73"/>
        <v>71.358268700261291</v>
      </c>
      <c r="J613">
        <f t="shared" si="68"/>
        <v>202.33575375565965</v>
      </c>
      <c r="K613" s="27">
        <f t="shared" si="69"/>
        <v>2112.9442233118111</v>
      </c>
    </row>
    <row r="614" spans="1:11">
      <c r="A614" s="26">
        <v>564</v>
      </c>
      <c r="B614" s="82">
        <f t="shared" si="70"/>
        <v>3.2921237647087764E-4</v>
      </c>
      <c r="C614" s="58">
        <f t="shared" si="74"/>
        <v>42.488270690417281</v>
      </c>
      <c r="D614" s="83">
        <f t="shared" si="71"/>
        <v>180.81394742340774</v>
      </c>
      <c r="E614">
        <f t="shared" si="67"/>
        <v>10.763203775416597</v>
      </c>
      <c r="G614">
        <v>564</v>
      </c>
      <c r="H614" s="13">
        <f t="shared" si="72"/>
        <v>5.1608656820917531E-2</v>
      </c>
      <c r="I614">
        <f t="shared" si="73"/>
        <v>71.409877357082209</v>
      </c>
      <c r="J614">
        <f t="shared" si="68"/>
        <v>202.3451712087674</v>
      </c>
      <c r="K614" s="27">
        <f t="shared" si="69"/>
        <v>2113.1401924255488</v>
      </c>
    </row>
    <row r="615" spans="1:11">
      <c r="A615" s="26">
        <v>565</v>
      </c>
      <c r="B615" s="82">
        <f t="shared" si="70"/>
        <v>3.2921237647087764E-4</v>
      </c>
      <c r="C615" s="58">
        <f t="shared" si="74"/>
        <v>42.488599902793752</v>
      </c>
      <c r="D615" s="83">
        <f t="shared" si="71"/>
        <v>180.81459432318624</v>
      </c>
      <c r="E615">
        <f t="shared" si="67"/>
        <v>10.763280788946465</v>
      </c>
      <c r="G615">
        <v>565</v>
      </c>
      <c r="H615" s="13">
        <f t="shared" si="72"/>
        <v>5.1608656820917531E-2</v>
      </c>
      <c r="I615">
        <f t="shared" si="73"/>
        <v>71.461486013903126</v>
      </c>
      <c r="J615">
        <f t="shared" si="68"/>
        <v>202.35451978006839</v>
      </c>
      <c r="K615" s="27">
        <f t="shared" si="69"/>
        <v>2113.3347323991175</v>
      </c>
    </row>
    <row r="616" spans="1:11">
      <c r="A616" s="26">
        <v>566</v>
      </c>
      <c r="B616" s="82">
        <f t="shared" si="70"/>
        <v>3.2921237647087764E-4</v>
      </c>
      <c r="C616" s="58">
        <f t="shared" si="74"/>
        <v>42.488929115170222</v>
      </c>
      <c r="D616" s="83">
        <f t="shared" si="71"/>
        <v>180.81524119435474</v>
      </c>
      <c r="E616">
        <f t="shared" si="67"/>
        <v>10.763357799345918</v>
      </c>
      <c r="G616">
        <v>566</v>
      </c>
      <c r="H616" s="13">
        <f t="shared" si="72"/>
        <v>5.1608656820917531E-2</v>
      </c>
      <c r="I616">
        <f t="shared" si="73"/>
        <v>71.513094670724044</v>
      </c>
      <c r="J616">
        <f t="shared" si="68"/>
        <v>202.36379951790241</v>
      </c>
      <c r="K616" s="27">
        <f t="shared" si="69"/>
        <v>2113.5278440394536</v>
      </c>
    </row>
    <row r="617" spans="1:11">
      <c r="A617" s="26">
        <v>567</v>
      </c>
      <c r="B617" s="82">
        <f t="shared" si="70"/>
        <v>3.2921237647087764E-4</v>
      </c>
      <c r="C617" s="58">
        <f t="shared" si="74"/>
        <v>42.489258327546693</v>
      </c>
      <c r="D617" s="83">
        <f t="shared" si="71"/>
        <v>180.81588803691625</v>
      </c>
      <c r="E617">
        <f t="shared" si="67"/>
        <v>10.76343480661528</v>
      </c>
      <c r="G617">
        <v>567</v>
      </c>
      <c r="H617" s="13">
        <f t="shared" si="72"/>
        <v>5.1608656820917531E-2</v>
      </c>
      <c r="I617">
        <f t="shared" si="73"/>
        <v>71.564703327544962</v>
      </c>
      <c r="J617">
        <f t="shared" si="68"/>
        <v>202.3730104702085</v>
      </c>
      <c r="K617" s="27">
        <f t="shared" si="69"/>
        <v>2113.719528146788</v>
      </c>
    </row>
    <row r="618" spans="1:11">
      <c r="A618" s="26">
        <v>568</v>
      </c>
      <c r="B618" s="82">
        <f t="shared" si="70"/>
        <v>3.2921237647087764E-4</v>
      </c>
      <c r="C618" s="58">
        <f t="shared" si="74"/>
        <v>42.489587539923164</v>
      </c>
      <c r="D618" s="83">
        <f t="shared" si="71"/>
        <v>180.81653485087381</v>
      </c>
      <c r="E618">
        <f t="shared" si="67"/>
        <v>10.763511810754871</v>
      </c>
      <c r="G618">
        <v>568</v>
      </c>
      <c r="H618" s="13">
        <f t="shared" si="72"/>
        <v>5.1608656820917531E-2</v>
      </c>
      <c r="I618">
        <f t="shared" si="73"/>
        <v>71.616311984365879</v>
      </c>
      <c r="J618">
        <f t="shared" si="68"/>
        <v>202.38215268452637</v>
      </c>
      <c r="K618" s="27">
        <f t="shared" si="69"/>
        <v>2113.9097855146701</v>
      </c>
    </row>
    <row r="619" spans="1:11">
      <c r="A619" s="26">
        <v>569</v>
      </c>
      <c r="B619" s="82">
        <f t="shared" si="70"/>
        <v>3.2921237647087764E-4</v>
      </c>
      <c r="C619" s="58">
        <f t="shared" si="74"/>
        <v>42.489916752299635</v>
      </c>
      <c r="D619" s="83">
        <f t="shared" si="71"/>
        <v>180.81718163623037</v>
      </c>
      <c r="E619">
        <f t="shared" si="67"/>
        <v>10.763588811765013</v>
      </c>
      <c r="G619">
        <v>569</v>
      </c>
      <c r="H619" s="13">
        <f t="shared" si="72"/>
        <v>5.1608656820917531E-2</v>
      </c>
      <c r="I619">
        <f t="shared" si="73"/>
        <v>71.667920641186797</v>
      </c>
      <c r="J619">
        <f t="shared" si="68"/>
        <v>202.39122620799776</v>
      </c>
      <c r="K619" s="27">
        <f t="shared" si="69"/>
        <v>2114.0986169299858</v>
      </c>
    </row>
    <row r="620" spans="1:11">
      <c r="A620" s="26">
        <v>570</v>
      </c>
      <c r="B620" s="82">
        <f t="shared" si="70"/>
        <v>3.2921237647087764E-4</v>
      </c>
      <c r="C620" s="58">
        <f t="shared" si="74"/>
        <v>42.490245964676106</v>
      </c>
      <c r="D620" s="83">
        <f t="shared" si="71"/>
        <v>180.81782839298901</v>
      </c>
      <c r="E620">
        <f t="shared" si="67"/>
        <v>10.76366580964603</v>
      </c>
      <c r="G620">
        <v>570</v>
      </c>
      <c r="H620" s="13">
        <f t="shared" si="72"/>
        <v>5.1608656820917531E-2</v>
      </c>
      <c r="I620">
        <f t="shared" si="73"/>
        <v>71.719529298007714</v>
      </c>
      <c r="J620">
        <f t="shared" si="68"/>
        <v>202.40023108736742</v>
      </c>
      <c r="K620" s="27">
        <f t="shared" si="69"/>
        <v>2114.2860231729792</v>
      </c>
    </row>
    <row r="621" spans="1:11">
      <c r="A621" s="26">
        <v>571</v>
      </c>
      <c r="B621" s="82">
        <f t="shared" si="70"/>
        <v>3.2921237647087764E-4</v>
      </c>
      <c r="C621" s="58">
        <f t="shared" si="74"/>
        <v>42.490575177052577</v>
      </c>
      <c r="D621" s="83">
        <f t="shared" si="71"/>
        <v>180.81847512115272</v>
      </c>
      <c r="E621">
        <f t="shared" si="67"/>
        <v>10.763742804398243</v>
      </c>
      <c r="G621">
        <v>571</v>
      </c>
      <c r="H621" s="13">
        <f t="shared" si="72"/>
        <v>5.1608656820917531E-2</v>
      </c>
      <c r="I621">
        <f t="shared" si="73"/>
        <v>71.771137954828632</v>
      </c>
      <c r="J621">
        <f t="shared" si="68"/>
        <v>202.40916736898464</v>
      </c>
      <c r="K621" s="27">
        <f t="shared" si="69"/>
        <v>2114.4720050172746</v>
      </c>
    </row>
    <row r="622" spans="1:11">
      <c r="A622" s="26">
        <v>572</v>
      </c>
      <c r="B622" s="82">
        <f t="shared" si="70"/>
        <v>3.2921237647087764E-4</v>
      </c>
      <c r="C622" s="58">
        <f t="shared" si="74"/>
        <v>42.490904389429048</v>
      </c>
      <c r="D622" s="83">
        <f t="shared" si="71"/>
        <v>180.81912182072449</v>
      </c>
      <c r="E622">
        <f t="shared" si="67"/>
        <v>10.763819796021975</v>
      </c>
      <c r="G622">
        <v>572</v>
      </c>
      <c r="H622" s="13">
        <f t="shared" si="72"/>
        <v>5.1608656820917531E-2</v>
      </c>
      <c r="I622">
        <f t="shared" si="73"/>
        <v>71.822746611649549</v>
      </c>
      <c r="J622">
        <f t="shared" si="68"/>
        <v>202.41803509880438</v>
      </c>
      <c r="K622" s="27">
        <f t="shared" si="69"/>
        <v>2114.656563229898</v>
      </c>
    </row>
    <row r="623" spans="1:11">
      <c r="A623" s="26">
        <v>573</v>
      </c>
      <c r="B623" s="82">
        <f t="shared" si="70"/>
        <v>3.2921237647087764E-4</v>
      </c>
      <c r="C623" s="58">
        <f t="shared" si="74"/>
        <v>42.491233601805519</v>
      </c>
      <c r="D623" s="83">
        <f t="shared" si="71"/>
        <v>180.81976849170735</v>
      </c>
      <c r="E623">
        <f t="shared" si="67"/>
        <v>10.763896784517543</v>
      </c>
      <c r="G623">
        <v>573</v>
      </c>
      <c r="H623" s="13">
        <f t="shared" si="72"/>
        <v>5.1608656820917531E-2</v>
      </c>
      <c r="I623">
        <f t="shared" si="73"/>
        <v>71.874355268470467</v>
      </c>
      <c r="J623">
        <f t="shared" si="68"/>
        <v>202.42683432238846</v>
      </c>
      <c r="K623" s="27">
        <f t="shared" si="69"/>
        <v>2114.8396985712939</v>
      </c>
    </row>
    <row r="624" spans="1:11">
      <c r="A624" s="26">
        <v>574</v>
      </c>
      <c r="B624" s="82">
        <f t="shared" si="70"/>
        <v>3.2921237647087764E-4</v>
      </c>
      <c r="C624" s="58">
        <f t="shared" si="74"/>
        <v>42.491562814181989</v>
      </c>
      <c r="D624" s="83">
        <f t="shared" si="71"/>
        <v>180.82041513410431</v>
      </c>
      <c r="E624">
        <f t="shared" si="67"/>
        <v>10.763973769885277</v>
      </c>
      <c r="G624">
        <v>574</v>
      </c>
      <c r="H624" s="13">
        <f t="shared" si="72"/>
        <v>5.1608656820917531E-2</v>
      </c>
      <c r="I624">
        <f t="shared" si="73"/>
        <v>71.925963925291384</v>
      </c>
      <c r="J624">
        <f t="shared" si="68"/>
        <v>202.43556508490684</v>
      </c>
      <c r="K624" s="27">
        <f t="shared" si="69"/>
        <v>2115.0214117953496</v>
      </c>
    </row>
    <row r="625" spans="1:11">
      <c r="A625" s="26">
        <v>575</v>
      </c>
      <c r="B625" s="82">
        <f t="shared" si="70"/>
        <v>3.2921237647087764E-4</v>
      </c>
      <c r="C625" s="58">
        <f t="shared" si="74"/>
        <v>42.49189202655846</v>
      </c>
      <c r="D625" s="83">
        <f t="shared" si="71"/>
        <v>180.82106174791838</v>
      </c>
      <c r="E625">
        <f t="shared" si="67"/>
        <v>10.764050752125494</v>
      </c>
      <c r="G625">
        <v>575</v>
      </c>
      <c r="H625" s="13">
        <f t="shared" si="72"/>
        <v>5.1608656820917531E-2</v>
      </c>
      <c r="I625">
        <f t="shared" si="73"/>
        <v>71.977572582112302</v>
      </c>
      <c r="J625">
        <f t="shared" si="68"/>
        <v>202.44422743113881</v>
      </c>
      <c r="K625" s="27">
        <f t="shared" si="69"/>
        <v>2115.201703649414</v>
      </c>
    </row>
    <row r="626" spans="1:11">
      <c r="A626" s="26">
        <v>576</v>
      </c>
      <c r="B626" s="82">
        <f t="shared" si="70"/>
        <v>3.2921237647087764E-4</v>
      </c>
      <c r="C626" s="58">
        <f t="shared" si="74"/>
        <v>42.492221238934931</v>
      </c>
      <c r="D626" s="83">
        <f t="shared" si="71"/>
        <v>180.82170833315257</v>
      </c>
      <c r="E626">
        <f t="shared" si="67"/>
        <v>10.764127731238517</v>
      </c>
      <c r="G626">
        <v>576</v>
      </c>
      <c r="H626" s="13">
        <f t="shared" si="72"/>
        <v>5.1608656820917531E-2</v>
      </c>
      <c r="I626">
        <f t="shared" si="73"/>
        <v>72.029181238933219</v>
      </c>
      <c r="J626">
        <f t="shared" si="68"/>
        <v>202.4528214054742</v>
      </c>
      <c r="K626" s="27">
        <f t="shared" si="69"/>
        <v>2115.3805748743162</v>
      </c>
    </row>
    <row r="627" spans="1:11">
      <c r="A627" s="26">
        <v>577</v>
      </c>
      <c r="B627" s="82">
        <f t="shared" si="70"/>
        <v>3.2921237647087764E-4</v>
      </c>
      <c r="C627" s="58">
        <f t="shared" si="74"/>
        <v>42.492550451311402</v>
      </c>
      <c r="D627" s="83">
        <f t="shared" si="71"/>
        <v>180.8223548898099</v>
      </c>
      <c r="E627">
        <f t="shared" ref="E627:E690" si="75">((D627^2)+(D627*D628)+(D628^2))*B628/3</f>
        <v>10.764204707224666</v>
      </c>
      <c r="G627">
        <v>577</v>
      </c>
      <c r="H627" s="13">
        <f t="shared" si="72"/>
        <v>5.1608656820917531E-2</v>
      </c>
      <c r="I627">
        <f t="shared" si="73"/>
        <v>72.080789895754137</v>
      </c>
      <c r="J627">
        <f t="shared" ref="J627:J690" si="76">IF($G$28&lt;$C$14,0,((($C$11^2)-((I627-$C$13)^2))^0.5)+$C$16)</f>
        <v>202.46134705191449</v>
      </c>
      <c r="K627" s="27">
        <f t="shared" ref="K627:K690" si="77">((J627^2)+(J627*J628)+(J628^2))*H628/3</f>
        <v>2115.5580262043859</v>
      </c>
    </row>
    <row r="628" spans="1:11">
      <c r="A628" s="26">
        <v>578</v>
      </c>
      <c r="B628" s="82">
        <f t="shared" ref="B628:B691" si="78">C628-C627</f>
        <v>3.2921237647087764E-4</v>
      </c>
      <c r="C628" s="58">
        <f t="shared" si="74"/>
        <v>42.492879663687873</v>
      </c>
      <c r="D628" s="83">
        <f t="shared" ref="D628:D691" si="79">IF($G$28&lt;$C$14,0,((($C$11^2)-((C628-$C$13)^2))^0.5)+$C$16)</f>
        <v>180.82300141789335</v>
      </c>
      <c r="E628">
        <f t="shared" si="75"/>
        <v>10.764281680084267</v>
      </c>
      <c r="G628">
        <v>578</v>
      </c>
      <c r="H628" s="13">
        <f t="shared" ref="H628:H691" si="80">I628-I627</f>
        <v>5.1608656820917531E-2</v>
      </c>
      <c r="I628">
        <f t="shared" ref="I628:I691" si="81">($G$27-$C$14)/2000+I627</f>
        <v>72.132398552575054</v>
      </c>
      <c r="J628">
        <f t="shared" si="76"/>
        <v>202.46980441407399</v>
      </c>
      <c r="K628" s="27">
        <f t="shared" si="77"/>
        <v>2115.7340583674741</v>
      </c>
    </row>
    <row r="629" spans="1:11">
      <c r="A629" s="26">
        <v>579</v>
      </c>
      <c r="B629" s="82">
        <f t="shared" si="78"/>
        <v>3.2921237647087764E-4</v>
      </c>
      <c r="C629" s="58">
        <f t="shared" si="74"/>
        <v>42.493208876064344</v>
      </c>
      <c r="D629" s="83">
        <f t="shared" si="79"/>
        <v>180.82364791740596</v>
      </c>
      <c r="E629">
        <f t="shared" si="75"/>
        <v>10.764358649817638</v>
      </c>
      <c r="G629">
        <v>579</v>
      </c>
      <c r="H629" s="13">
        <f t="shared" si="80"/>
        <v>5.1608656820917531E-2</v>
      </c>
      <c r="I629">
        <f t="shared" si="81"/>
        <v>72.184007209395972</v>
      </c>
      <c r="J629">
        <f t="shared" si="76"/>
        <v>202.47819353518111</v>
      </c>
      <c r="K629" s="27">
        <f t="shared" si="77"/>
        <v>2115.90867208497</v>
      </c>
    </row>
    <row r="630" spans="1:11">
      <c r="A630" s="26">
        <v>580</v>
      </c>
      <c r="B630" s="82">
        <f t="shared" si="78"/>
        <v>3.2921237647087764E-4</v>
      </c>
      <c r="C630" s="58">
        <f t="shared" si="74"/>
        <v>42.493538088440815</v>
      </c>
      <c r="D630" s="83">
        <f t="shared" si="79"/>
        <v>180.82429438835072</v>
      </c>
      <c r="E630">
        <f t="shared" si="75"/>
        <v>10.764435616425102</v>
      </c>
      <c r="G630">
        <v>580</v>
      </c>
      <c r="H630" s="13">
        <f t="shared" si="80"/>
        <v>5.1608656820917531E-2</v>
      </c>
      <c r="I630">
        <f t="shared" si="81"/>
        <v>72.235615866216889</v>
      </c>
      <c r="J630">
        <f t="shared" si="76"/>
        <v>202.48651445807934</v>
      </c>
      <c r="K630" s="27">
        <f t="shared" si="77"/>
        <v>2116.0818680718221</v>
      </c>
    </row>
    <row r="631" spans="1:11">
      <c r="A631" s="26">
        <v>581</v>
      </c>
      <c r="B631" s="82">
        <f t="shared" si="78"/>
        <v>3.2921237647087764E-4</v>
      </c>
      <c r="C631" s="58">
        <f t="shared" si="74"/>
        <v>42.493867300817286</v>
      </c>
      <c r="D631" s="83">
        <f t="shared" si="79"/>
        <v>180.82494083073067</v>
      </c>
      <c r="E631">
        <f t="shared" si="75"/>
        <v>10.764512579906979</v>
      </c>
      <c r="G631">
        <v>581</v>
      </c>
      <c r="H631" s="13">
        <f t="shared" si="80"/>
        <v>5.1608656820917531E-2</v>
      </c>
      <c r="I631">
        <f t="shared" si="81"/>
        <v>72.287224523037807</v>
      </c>
      <c r="J631">
        <f t="shared" si="76"/>
        <v>202.49476722522849</v>
      </c>
      <c r="K631" s="27">
        <f t="shared" si="77"/>
        <v>2116.2536470365562</v>
      </c>
    </row>
    <row r="632" spans="1:11">
      <c r="A632" s="26">
        <v>582</v>
      </c>
      <c r="B632" s="82">
        <f t="shared" si="78"/>
        <v>3.2921237647087764E-4</v>
      </c>
      <c r="C632" s="58">
        <f t="shared" si="74"/>
        <v>42.494196513193756</v>
      </c>
      <c r="D632" s="83">
        <f t="shared" si="79"/>
        <v>180.82558724454876</v>
      </c>
      <c r="E632">
        <f t="shared" si="75"/>
        <v>10.764589540263588</v>
      </c>
      <c r="G632">
        <v>582</v>
      </c>
      <c r="H632" s="13">
        <f t="shared" si="80"/>
        <v>5.1608656820917531E-2</v>
      </c>
      <c r="I632">
        <f t="shared" si="81"/>
        <v>72.338833179858725</v>
      </c>
      <c r="J632">
        <f t="shared" si="76"/>
        <v>202.5029518787058</v>
      </c>
      <c r="K632" s="27">
        <f t="shared" si="77"/>
        <v>2116.4240096812946</v>
      </c>
    </row>
    <row r="633" spans="1:11">
      <c r="A633" s="26">
        <v>583</v>
      </c>
      <c r="B633" s="82">
        <f t="shared" si="78"/>
        <v>3.2921237647087764E-4</v>
      </c>
      <c r="C633" s="58">
        <f t="shared" si="74"/>
        <v>42.494525725570227</v>
      </c>
      <c r="D633" s="83">
        <f t="shared" si="79"/>
        <v>180.826233629808</v>
      </c>
      <c r="E633">
        <f t="shared" si="75"/>
        <v>10.764666497495258</v>
      </c>
      <c r="G633">
        <v>583</v>
      </c>
      <c r="H633" s="13">
        <f t="shared" si="80"/>
        <v>5.1608656820917531E-2</v>
      </c>
      <c r="I633">
        <f t="shared" si="81"/>
        <v>72.390441836679642</v>
      </c>
      <c r="J633">
        <f t="shared" si="76"/>
        <v>202.51106846020699</v>
      </c>
      <c r="K633" s="27">
        <f t="shared" si="77"/>
        <v>2116.5929567017733</v>
      </c>
    </row>
    <row r="634" spans="1:11">
      <c r="A634" s="26">
        <v>584</v>
      </c>
      <c r="B634" s="82">
        <f t="shared" si="78"/>
        <v>3.2921237647087764E-4</v>
      </c>
      <c r="C634" s="58">
        <f t="shared" si="74"/>
        <v>42.494854937946698</v>
      </c>
      <c r="D634" s="83">
        <f t="shared" si="79"/>
        <v>180.82687998651147</v>
      </c>
      <c r="E634">
        <f t="shared" si="75"/>
        <v>10.764743451602307</v>
      </c>
      <c r="G634">
        <v>584</v>
      </c>
      <c r="H634" s="13">
        <f t="shared" si="80"/>
        <v>5.1608656820917531E-2</v>
      </c>
      <c r="I634">
        <f t="shared" si="81"/>
        <v>72.44205049350056</v>
      </c>
      <c r="J634">
        <f t="shared" si="76"/>
        <v>202.5191170110474</v>
      </c>
      <c r="K634" s="27">
        <f t="shared" si="77"/>
        <v>2116.7604887873617</v>
      </c>
    </row>
    <row r="635" spans="1:11">
      <c r="A635" s="26">
        <v>585</v>
      </c>
      <c r="B635" s="82">
        <f t="shared" si="78"/>
        <v>3.2921237647087764E-4</v>
      </c>
      <c r="C635" s="58">
        <f t="shared" si="74"/>
        <v>42.495184150323169</v>
      </c>
      <c r="D635" s="83">
        <f t="shared" si="79"/>
        <v>180.82752631466209</v>
      </c>
      <c r="E635">
        <f t="shared" si="75"/>
        <v>10.764820402585052</v>
      </c>
      <c r="G635">
        <v>585</v>
      </c>
      <c r="H635" s="13">
        <f t="shared" si="80"/>
        <v>5.1608656820917531E-2</v>
      </c>
      <c r="I635">
        <f t="shared" si="81"/>
        <v>72.493659150321477</v>
      </c>
      <c r="J635">
        <f t="shared" si="76"/>
        <v>202.52709757216306</v>
      </c>
      <c r="K635" s="27">
        <f t="shared" si="77"/>
        <v>2116.9266066210798</v>
      </c>
    </row>
    <row r="636" spans="1:11">
      <c r="A636" s="26">
        <v>586</v>
      </c>
      <c r="B636" s="82">
        <f t="shared" si="78"/>
        <v>3.2921237647087764E-4</v>
      </c>
      <c r="C636" s="58">
        <f t="shared" si="74"/>
        <v>42.49551336269964</v>
      </c>
      <c r="D636" s="83">
        <f t="shared" si="79"/>
        <v>180.82817261426288</v>
      </c>
      <c r="E636">
        <f t="shared" si="75"/>
        <v>10.764897350443817</v>
      </c>
      <c r="G636">
        <v>586</v>
      </c>
      <c r="H636" s="13">
        <f t="shared" si="80"/>
        <v>5.1608656820917531E-2</v>
      </c>
      <c r="I636">
        <f t="shared" si="81"/>
        <v>72.545267807142395</v>
      </c>
      <c r="J636">
        <f t="shared" si="76"/>
        <v>202.5350101841118</v>
      </c>
      <c r="K636" s="27">
        <f t="shared" si="77"/>
        <v>2117.091310879618</v>
      </c>
    </row>
    <row r="637" spans="1:11">
      <c r="A637" s="26">
        <v>587</v>
      </c>
      <c r="B637" s="82">
        <f t="shared" si="78"/>
        <v>3.2921237647087764E-4</v>
      </c>
      <c r="C637" s="58">
        <f t="shared" si="74"/>
        <v>42.495842575076111</v>
      </c>
      <c r="D637" s="83">
        <f t="shared" si="79"/>
        <v>180.82881888531691</v>
      </c>
      <c r="E637">
        <f t="shared" si="75"/>
        <v>10.764974295178925</v>
      </c>
      <c r="G637">
        <v>587</v>
      </c>
      <c r="H637" s="13">
        <f t="shared" si="80"/>
        <v>5.1608656820917531E-2</v>
      </c>
      <c r="I637">
        <f t="shared" si="81"/>
        <v>72.596876463963312</v>
      </c>
      <c r="J637">
        <f t="shared" si="76"/>
        <v>202.54285488707433</v>
      </c>
      <c r="K637" s="27">
        <f t="shared" si="77"/>
        <v>2117.2546022333509</v>
      </c>
    </row>
    <row r="638" spans="1:11">
      <c r="A638" s="26">
        <v>588</v>
      </c>
      <c r="B638" s="82">
        <f t="shared" si="78"/>
        <v>3.2921237647087764E-4</v>
      </c>
      <c r="C638" s="58">
        <f t="shared" si="74"/>
        <v>42.496171787452582</v>
      </c>
      <c r="D638" s="83">
        <f t="shared" si="79"/>
        <v>180.82946512782709</v>
      </c>
      <c r="E638">
        <f t="shared" si="75"/>
        <v>10.765051236790697</v>
      </c>
      <c r="G638">
        <v>588</v>
      </c>
      <c r="H638" s="13">
        <f t="shared" si="80"/>
        <v>5.1608656820917531E-2</v>
      </c>
      <c r="I638">
        <f t="shared" si="81"/>
        <v>72.64848512078423</v>
      </c>
      <c r="J638">
        <f t="shared" si="76"/>
        <v>202.55063172085511</v>
      </c>
      <c r="K638" s="27">
        <f t="shared" si="77"/>
        <v>2117.4164813463585</v>
      </c>
    </row>
    <row r="639" spans="1:11">
      <c r="A639" s="26">
        <v>589</v>
      </c>
      <c r="B639" s="82">
        <f t="shared" si="78"/>
        <v>3.2921237647087764E-4</v>
      </c>
      <c r="C639" s="58">
        <f t="shared" si="74"/>
        <v>42.496500999829053</v>
      </c>
      <c r="D639" s="83">
        <f t="shared" si="79"/>
        <v>180.83011134179651</v>
      </c>
      <c r="E639">
        <f t="shared" si="75"/>
        <v>10.765128175279452</v>
      </c>
      <c r="G639">
        <v>589</v>
      </c>
      <c r="H639" s="13">
        <f t="shared" si="80"/>
        <v>5.1608656820917531E-2</v>
      </c>
      <c r="I639">
        <f t="shared" si="81"/>
        <v>72.700093777605147</v>
      </c>
      <c r="J639">
        <f t="shared" si="76"/>
        <v>202.55834072488364</v>
      </c>
      <c r="K639" s="27">
        <f t="shared" si="77"/>
        <v>2117.5769488764422</v>
      </c>
    </row>
    <row r="640" spans="1:11">
      <c r="A640" s="26">
        <v>590</v>
      </c>
      <c r="B640" s="82">
        <f t="shared" si="78"/>
        <v>3.2921237647087764E-4</v>
      </c>
      <c r="C640" s="58">
        <f t="shared" si="74"/>
        <v>42.496830212205523</v>
      </c>
      <c r="D640" s="83">
        <f t="shared" si="79"/>
        <v>180.83075752722809</v>
      </c>
      <c r="E640">
        <f t="shared" si="75"/>
        <v>10.765205110645512</v>
      </c>
      <c r="G640">
        <v>590</v>
      </c>
      <c r="H640" s="13">
        <f t="shared" si="80"/>
        <v>5.1608656820917531E-2</v>
      </c>
      <c r="I640">
        <f t="shared" si="81"/>
        <v>72.751702434426065</v>
      </c>
      <c r="J640">
        <f t="shared" si="76"/>
        <v>202.56598193821534</v>
      </c>
      <c r="K640" s="27">
        <f t="shared" si="77"/>
        <v>2117.736005475143</v>
      </c>
    </row>
    <row r="641" spans="1:11">
      <c r="A641" s="26">
        <v>591</v>
      </c>
      <c r="B641" s="82">
        <f t="shared" si="78"/>
        <v>3.2921237647087764E-4</v>
      </c>
      <c r="C641" s="58">
        <f t="shared" si="74"/>
        <v>42.497159424581994</v>
      </c>
      <c r="D641" s="83">
        <f t="shared" si="79"/>
        <v>180.83140368412489</v>
      </c>
      <c r="E641">
        <f t="shared" si="75"/>
        <v>10.765282042889197</v>
      </c>
      <c r="G641">
        <v>591</v>
      </c>
      <c r="H641" s="13">
        <f t="shared" si="80"/>
        <v>5.1608656820917531E-2</v>
      </c>
      <c r="I641">
        <f t="shared" si="81"/>
        <v>72.803311091246982</v>
      </c>
      <c r="J641">
        <f t="shared" si="76"/>
        <v>202.57355539953264</v>
      </c>
      <c r="K641" s="27">
        <f t="shared" si="77"/>
        <v>2117.8936517877551</v>
      </c>
    </row>
    <row r="642" spans="1:11">
      <c r="A642" s="26">
        <v>592</v>
      </c>
      <c r="B642" s="82">
        <f t="shared" si="78"/>
        <v>3.2921237647087764E-4</v>
      </c>
      <c r="C642" s="58">
        <f t="shared" si="74"/>
        <v>42.497488636958465</v>
      </c>
      <c r="D642" s="83">
        <f t="shared" si="79"/>
        <v>180.83204981248988</v>
      </c>
      <c r="E642">
        <f t="shared" si="75"/>
        <v>10.76535897201083</v>
      </c>
      <c r="G642">
        <v>592</v>
      </c>
      <c r="H642" s="13">
        <f t="shared" si="80"/>
        <v>5.1608656820917531E-2</v>
      </c>
      <c r="I642">
        <f t="shared" si="81"/>
        <v>72.8549197480679</v>
      </c>
      <c r="J642">
        <f t="shared" si="76"/>
        <v>202.58106114714587</v>
      </c>
      <c r="K642" s="27">
        <f t="shared" si="77"/>
        <v>2118.0498884533476</v>
      </c>
    </row>
    <row r="643" spans="1:11">
      <c r="A643" s="26">
        <v>593</v>
      </c>
      <c r="B643" s="82">
        <f t="shared" si="78"/>
        <v>3.2921237647087764E-4</v>
      </c>
      <c r="C643" s="58">
        <f t="shared" si="74"/>
        <v>42.497817849334936</v>
      </c>
      <c r="D643" s="83">
        <f t="shared" si="79"/>
        <v>180.8326959123261</v>
      </c>
      <c r="E643">
        <f t="shared" si="75"/>
        <v>10.765435898010729</v>
      </c>
      <c r="G643">
        <v>593</v>
      </c>
      <c r="H643" s="13">
        <f t="shared" si="80"/>
        <v>5.1608656820917531E-2</v>
      </c>
      <c r="I643">
        <f t="shared" si="81"/>
        <v>72.906528404888817</v>
      </c>
      <c r="J643">
        <f t="shared" si="76"/>
        <v>202.58849921899446</v>
      </c>
      <c r="K643" s="27">
        <f t="shared" si="77"/>
        <v>2118.2047161047772</v>
      </c>
    </row>
    <row r="644" spans="1:11">
      <c r="A644" s="26">
        <v>594</v>
      </c>
      <c r="B644" s="82">
        <f t="shared" si="78"/>
        <v>3.2921237647087764E-4</v>
      </c>
      <c r="C644" s="58">
        <f t="shared" si="74"/>
        <v>42.498147061711407</v>
      </c>
      <c r="D644" s="83">
        <f t="shared" si="79"/>
        <v>180.8333419836365</v>
      </c>
      <c r="E644">
        <f t="shared" si="75"/>
        <v>10.765512820889215</v>
      </c>
      <c r="G644">
        <v>594</v>
      </c>
      <c r="H644" s="13">
        <f t="shared" si="80"/>
        <v>5.1608656820917531E-2</v>
      </c>
      <c r="I644">
        <f t="shared" si="81"/>
        <v>72.958137061709735</v>
      </c>
      <c r="J644">
        <f t="shared" si="76"/>
        <v>202.59586965264765</v>
      </c>
      <c r="K644" s="27">
        <f t="shared" si="77"/>
        <v>2118.3581353687055</v>
      </c>
    </row>
    <row r="645" spans="1:11">
      <c r="A645" s="26">
        <v>595</v>
      </c>
      <c r="B645" s="82">
        <f t="shared" si="78"/>
        <v>3.2921237647087764E-4</v>
      </c>
      <c r="C645" s="58">
        <f t="shared" si="74"/>
        <v>42.498476274087878</v>
      </c>
      <c r="D645" s="83">
        <f t="shared" si="79"/>
        <v>180.83398802642409</v>
      </c>
      <c r="E645">
        <f t="shared" si="75"/>
        <v>10.765589740646613</v>
      </c>
      <c r="G645">
        <v>595</v>
      </c>
      <c r="H645" s="13">
        <f t="shared" si="80"/>
        <v>5.1608656820917531E-2</v>
      </c>
      <c r="I645">
        <f t="shared" si="81"/>
        <v>73.009745718530652</v>
      </c>
      <c r="J645">
        <f t="shared" si="76"/>
        <v>202.60317248530575</v>
      </c>
      <c r="K645" s="27">
        <f t="shared" si="77"/>
        <v>2118.510146865618</v>
      </c>
    </row>
    <row r="646" spans="1:11">
      <c r="A646" s="26">
        <v>596</v>
      </c>
      <c r="B646" s="82">
        <f t="shared" si="78"/>
        <v>3.2921237647087764E-4</v>
      </c>
      <c r="C646" s="58">
        <f t="shared" si="74"/>
        <v>42.498805486464349</v>
      </c>
      <c r="D646" s="83">
        <f t="shared" si="79"/>
        <v>180.83463404069192</v>
      </c>
      <c r="E646">
        <f t="shared" si="75"/>
        <v>10.765666657283241</v>
      </c>
      <c r="G646">
        <v>596</v>
      </c>
      <c r="H646" s="13">
        <f t="shared" si="80"/>
        <v>5.1608656820917531E-2</v>
      </c>
      <c r="I646">
        <f t="shared" si="81"/>
        <v>73.06135437535157</v>
      </c>
      <c r="J646">
        <f t="shared" si="76"/>
        <v>202.61040775380093</v>
      </c>
      <c r="K646" s="27">
        <f t="shared" si="77"/>
        <v>2118.6607512098353</v>
      </c>
    </row>
    <row r="647" spans="1:11">
      <c r="A647" s="26">
        <v>597</v>
      </c>
      <c r="B647" s="82">
        <f t="shared" si="78"/>
        <v>3.2921237647087764E-4</v>
      </c>
      <c r="C647" s="58">
        <f t="shared" si="74"/>
        <v>42.49913469884082</v>
      </c>
      <c r="D647" s="83">
        <f t="shared" si="79"/>
        <v>180.83528002644292</v>
      </c>
      <c r="E647">
        <f t="shared" si="75"/>
        <v>10.765743570799415</v>
      </c>
      <c r="G647">
        <v>597</v>
      </c>
      <c r="H647" s="13">
        <f t="shared" si="80"/>
        <v>5.1608656820917531E-2</v>
      </c>
      <c r="I647">
        <f t="shared" si="81"/>
        <v>73.112963032172487</v>
      </c>
      <c r="J647">
        <f t="shared" si="76"/>
        <v>202.61757549459816</v>
      </c>
      <c r="K647" s="27">
        <f t="shared" si="77"/>
        <v>2118.8099490095333</v>
      </c>
    </row>
    <row r="648" spans="1:11">
      <c r="A648" s="26">
        <v>598</v>
      </c>
      <c r="B648" s="82">
        <f t="shared" si="78"/>
        <v>3.2921237647087764E-4</v>
      </c>
      <c r="C648" s="58">
        <f t="shared" si="74"/>
        <v>42.499463911217291</v>
      </c>
      <c r="D648" s="83">
        <f t="shared" si="79"/>
        <v>180.83592598368011</v>
      </c>
      <c r="E648">
        <f t="shared" si="75"/>
        <v>10.765820481195462</v>
      </c>
      <c r="G648">
        <v>598</v>
      </c>
      <c r="H648" s="13">
        <f t="shared" si="80"/>
        <v>5.1608656820917531E-2</v>
      </c>
      <c r="I648">
        <f t="shared" si="81"/>
        <v>73.164571688993405</v>
      </c>
      <c r="J648">
        <f t="shared" si="76"/>
        <v>202.6246757437963</v>
      </c>
      <c r="K648" s="27">
        <f t="shared" si="77"/>
        <v>2118.9577408667578</v>
      </c>
    </row>
    <row r="649" spans="1:11">
      <c r="A649" s="26">
        <v>599</v>
      </c>
      <c r="B649" s="82">
        <f t="shared" si="78"/>
        <v>3.2921237647087764E-4</v>
      </c>
      <c r="C649" s="58">
        <f t="shared" si="74"/>
        <v>42.499793123593761</v>
      </c>
      <c r="D649" s="83">
        <f t="shared" si="79"/>
        <v>180.8365719124065</v>
      </c>
      <c r="E649">
        <f t="shared" si="75"/>
        <v>10.765897388471698</v>
      </c>
      <c r="G649">
        <v>599</v>
      </c>
      <c r="H649" s="13">
        <f t="shared" si="80"/>
        <v>5.1608656820917531E-2</v>
      </c>
      <c r="I649">
        <f t="shared" si="81"/>
        <v>73.216180345814323</v>
      </c>
      <c r="J649">
        <f t="shared" si="76"/>
        <v>202.63170853712887</v>
      </c>
      <c r="K649" s="27">
        <f t="shared" si="77"/>
        <v>2119.1041273774367</v>
      </c>
    </row>
    <row r="650" spans="1:11">
      <c r="A650" s="26">
        <v>600</v>
      </c>
      <c r="B650" s="82">
        <f t="shared" si="78"/>
        <v>3.2921237647087764E-4</v>
      </c>
      <c r="C650" s="58">
        <f t="shared" si="74"/>
        <v>42.500122335970232</v>
      </c>
      <c r="D650" s="83">
        <f t="shared" si="79"/>
        <v>180.83721781262508</v>
      </c>
      <c r="E650">
        <f t="shared" si="75"/>
        <v>10.765974292628444</v>
      </c>
      <c r="G650">
        <v>600</v>
      </c>
      <c r="H650" s="13">
        <f t="shared" si="80"/>
        <v>5.1608656820917531E-2</v>
      </c>
      <c r="I650">
        <f t="shared" si="81"/>
        <v>73.26778900263524</v>
      </c>
      <c r="J650">
        <f t="shared" si="76"/>
        <v>202.63867390996509</v>
      </c>
      <c r="K650" s="27">
        <f t="shared" si="77"/>
        <v>2119.2491091314018</v>
      </c>
    </row>
    <row r="651" spans="1:11">
      <c r="A651" s="26">
        <v>601</v>
      </c>
      <c r="B651" s="82">
        <f t="shared" si="78"/>
        <v>3.2921237647087764E-4</v>
      </c>
      <c r="C651" s="58">
        <f t="shared" si="74"/>
        <v>42.500451548346703</v>
      </c>
      <c r="D651" s="83">
        <f t="shared" si="79"/>
        <v>180.83786368433886</v>
      </c>
      <c r="E651">
        <f t="shared" si="75"/>
        <v>10.766051193666028</v>
      </c>
      <c r="G651">
        <v>601</v>
      </c>
      <c r="H651" s="13">
        <f t="shared" si="80"/>
        <v>5.1608656820917531E-2</v>
      </c>
      <c r="I651">
        <f t="shared" si="81"/>
        <v>73.319397659456158</v>
      </c>
      <c r="J651">
        <f t="shared" si="76"/>
        <v>202.6455718973107</v>
      </c>
      <c r="K651" s="27">
        <f t="shared" si="77"/>
        <v>2119.3926867123973</v>
      </c>
    </row>
    <row r="652" spans="1:11">
      <c r="A652" s="26">
        <v>602</v>
      </c>
      <c r="B652" s="82">
        <f t="shared" si="78"/>
        <v>3.2921237647087764E-4</v>
      </c>
      <c r="C652" s="58">
        <f t="shared" si="74"/>
        <v>42.500780760723174</v>
      </c>
      <c r="D652" s="83">
        <f t="shared" si="79"/>
        <v>180.8385095275508</v>
      </c>
      <c r="E652">
        <f t="shared" si="75"/>
        <v>10.766128091584759</v>
      </c>
      <c r="G652">
        <v>602</v>
      </c>
      <c r="H652" s="13">
        <f t="shared" si="80"/>
        <v>5.1608656820917531E-2</v>
      </c>
      <c r="I652">
        <f t="shared" si="81"/>
        <v>73.371006316277075</v>
      </c>
      <c r="J652">
        <f t="shared" si="76"/>
        <v>202.65240253380892</v>
      </c>
      <c r="K652" s="27">
        <f t="shared" si="77"/>
        <v>2119.5348606980992</v>
      </c>
    </row>
    <row r="653" spans="1:11">
      <c r="A653" s="26">
        <v>603</v>
      </c>
      <c r="B653" s="82">
        <f t="shared" si="78"/>
        <v>3.2921237647087764E-4</v>
      </c>
      <c r="C653" s="58">
        <f t="shared" si="74"/>
        <v>42.501109973099645</v>
      </c>
      <c r="D653" s="83">
        <f t="shared" si="79"/>
        <v>180.83915534226395</v>
      </c>
      <c r="E653">
        <f t="shared" si="75"/>
        <v>10.766204986384965</v>
      </c>
      <c r="G653">
        <v>603</v>
      </c>
      <c r="H653" s="13">
        <f t="shared" si="80"/>
        <v>5.1608656820917531E-2</v>
      </c>
      <c r="I653">
        <f t="shared" si="81"/>
        <v>73.422614973097993</v>
      </c>
      <c r="J653">
        <f t="shared" si="76"/>
        <v>202.65916585374131</v>
      </c>
      <c r="K653" s="27">
        <f t="shared" si="77"/>
        <v>2119.6756316601286</v>
      </c>
    </row>
    <row r="654" spans="1:11">
      <c r="A654" s="26">
        <v>604</v>
      </c>
      <c r="B654" s="82">
        <f t="shared" si="78"/>
        <v>3.2921237647087764E-4</v>
      </c>
      <c r="C654" s="58">
        <f t="shared" si="74"/>
        <v>42.501439185476116</v>
      </c>
      <c r="D654" s="83">
        <f t="shared" si="79"/>
        <v>180.83980112848124</v>
      </c>
      <c r="E654">
        <f t="shared" si="75"/>
        <v>10.766281878066961</v>
      </c>
      <c r="G654">
        <v>604</v>
      </c>
      <c r="H654" s="13">
        <f t="shared" si="80"/>
        <v>5.1608656820917531E-2</v>
      </c>
      <c r="I654">
        <f t="shared" si="81"/>
        <v>73.47422362991891</v>
      </c>
      <c r="J654">
        <f t="shared" si="76"/>
        <v>202.66586189102867</v>
      </c>
      <c r="K654" s="27">
        <f t="shared" si="77"/>
        <v>2119.8150001640661</v>
      </c>
    </row>
    <row r="655" spans="1:11">
      <c r="A655" s="26">
        <v>605</v>
      </c>
      <c r="B655" s="82">
        <f t="shared" si="78"/>
        <v>3.2921237647087764E-4</v>
      </c>
      <c r="C655" s="58">
        <f t="shared" si="74"/>
        <v>42.501768397852587</v>
      </c>
      <c r="D655" s="83">
        <f t="shared" si="79"/>
        <v>180.84044688620568</v>
      </c>
      <c r="E655">
        <f t="shared" si="75"/>
        <v>10.76635876663107</v>
      </c>
      <c r="G655">
        <v>605</v>
      </c>
      <c r="H655" s="13">
        <f t="shared" si="80"/>
        <v>5.1608656820917531E-2</v>
      </c>
      <c r="I655">
        <f t="shared" si="81"/>
        <v>73.525832286739828</v>
      </c>
      <c r="J655">
        <f t="shared" si="76"/>
        <v>202.67249067923194</v>
      </c>
      <c r="K655" s="27">
        <f t="shared" si="77"/>
        <v>2119.9529667694683</v>
      </c>
    </row>
    <row r="656" spans="1:11">
      <c r="A656" s="26">
        <v>606</v>
      </c>
      <c r="B656" s="82">
        <f t="shared" si="78"/>
        <v>3.2921237647087764E-4</v>
      </c>
      <c r="C656" s="58">
        <f t="shared" ref="C656:C719" si="82">($C$37-$C$36)/2000+C655</f>
        <v>42.502097610229058</v>
      </c>
      <c r="D656" s="83">
        <f t="shared" si="79"/>
        <v>180.84109261544032</v>
      </c>
      <c r="E656">
        <f t="shared" si="75"/>
        <v>10.766435652077611</v>
      </c>
      <c r="G656">
        <v>606</v>
      </c>
      <c r="H656" s="13">
        <f t="shared" si="80"/>
        <v>5.1608656820917531E-2</v>
      </c>
      <c r="I656">
        <f t="shared" si="81"/>
        <v>73.577440943560745</v>
      </c>
      <c r="J656">
        <f t="shared" si="76"/>
        <v>202.67905225155297</v>
      </c>
      <c r="K656" s="27">
        <f t="shared" si="77"/>
        <v>2120.0895320298782</v>
      </c>
    </row>
    <row r="657" spans="1:11">
      <c r="A657" s="26">
        <v>607</v>
      </c>
      <c r="B657" s="82">
        <f t="shared" si="78"/>
        <v>3.2921237647087764E-4</v>
      </c>
      <c r="C657" s="58">
        <f t="shared" si="82"/>
        <v>42.502426822605528</v>
      </c>
      <c r="D657" s="83">
        <f t="shared" si="79"/>
        <v>180.84173831618807</v>
      </c>
      <c r="E657">
        <f t="shared" si="75"/>
        <v>10.766512534406905</v>
      </c>
      <c r="G657">
        <v>607</v>
      </c>
      <c r="H657" s="13">
        <f t="shared" si="80"/>
        <v>5.1608656820917531E-2</v>
      </c>
      <c r="I657">
        <f t="shared" si="81"/>
        <v>73.629049600381663</v>
      </c>
      <c r="J657">
        <f t="shared" si="76"/>
        <v>202.68554664083544</v>
      </c>
      <c r="K657" s="27">
        <f t="shared" si="77"/>
        <v>2120.2246964928427</v>
      </c>
    </row>
    <row r="658" spans="1:11">
      <c r="A658" s="26">
        <v>608</v>
      </c>
      <c r="B658" s="82">
        <f t="shared" si="78"/>
        <v>3.2921237647087764E-4</v>
      </c>
      <c r="C658" s="58">
        <f t="shared" si="82"/>
        <v>42.502756034981999</v>
      </c>
      <c r="D658" s="83">
        <f t="shared" si="79"/>
        <v>180.84238398845199</v>
      </c>
      <c r="E658">
        <f t="shared" si="75"/>
        <v>10.76658941361927</v>
      </c>
      <c r="G658">
        <v>608</v>
      </c>
      <c r="H658" s="13">
        <f t="shared" si="80"/>
        <v>5.1608656820917531E-2</v>
      </c>
      <c r="I658">
        <f t="shared" si="81"/>
        <v>73.68065825720258</v>
      </c>
      <c r="J658">
        <f t="shared" si="76"/>
        <v>202.69197387956567</v>
      </c>
      <c r="K658" s="27">
        <f t="shared" si="77"/>
        <v>2120.3584606999257</v>
      </c>
    </row>
    <row r="659" spans="1:11">
      <c r="A659" s="26">
        <v>609</v>
      </c>
      <c r="B659" s="82">
        <f t="shared" si="78"/>
        <v>3.2921237647087764E-4</v>
      </c>
      <c r="C659" s="58">
        <f t="shared" si="82"/>
        <v>42.50308524735847</v>
      </c>
      <c r="D659" s="83">
        <f t="shared" si="79"/>
        <v>180.84302963223504</v>
      </c>
      <c r="E659">
        <f t="shared" si="75"/>
        <v>10.766666289715028</v>
      </c>
      <c r="G659">
        <v>609</v>
      </c>
      <c r="H659" s="13">
        <f t="shared" si="80"/>
        <v>5.1608656820917531E-2</v>
      </c>
      <c r="I659">
        <f t="shared" si="81"/>
        <v>73.732266914023498</v>
      </c>
      <c r="J659">
        <f t="shared" si="76"/>
        <v>202.69833399987348</v>
      </c>
      <c r="K659" s="27">
        <f t="shared" si="77"/>
        <v>2120.4908251867232</v>
      </c>
    </row>
    <row r="660" spans="1:11">
      <c r="A660" s="26">
        <v>610</v>
      </c>
      <c r="B660" s="82">
        <f t="shared" si="78"/>
        <v>3.2921237647087764E-4</v>
      </c>
      <c r="C660" s="58">
        <f t="shared" si="82"/>
        <v>42.503414459734941</v>
      </c>
      <c r="D660" s="83">
        <f t="shared" si="79"/>
        <v>180.8436752475402</v>
      </c>
      <c r="E660">
        <f t="shared" si="75"/>
        <v>10.766743162694498</v>
      </c>
      <c r="G660">
        <v>610</v>
      </c>
      <c r="H660" s="13">
        <f t="shared" si="80"/>
        <v>5.1608656820917531E-2</v>
      </c>
      <c r="I660">
        <f t="shared" si="81"/>
        <v>73.783875570844415</v>
      </c>
      <c r="J660">
        <f t="shared" si="76"/>
        <v>202.704627033533</v>
      </c>
      <c r="K660" s="27">
        <f t="shared" si="77"/>
        <v>2120.6217904828732</v>
      </c>
    </row>
    <row r="661" spans="1:11">
      <c r="A661" s="26">
        <v>611</v>
      </c>
      <c r="B661" s="82">
        <f t="shared" si="78"/>
        <v>3.2921237647087764E-4</v>
      </c>
      <c r="C661" s="58">
        <f t="shared" si="82"/>
        <v>42.503743672111412</v>
      </c>
      <c r="D661" s="83">
        <f t="shared" si="79"/>
        <v>180.84432083437048</v>
      </c>
      <c r="E661">
        <f t="shared" si="75"/>
        <v>10.766820032558</v>
      </c>
      <c r="G661">
        <v>611</v>
      </c>
      <c r="H661" s="13">
        <f t="shared" si="80"/>
        <v>5.1608656820917531E-2</v>
      </c>
      <c r="I661">
        <f t="shared" si="81"/>
        <v>73.835484227665333</v>
      </c>
      <c r="J661">
        <f t="shared" si="76"/>
        <v>202.71085301196342</v>
      </c>
      <c r="K661" s="27">
        <f t="shared" si="77"/>
        <v>2120.7513571120726</v>
      </c>
    </row>
    <row r="662" spans="1:11">
      <c r="A662" s="26">
        <v>612</v>
      </c>
      <c r="B662" s="82">
        <f t="shared" si="78"/>
        <v>3.2921237647087764E-4</v>
      </c>
      <c r="C662" s="58">
        <f t="shared" si="82"/>
        <v>42.504072884487883</v>
      </c>
      <c r="D662" s="83">
        <f t="shared" si="79"/>
        <v>180.84496639272888</v>
      </c>
      <c r="E662">
        <f t="shared" si="75"/>
        <v>10.766896899305854</v>
      </c>
      <c r="G662">
        <v>612</v>
      </c>
      <c r="H662" s="13">
        <f t="shared" si="80"/>
        <v>5.1608656820917531E-2</v>
      </c>
      <c r="I662">
        <f t="shared" si="81"/>
        <v>73.88709288448625</v>
      </c>
      <c r="J662">
        <f t="shared" si="76"/>
        <v>202.7170119662299</v>
      </c>
      <c r="K662" s="27">
        <f t="shared" si="77"/>
        <v>2120.8795255920895</v>
      </c>
    </row>
    <row r="663" spans="1:11">
      <c r="A663" s="26">
        <v>613</v>
      </c>
      <c r="B663" s="82">
        <f t="shared" si="78"/>
        <v>3.2921237647087764E-4</v>
      </c>
      <c r="C663" s="58">
        <f t="shared" si="82"/>
        <v>42.504402096864354</v>
      </c>
      <c r="D663" s="83">
        <f t="shared" si="79"/>
        <v>180.84561192261836</v>
      </c>
      <c r="E663">
        <f t="shared" si="75"/>
        <v>10.766973762938377</v>
      </c>
      <c r="G663">
        <v>613</v>
      </c>
      <c r="H663" s="13">
        <f t="shared" si="80"/>
        <v>5.1608656820917531E-2</v>
      </c>
      <c r="I663">
        <f t="shared" si="81"/>
        <v>73.938701541307168</v>
      </c>
      <c r="J663">
        <f t="shared" si="76"/>
        <v>202.72310392704426</v>
      </c>
      <c r="K663" s="27">
        <f t="shared" si="77"/>
        <v>2121.0062964347767</v>
      </c>
    </row>
    <row r="664" spans="1:11">
      <c r="A664" s="26">
        <v>614</v>
      </c>
      <c r="B664" s="82">
        <f t="shared" si="78"/>
        <v>3.2921237647087764E-4</v>
      </c>
      <c r="C664" s="58">
        <f t="shared" si="82"/>
        <v>42.504731309240825</v>
      </c>
      <c r="D664" s="83">
        <f t="shared" si="79"/>
        <v>180.84625742404194</v>
      </c>
      <c r="E664">
        <f t="shared" si="75"/>
        <v>10.767050623455889</v>
      </c>
      <c r="G664">
        <v>614</v>
      </c>
      <c r="H664" s="13">
        <f t="shared" si="80"/>
        <v>5.1608656820917531E-2</v>
      </c>
      <c r="I664">
        <f t="shared" si="81"/>
        <v>73.990310198128086</v>
      </c>
      <c r="J664">
        <f t="shared" si="76"/>
        <v>202.7291289247658</v>
      </c>
      <c r="K664" s="27">
        <f t="shared" si="77"/>
        <v>2121.1316701460823</v>
      </c>
    </row>
    <row r="665" spans="1:11">
      <c r="A665" s="26">
        <v>615</v>
      </c>
      <c r="B665" s="82">
        <f t="shared" si="78"/>
        <v>3.2921237647087764E-4</v>
      </c>
      <c r="C665" s="58">
        <f t="shared" si="82"/>
        <v>42.505060521617295</v>
      </c>
      <c r="D665" s="83">
        <f t="shared" si="79"/>
        <v>180.84690289700256</v>
      </c>
      <c r="E665">
        <f t="shared" si="75"/>
        <v>10.767127480858713</v>
      </c>
      <c r="G665">
        <v>615</v>
      </c>
      <c r="H665" s="13">
        <f t="shared" si="80"/>
        <v>5.1608656820917531E-2</v>
      </c>
      <c r="I665">
        <f t="shared" si="81"/>
        <v>74.041918854949003</v>
      </c>
      <c r="J665">
        <f t="shared" si="76"/>
        <v>202.73508698940208</v>
      </c>
      <c r="K665" s="27">
        <f t="shared" si="77"/>
        <v>2121.255647226068</v>
      </c>
    </row>
    <row r="666" spans="1:11">
      <c r="A666" s="26">
        <v>616</v>
      </c>
      <c r="B666" s="82">
        <f t="shared" si="78"/>
        <v>3.2921237647087764E-4</v>
      </c>
      <c r="C666" s="58">
        <f t="shared" si="82"/>
        <v>42.505389733993766</v>
      </c>
      <c r="D666" s="83">
        <f t="shared" si="79"/>
        <v>180.84754834150326</v>
      </c>
      <c r="E666">
        <f t="shared" si="75"/>
        <v>10.767204335147168</v>
      </c>
      <c r="G666">
        <v>616</v>
      </c>
      <c r="H666" s="13">
        <f t="shared" si="80"/>
        <v>5.1608656820917531E-2</v>
      </c>
      <c r="I666">
        <f t="shared" si="81"/>
        <v>74.093527511769921</v>
      </c>
      <c r="J666">
        <f t="shared" si="76"/>
        <v>202.74097815060964</v>
      </c>
      <c r="K666" s="27">
        <f t="shared" si="77"/>
        <v>2121.3782281689159</v>
      </c>
    </row>
    <row r="667" spans="1:11">
      <c r="A667" s="26">
        <v>617</v>
      </c>
      <c r="B667" s="82">
        <f t="shared" si="78"/>
        <v>3.2921237647087764E-4</v>
      </c>
      <c r="C667" s="58">
        <f t="shared" si="82"/>
        <v>42.505718946370237</v>
      </c>
      <c r="D667" s="83">
        <f t="shared" si="79"/>
        <v>180.84819375754699</v>
      </c>
      <c r="E667">
        <f t="shared" si="75"/>
        <v>10.76728118632157</v>
      </c>
      <c r="G667">
        <v>617</v>
      </c>
      <c r="H667" s="13">
        <f t="shared" si="80"/>
        <v>5.1608656820917531E-2</v>
      </c>
      <c r="I667">
        <f t="shared" si="81"/>
        <v>74.145136168590838</v>
      </c>
      <c r="J667">
        <f t="shared" si="76"/>
        <v>202.74680243769487</v>
      </c>
      <c r="K667" s="27">
        <f t="shared" si="77"/>
        <v>2121.4994134629437</v>
      </c>
    </row>
    <row r="668" spans="1:11">
      <c r="A668" s="26">
        <v>618</v>
      </c>
      <c r="B668" s="82">
        <f t="shared" si="78"/>
        <v>3.2921237647087764E-4</v>
      </c>
      <c r="C668" s="58">
        <f t="shared" si="82"/>
        <v>42.506048158746708</v>
      </c>
      <c r="D668" s="83">
        <f t="shared" si="79"/>
        <v>180.84883914513679</v>
      </c>
      <c r="E668">
        <f t="shared" si="75"/>
        <v>10.767358034382243</v>
      </c>
      <c r="G668">
        <v>618</v>
      </c>
      <c r="H668" s="13">
        <f t="shared" si="80"/>
        <v>5.1608656820917531E-2</v>
      </c>
      <c r="I668">
        <f t="shared" si="81"/>
        <v>74.196744825411756</v>
      </c>
      <c r="J668">
        <f t="shared" si="76"/>
        <v>202.75255987961455</v>
      </c>
      <c r="K668" s="27">
        <f t="shared" si="77"/>
        <v>2121.6192035906174</v>
      </c>
    </row>
    <row r="669" spans="1:11">
      <c r="A669" s="26">
        <v>619</v>
      </c>
      <c r="B669" s="82">
        <f t="shared" si="78"/>
        <v>3.2921237647087764E-4</v>
      </c>
      <c r="C669" s="58">
        <f t="shared" si="82"/>
        <v>42.506377371123179</v>
      </c>
      <c r="D669" s="83">
        <f t="shared" si="79"/>
        <v>180.84948450427558</v>
      </c>
      <c r="E669">
        <f t="shared" si="75"/>
        <v>10.7674348793295</v>
      </c>
      <c r="G669">
        <v>619</v>
      </c>
      <c r="H669" s="13">
        <f t="shared" si="80"/>
        <v>5.1608656820917531E-2</v>
      </c>
      <c r="I669">
        <f t="shared" si="81"/>
        <v>74.248353482232673</v>
      </c>
      <c r="J669">
        <f t="shared" si="76"/>
        <v>202.75825050497679</v>
      </c>
      <c r="K669" s="27">
        <f t="shared" si="77"/>
        <v>2121.7375990285623</v>
      </c>
    </row>
    <row r="670" spans="1:11">
      <c r="A670" s="26">
        <v>620</v>
      </c>
      <c r="B670" s="82">
        <f t="shared" si="78"/>
        <v>3.2921237647087764E-4</v>
      </c>
      <c r="C670" s="58">
        <f t="shared" si="82"/>
        <v>42.50670658349965</v>
      </c>
      <c r="D670" s="83">
        <f t="shared" si="79"/>
        <v>180.85012983496637</v>
      </c>
      <c r="E670">
        <f t="shared" si="75"/>
        <v>10.767511721163665</v>
      </c>
      <c r="G670">
        <v>620</v>
      </c>
      <c r="H670" s="13">
        <f t="shared" si="80"/>
        <v>5.1608656820917531E-2</v>
      </c>
      <c r="I670">
        <f t="shared" si="81"/>
        <v>74.299962139053591</v>
      </c>
      <c r="J670">
        <f t="shared" si="76"/>
        <v>202.76387434204156</v>
      </c>
      <c r="K670" s="27">
        <f t="shared" si="77"/>
        <v>2121.8546002475759</v>
      </c>
    </row>
    <row r="671" spans="1:11">
      <c r="A671" s="26">
        <v>621</v>
      </c>
      <c r="B671" s="82">
        <f t="shared" si="78"/>
        <v>3.2921237647087764E-4</v>
      </c>
      <c r="C671" s="58">
        <f t="shared" si="82"/>
        <v>42.507035795876121</v>
      </c>
      <c r="D671" s="83">
        <f t="shared" si="79"/>
        <v>180.85077513721217</v>
      </c>
      <c r="E671">
        <f t="shared" si="75"/>
        <v>10.767588559885056</v>
      </c>
      <c r="G671">
        <v>621</v>
      </c>
      <c r="H671" s="13">
        <f t="shared" si="80"/>
        <v>5.1608656820917531E-2</v>
      </c>
      <c r="I671">
        <f t="shared" si="81"/>
        <v>74.351570795874508</v>
      </c>
      <c r="J671">
        <f t="shared" si="76"/>
        <v>202.76943141872158</v>
      </c>
      <c r="K671" s="27">
        <f t="shared" si="77"/>
        <v>2121.9702077126394</v>
      </c>
    </row>
    <row r="672" spans="1:11">
      <c r="A672" s="26">
        <v>622</v>
      </c>
      <c r="B672" s="82">
        <f t="shared" si="78"/>
        <v>3.2921237647087764E-4</v>
      </c>
      <c r="C672" s="58">
        <f t="shared" si="82"/>
        <v>42.507365008252592</v>
      </c>
      <c r="D672" s="83">
        <f t="shared" si="79"/>
        <v>180.85142041101594</v>
      </c>
      <c r="E672">
        <f t="shared" si="75"/>
        <v>10.767665395493992</v>
      </c>
      <c r="G672">
        <v>622</v>
      </c>
      <c r="H672" s="13">
        <f t="shared" si="80"/>
        <v>5.1608656820917531E-2</v>
      </c>
      <c r="I672">
        <f t="shared" si="81"/>
        <v>74.403179452695426</v>
      </c>
      <c r="J672">
        <f t="shared" si="76"/>
        <v>202.77492176258292</v>
      </c>
      <c r="K672" s="27">
        <f t="shared" si="77"/>
        <v>2122.0844218829297</v>
      </c>
    </row>
    <row r="673" spans="1:11">
      <c r="A673" s="26">
        <v>623</v>
      </c>
      <c r="B673" s="82">
        <f t="shared" si="78"/>
        <v>3.2921237647087764E-4</v>
      </c>
      <c r="C673" s="58">
        <f t="shared" si="82"/>
        <v>42.507694220629062</v>
      </c>
      <c r="D673" s="83">
        <f t="shared" si="79"/>
        <v>180.85206565638066</v>
      </c>
      <c r="E673">
        <f t="shared" si="75"/>
        <v>10.767742227990789</v>
      </c>
      <c r="G673">
        <v>623</v>
      </c>
      <c r="H673" s="13">
        <f t="shared" si="80"/>
        <v>5.1608656820917531E-2</v>
      </c>
      <c r="I673">
        <f t="shared" si="81"/>
        <v>74.454788109516343</v>
      </c>
      <c r="J673">
        <f t="shared" si="76"/>
        <v>202.7803454008457</v>
      </c>
      <c r="K673" s="27">
        <f t="shared" si="77"/>
        <v>2122.1972432118305</v>
      </c>
    </row>
    <row r="674" spans="1:11">
      <c r="A674" s="26">
        <v>624</v>
      </c>
      <c r="B674" s="82">
        <f t="shared" si="78"/>
        <v>3.2921237647087764E-4</v>
      </c>
      <c r="C674" s="58">
        <f t="shared" si="82"/>
        <v>42.508023433005533</v>
      </c>
      <c r="D674" s="83">
        <f t="shared" si="79"/>
        <v>180.85271087330932</v>
      </c>
      <c r="E674">
        <f t="shared" si="75"/>
        <v>10.767819057375773</v>
      </c>
      <c r="G674">
        <v>624</v>
      </c>
      <c r="H674" s="13">
        <f t="shared" si="80"/>
        <v>5.1608656820917531E-2</v>
      </c>
      <c r="I674">
        <f t="shared" si="81"/>
        <v>74.506396766337261</v>
      </c>
      <c r="J674">
        <f t="shared" si="76"/>
        <v>202.78570236038485</v>
      </c>
      <c r="K674" s="27">
        <f t="shared" si="77"/>
        <v>2122.3086721469444</v>
      </c>
    </row>
    <row r="675" spans="1:11">
      <c r="A675" s="26">
        <v>625</v>
      </c>
      <c r="B675" s="82">
        <f t="shared" si="78"/>
        <v>3.2921237647087764E-4</v>
      </c>
      <c r="C675" s="58">
        <f t="shared" si="82"/>
        <v>42.508352645382004</v>
      </c>
      <c r="D675" s="83">
        <f t="shared" si="79"/>
        <v>180.8533560618049</v>
      </c>
      <c r="E675">
        <f t="shared" si="75"/>
        <v>10.767895883649258</v>
      </c>
      <c r="G675">
        <v>625</v>
      </c>
      <c r="H675" s="13">
        <f t="shared" si="80"/>
        <v>5.1608656820917531E-2</v>
      </c>
      <c r="I675">
        <f t="shared" si="81"/>
        <v>74.558005423158178</v>
      </c>
      <c r="J675">
        <f t="shared" si="76"/>
        <v>202.79099266773062</v>
      </c>
      <c r="K675" s="27">
        <f t="shared" si="77"/>
        <v>2122.4187091301033</v>
      </c>
    </row>
    <row r="676" spans="1:11">
      <c r="A676" s="26">
        <v>626</v>
      </c>
      <c r="B676" s="82">
        <f t="shared" si="78"/>
        <v>3.2921237647087764E-4</v>
      </c>
      <c r="C676" s="58">
        <f t="shared" si="82"/>
        <v>42.508681857758475</v>
      </c>
      <c r="D676" s="83">
        <f t="shared" si="79"/>
        <v>180.85400122187042</v>
      </c>
      <c r="E676">
        <f t="shared" si="75"/>
        <v>10.767972706811564</v>
      </c>
      <c r="G676">
        <v>626</v>
      </c>
      <c r="H676" s="13">
        <f t="shared" si="80"/>
        <v>5.1608656820917531E-2</v>
      </c>
      <c r="I676">
        <f t="shared" si="81"/>
        <v>74.609614079979096</v>
      </c>
      <c r="J676">
        <f t="shared" si="76"/>
        <v>202.79621634906943</v>
      </c>
      <c r="K676" s="27">
        <f t="shared" si="77"/>
        <v>2122.5273545973787</v>
      </c>
    </row>
    <row r="677" spans="1:11">
      <c r="A677" s="26">
        <v>627</v>
      </c>
      <c r="B677" s="82">
        <f t="shared" si="78"/>
        <v>3.2921237647087764E-4</v>
      </c>
      <c r="C677" s="58">
        <f t="shared" si="82"/>
        <v>42.509011070134946</v>
      </c>
      <c r="D677" s="83">
        <f t="shared" si="79"/>
        <v>180.8546463535088</v>
      </c>
      <c r="E677">
        <f t="shared" si="75"/>
        <v>10.768049526863004</v>
      </c>
      <c r="G677">
        <v>627</v>
      </c>
      <c r="H677" s="13">
        <f t="shared" si="80"/>
        <v>5.1608656820917531E-2</v>
      </c>
      <c r="I677">
        <f t="shared" si="81"/>
        <v>74.661222736800013</v>
      </c>
      <c r="J677">
        <f t="shared" si="76"/>
        <v>202.80137343024444</v>
      </c>
      <c r="K677" s="27">
        <f t="shared" si="77"/>
        <v>2122.6346089790959</v>
      </c>
    </row>
    <row r="678" spans="1:11">
      <c r="A678" s="26">
        <v>628</v>
      </c>
      <c r="B678" s="82">
        <f t="shared" si="78"/>
        <v>3.2921237647087764E-4</v>
      </c>
      <c r="C678" s="58">
        <f t="shared" si="82"/>
        <v>42.509340282511417</v>
      </c>
      <c r="D678" s="83">
        <f t="shared" si="79"/>
        <v>180.85529145672302</v>
      </c>
      <c r="E678">
        <f t="shared" si="75"/>
        <v>10.768126343803907</v>
      </c>
      <c r="G678">
        <v>628</v>
      </c>
      <c r="H678" s="13">
        <f t="shared" si="80"/>
        <v>5.1608656820917531E-2</v>
      </c>
      <c r="I678">
        <f t="shared" si="81"/>
        <v>74.712831393620931</v>
      </c>
      <c r="J678">
        <f t="shared" si="76"/>
        <v>202.80646393675624</v>
      </c>
      <c r="K678" s="27">
        <f t="shared" si="77"/>
        <v>2122.7404726998416</v>
      </c>
    </row>
    <row r="679" spans="1:11">
      <c r="A679" s="26">
        <v>629</v>
      </c>
      <c r="B679" s="82">
        <f t="shared" si="78"/>
        <v>3.2921237647087764E-4</v>
      </c>
      <c r="C679" s="58">
        <f t="shared" si="82"/>
        <v>42.509669494887888</v>
      </c>
      <c r="D679" s="83">
        <f t="shared" si="79"/>
        <v>180.85593653151614</v>
      </c>
      <c r="E679">
        <f t="shared" si="75"/>
        <v>10.768203157634586</v>
      </c>
      <c r="G679">
        <v>629</v>
      </c>
      <c r="H679" s="13">
        <f t="shared" si="80"/>
        <v>5.1608656820917531E-2</v>
      </c>
      <c r="I679">
        <f t="shared" si="81"/>
        <v>74.764440050441848</v>
      </c>
      <c r="J679">
        <f t="shared" si="76"/>
        <v>202.8114878937634</v>
      </c>
      <c r="K679" s="27">
        <f t="shared" si="77"/>
        <v>2122.8449461784767</v>
      </c>
    </row>
    <row r="680" spans="1:11">
      <c r="A680" s="26">
        <v>630</v>
      </c>
      <c r="B680" s="82">
        <f t="shared" si="78"/>
        <v>3.2921237647087764E-4</v>
      </c>
      <c r="C680" s="58">
        <f t="shared" si="82"/>
        <v>42.509998707264359</v>
      </c>
      <c r="D680" s="83">
        <f t="shared" si="79"/>
        <v>180.85658157789106</v>
      </c>
      <c r="E680">
        <f t="shared" si="75"/>
        <v>10.768279968355364</v>
      </c>
      <c r="G680">
        <v>630</v>
      </c>
      <c r="H680" s="13">
        <f t="shared" si="80"/>
        <v>5.1608656820917531E-2</v>
      </c>
      <c r="I680">
        <f t="shared" si="81"/>
        <v>74.816048707262766</v>
      </c>
      <c r="J680">
        <f t="shared" si="76"/>
        <v>202.81644532608317</v>
      </c>
      <c r="K680" s="27">
        <f t="shared" si="77"/>
        <v>2122.9480298281437</v>
      </c>
    </row>
    <row r="681" spans="1:11">
      <c r="A681" s="26">
        <v>631</v>
      </c>
      <c r="B681" s="82">
        <f t="shared" si="78"/>
        <v>3.2921237647087764E-4</v>
      </c>
      <c r="C681" s="58">
        <f t="shared" si="82"/>
        <v>42.510327919640829</v>
      </c>
      <c r="D681" s="83">
        <f t="shared" si="79"/>
        <v>180.85722659585082</v>
      </c>
      <c r="E681">
        <f t="shared" si="75"/>
        <v>10.768356775966552</v>
      </c>
      <c r="G681">
        <v>631</v>
      </c>
      <c r="H681" s="13">
        <f t="shared" si="80"/>
        <v>5.1608656820917531E-2</v>
      </c>
      <c r="I681">
        <f t="shared" si="81"/>
        <v>74.867657364083684</v>
      </c>
      <c r="J681">
        <f t="shared" si="76"/>
        <v>202.82133625819213</v>
      </c>
      <c r="K681" s="27">
        <f t="shared" si="77"/>
        <v>2123.0497240562813</v>
      </c>
    </row>
    <row r="682" spans="1:11">
      <c r="A682" s="26">
        <v>632</v>
      </c>
      <c r="B682" s="82">
        <f t="shared" si="78"/>
        <v>3.2921237647087764E-4</v>
      </c>
      <c r="C682" s="58">
        <f t="shared" si="82"/>
        <v>42.5106571320173</v>
      </c>
      <c r="D682" s="83">
        <f t="shared" si="79"/>
        <v>180.85787158539836</v>
      </c>
      <c r="E682">
        <f t="shared" si="75"/>
        <v>10.768433580468473</v>
      </c>
      <c r="G682">
        <v>632</v>
      </c>
      <c r="H682" s="13">
        <f t="shared" si="80"/>
        <v>5.1608656820917531E-2</v>
      </c>
      <c r="I682">
        <f t="shared" si="81"/>
        <v>74.919266020904601</v>
      </c>
      <c r="J682">
        <f t="shared" si="76"/>
        <v>202.82616071422672</v>
      </c>
      <c r="K682" s="27">
        <f t="shared" si="77"/>
        <v>2123.1500292646306</v>
      </c>
    </row>
    <row r="683" spans="1:11">
      <c r="A683" s="26">
        <v>633</v>
      </c>
      <c r="B683" s="82">
        <f t="shared" si="78"/>
        <v>3.2921237647087764E-4</v>
      </c>
      <c r="C683" s="58">
        <f t="shared" si="82"/>
        <v>42.510986344393771</v>
      </c>
      <c r="D683" s="83">
        <f t="shared" si="79"/>
        <v>180.85851654653663</v>
      </c>
      <c r="E683">
        <f t="shared" si="75"/>
        <v>10.768510381861445</v>
      </c>
      <c r="G683">
        <v>633</v>
      </c>
      <c r="H683" s="13">
        <f t="shared" si="80"/>
        <v>5.1608656820917531E-2</v>
      </c>
      <c r="I683">
        <f t="shared" si="81"/>
        <v>74.970874677725519</v>
      </c>
      <c r="J683">
        <f t="shared" si="76"/>
        <v>202.83091871798388</v>
      </c>
      <c r="K683" s="27">
        <f t="shared" si="77"/>
        <v>2123.2489458492473</v>
      </c>
    </row>
    <row r="684" spans="1:11">
      <c r="A684" s="26">
        <v>634</v>
      </c>
      <c r="B684" s="82">
        <f t="shared" si="78"/>
        <v>3.2921237647087764E-4</v>
      </c>
      <c r="C684" s="58">
        <f t="shared" si="82"/>
        <v>42.511315556770242</v>
      </c>
      <c r="D684" s="83">
        <f t="shared" si="79"/>
        <v>180.85916147926866</v>
      </c>
      <c r="E684">
        <f t="shared" si="75"/>
        <v>10.768587180145786</v>
      </c>
      <c r="G684">
        <v>634</v>
      </c>
      <c r="H684" s="13">
        <f t="shared" si="80"/>
        <v>5.1608656820917531E-2</v>
      </c>
      <c r="I684">
        <f t="shared" si="81"/>
        <v>75.022483334546436</v>
      </c>
      <c r="J684">
        <f t="shared" si="76"/>
        <v>202.83561029292167</v>
      </c>
      <c r="K684" s="27">
        <f t="shared" si="77"/>
        <v>2123.3464742005121</v>
      </c>
    </row>
    <row r="685" spans="1:11">
      <c r="A685" s="26">
        <v>635</v>
      </c>
      <c r="B685" s="82">
        <f t="shared" si="78"/>
        <v>3.2921237647087764E-4</v>
      </c>
      <c r="C685" s="58">
        <f t="shared" si="82"/>
        <v>42.511644769146713</v>
      </c>
      <c r="D685" s="83">
        <f t="shared" si="79"/>
        <v>180.85980638359743</v>
      </c>
      <c r="E685">
        <f t="shared" si="75"/>
        <v>10.768663975321815</v>
      </c>
      <c r="G685">
        <v>635</v>
      </c>
      <c r="H685" s="13">
        <f t="shared" si="80"/>
        <v>5.1608656820917531E-2</v>
      </c>
      <c r="I685">
        <f t="shared" si="81"/>
        <v>75.074091991367354</v>
      </c>
      <c r="J685">
        <f t="shared" si="76"/>
        <v>202.84023546215985</v>
      </c>
      <c r="K685" s="27">
        <f t="shared" si="77"/>
        <v>2123.4426147031381</v>
      </c>
    </row>
    <row r="686" spans="1:11">
      <c r="A686" s="26">
        <v>636</v>
      </c>
      <c r="B686" s="82">
        <f t="shared" si="78"/>
        <v>3.2921237647087764E-4</v>
      </c>
      <c r="C686" s="58">
        <f t="shared" si="82"/>
        <v>42.511973981523184</v>
      </c>
      <c r="D686" s="83">
        <f t="shared" si="79"/>
        <v>180.86045125952589</v>
      </c>
      <c r="E686">
        <f t="shared" si="75"/>
        <v>10.768740767389851</v>
      </c>
      <c r="G686">
        <v>636</v>
      </c>
      <c r="H686" s="13">
        <f t="shared" si="80"/>
        <v>5.1608656820917531E-2</v>
      </c>
      <c r="I686">
        <f t="shared" si="81"/>
        <v>75.125700648188271</v>
      </c>
      <c r="J686">
        <f t="shared" si="76"/>
        <v>202.84479424848035</v>
      </c>
      <c r="K686" s="27">
        <f t="shared" si="77"/>
        <v>2123.5373677361827</v>
      </c>
    </row>
    <row r="687" spans="1:11">
      <c r="A687" s="26">
        <v>637</v>
      </c>
      <c r="B687" s="82">
        <f t="shared" si="78"/>
        <v>3.2921237647087764E-4</v>
      </c>
      <c r="C687" s="58">
        <f t="shared" si="82"/>
        <v>42.512303193899655</v>
      </c>
      <c r="D687" s="83">
        <f t="shared" si="79"/>
        <v>180.86109610705702</v>
      </c>
      <c r="E687">
        <f t="shared" si="75"/>
        <v>10.768817556350212</v>
      </c>
      <c r="G687">
        <v>637</v>
      </c>
      <c r="H687" s="13">
        <f t="shared" si="80"/>
        <v>5.1608656820917531E-2</v>
      </c>
      <c r="I687">
        <f t="shared" si="81"/>
        <v>75.177309305009189</v>
      </c>
      <c r="J687">
        <f t="shared" si="76"/>
        <v>202.84928667432803</v>
      </c>
      <c r="K687" s="27">
        <f t="shared" si="77"/>
        <v>2123.6307336730556</v>
      </c>
    </row>
    <row r="688" spans="1:11">
      <c r="A688" s="26">
        <v>638</v>
      </c>
      <c r="B688" s="82">
        <f t="shared" si="78"/>
        <v>3.2921237647087764E-4</v>
      </c>
      <c r="C688" s="58">
        <f t="shared" si="82"/>
        <v>42.512632406276126</v>
      </c>
      <c r="D688" s="83">
        <f t="shared" si="79"/>
        <v>180.86174092619382</v>
      </c>
      <c r="E688">
        <f t="shared" si="75"/>
        <v>10.768894342203213</v>
      </c>
      <c r="G688">
        <v>638</v>
      </c>
      <c r="H688" s="13">
        <f t="shared" si="80"/>
        <v>5.1608656820917531E-2</v>
      </c>
      <c r="I688">
        <f t="shared" si="81"/>
        <v>75.228917961830106</v>
      </c>
      <c r="J688">
        <f t="shared" si="76"/>
        <v>202.85371276181104</v>
      </c>
      <c r="K688" s="27">
        <f t="shared" si="77"/>
        <v>2123.722712881528</v>
      </c>
    </row>
    <row r="689" spans="1:11">
      <c r="A689" s="26">
        <v>639</v>
      </c>
      <c r="B689" s="82">
        <f t="shared" si="78"/>
        <v>3.2921237647087764E-4</v>
      </c>
      <c r="C689" s="58">
        <f t="shared" si="82"/>
        <v>42.512961618652596</v>
      </c>
      <c r="D689" s="83">
        <f t="shared" si="79"/>
        <v>180.86238571693923</v>
      </c>
      <c r="E689">
        <f t="shared" si="75"/>
        <v>10.768971124949175</v>
      </c>
      <c r="G689">
        <v>639</v>
      </c>
      <c r="H689" s="13">
        <f t="shared" si="80"/>
        <v>5.1608656820917531E-2</v>
      </c>
      <c r="I689">
        <f t="shared" si="81"/>
        <v>75.280526618651024</v>
      </c>
      <c r="J689">
        <f t="shared" si="76"/>
        <v>202.85807253270156</v>
      </c>
      <c r="K689" s="27">
        <f t="shared" si="77"/>
        <v>2123.8133057237437</v>
      </c>
    </row>
    <row r="690" spans="1:11">
      <c r="A690" s="26">
        <v>640</v>
      </c>
      <c r="B690" s="82">
        <f t="shared" si="78"/>
        <v>3.2921237647087764E-4</v>
      </c>
      <c r="C690" s="58">
        <f t="shared" si="82"/>
        <v>42.513290831029067</v>
      </c>
      <c r="D690" s="83">
        <f t="shared" si="79"/>
        <v>180.86303047929624</v>
      </c>
      <c r="E690">
        <f t="shared" si="75"/>
        <v>10.769047904588417</v>
      </c>
      <c r="G690">
        <v>640</v>
      </c>
      <c r="H690" s="13">
        <f t="shared" si="80"/>
        <v>5.1608656820917531E-2</v>
      </c>
      <c r="I690">
        <f t="shared" si="81"/>
        <v>75.332135275471941</v>
      </c>
      <c r="J690">
        <f t="shared" si="76"/>
        <v>202.86236600843614</v>
      </c>
      <c r="K690" s="27">
        <f t="shared" si="77"/>
        <v>2123.9025125562262</v>
      </c>
    </row>
    <row r="691" spans="1:11">
      <c r="A691" s="26">
        <v>641</v>
      </c>
      <c r="B691" s="82">
        <f t="shared" si="78"/>
        <v>3.2921237647087764E-4</v>
      </c>
      <c r="C691" s="58">
        <f t="shared" si="82"/>
        <v>42.513620043405538</v>
      </c>
      <c r="D691" s="83">
        <f t="shared" si="79"/>
        <v>180.86367521326784</v>
      </c>
      <c r="E691">
        <f t="shared" ref="E691:E754" si="83">((D691^2)+(D691*D692)+(D692^2))*B692/3</f>
        <v>10.769124681121255</v>
      </c>
      <c r="G691">
        <v>641</v>
      </c>
      <c r="H691" s="13">
        <f t="shared" si="80"/>
        <v>5.1608656820917531E-2</v>
      </c>
      <c r="I691">
        <f t="shared" si="81"/>
        <v>75.383743932292859</v>
      </c>
      <c r="J691">
        <f t="shared" ref="J691:J754" si="84">IF($G$28&lt;$C$14,0,((($C$11^2)-((I691-$C$13)^2))^0.5)+$C$16)</f>
        <v>202.86659321011641</v>
      </c>
      <c r="K691" s="27">
        <f t="shared" ref="K691:K754" si="85">((J691^2)+(J691*J692)+(J692^2))*H692/3</f>
        <v>2123.9903337298861</v>
      </c>
    </row>
    <row r="692" spans="1:11">
      <c r="A692" s="26">
        <v>642</v>
      </c>
      <c r="B692" s="82">
        <f t="shared" ref="B692:B755" si="86">C692-C691</f>
        <v>3.2921237647087764E-4</v>
      </c>
      <c r="C692" s="58">
        <f t="shared" si="82"/>
        <v>42.513949255782009</v>
      </c>
      <c r="D692" s="83">
        <f t="shared" ref="D692:D755" si="87">IF($G$28&lt;$C$14,0,((($C$11^2)-((C692-$C$13)^2))^0.5)+$C$16)</f>
        <v>180.86431991885695</v>
      </c>
      <c r="E692">
        <f t="shared" si="83"/>
        <v>10.769201454548005</v>
      </c>
      <c r="G692">
        <v>642</v>
      </c>
      <c r="H692" s="13">
        <f t="shared" ref="H692:H755" si="88">I692-I691</f>
        <v>5.1608656820917531E-2</v>
      </c>
      <c r="I692">
        <f t="shared" ref="I692:I755" si="89">($G$27-$C$14)/2000+I691</f>
        <v>75.435352589113776</v>
      </c>
      <c r="J692">
        <f t="shared" si="84"/>
        <v>202.87075415850947</v>
      </c>
      <c r="K692" s="27">
        <f t="shared" si="85"/>
        <v>2124.0767695900354</v>
      </c>
    </row>
    <row r="693" spans="1:11">
      <c r="A693" s="26">
        <v>643</v>
      </c>
      <c r="B693" s="82">
        <f t="shared" si="86"/>
        <v>3.2921237647087764E-4</v>
      </c>
      <c r="C693" s="58">
        <f t="shared" si="82"/>
        <v>42.51427846815848</v>
      </c>
      <c r="D693" s="83">
        <f t="shared" si="87"/>
        <v>180.86496459606661</v>
      </c>
      <c r="E693">
        <f t="shared" si="83"/>
        <v>10.769278224868991</v>
      </c>
      <c r="G693">
        <v>643</v>
      </c>
      <c r="H693" s="13">
        <f t="shared" si="88"/>
        <v>5.1608656820917531E-2</v>
      </c>
      <c r="I693">
        <f t="shared" si="89"/>
        <v>75.486961245934694</v>
      </c>
      <c r="J693">
        <f t="shared" si="84"/>
        <v>202.87484887404852</v>
      </c>
      <c r="K693" s="27">
        <f t="shared" si="85"/>
        <v>2124.1618204763895</v>
      </c>
    </row>
    <row r="694" spans="1:11">
      <c r="A694" s="26">
        <v>644</v>
      </c>
      <c r="B694" s="82">
        <f t="shared" si="86"/>
        <v>3.2921237647087764E-4</v>
      </c>
      <c r="C694" s="58">
        <f t="shared" si="82"/>
        <v>42.514607680534951</v>
      </c>
      <c r="D694" s="83">
        <f t="shared" si="87"/>
        <v>180.86560924489976</v>
      </c>
      <c r="E694">
        <f t="shared" si="83"/>
        <v>10.769354992084523</v>
      </c>
      <c r="G694">
        <v>644</v>
      </c>
      <c r="H694" s="13">
        <f t="shared" si="88"/>
        <v>5.1608656820917531E-2</v>
      </c>
      <c r="I694">
        <f t="shared" si="89"/>
        <v>75.538569902755611</v>
      </c>
      <c r="J694">
        <f t="shared" si="84"/>
        <v>202.87887737683326</v>
      </c>
      <c r="K694" s="27">
        <f t="shared" si="85"/>
        <v>2124.2454867230786</v>
      </c>
    </row>
    <row r="695" spans="1:11">
      <c r="A695" s="26">
        <v>645</v>
      </c>
      <c r="B695" s="82">
        <f t="shared" si="86"/>
        <v>3.2921237647087764E-4</v>
      </c>
      <c r="C695" s="58">
        <f t="shared" si="82"/>
        <v>42.514936892911422</v>
      </c>
      <c r="D695" s="83">
        <f t="shared" si="87"/>
        <v>180.86625386535937</v>
      </c>
      <c r="E695">
        <f t="shared" si="83"/>
        <v>10.769431756194924</v>
      </c>
      <c r="G695">
        <v>645</v>
      </c>
      <c r="H695" s="13">
        <f t="shared" si="88"/>
        <v>5.1608656820917531E-2</v>
      </c>
      <c r="I695">
        <f t="shared" si="89"/>
        <v>75.590178559576529</v>
      </c>
      <c r="J695">
        <f t="shared" si="84"/>
        <v>202.88283968663046</v>
      </c>
      <c r="K695" s="27">
        <f t="shared" si="85"/>
        <v>2124.3277686586571</v>
      </c>
    </row>
    <row r="696" spans="1:11">
      <c r="A696" s="26">
        <v>646</v>
      </c>
      <c r="B696" s="82">
        <f t="shared" si="86"/>
        <v>3.2921237647087764E-4</v>
      </c>
      <c r="C696" s="58">
        <f t="shared" si="82"/>
        <v>42.515266105287893</v>
      </c>
      <c r="D696" s="83">
        <f t="shared" si="87"/>
        <v>180.8668984574484</v>
      </c>
      <c r="E696">
        <f t="shared" si="83"/>
        <v>10.769508517200512</v>
      </c>
      <c r="G696">
        <v>646</v>
      </c>
      <c r="H696" s="13">
        <f t="shared" si="88"/>
        <v>5.1608656820917531E-2</v>
      </c>
      <c r="I696">
        <f t="shared" si="89"/>
        <v>75.641787216397447</v>
      </c>
      <c r="J696">
        <f t="shared" si="84"/>
        <v>202.88673582287444</v>
      </c>
      <c r="K696" s="27">
        <f t="shared" si="85"/>
        <v>2124.4086666061103</v>
      </c>
    </row>
    <row r="697" spans="1:11">
      <c r="A697" s="26">
        <v>647</v>
      </c>
      <c r="B697" s="82">
        <f t="shared" si="86"/>
        <v>3.2921237647087764E-4</v>
      </c>
      <c r="C697" s="58">
        <f t="shared" si="82"/>
        <v>42.515595317664364</v>
      </c>
      <c r="D697" s="83">
        <f t="shared" si="87"/>
        <v>180.86754302116987</v>
      </c>
      <c r="E697">
        <f t="shared" si="83"/>
        <v>10.769585275101603</v>
      </c>
      <c r="G697">
        <v>647</v>
      </c>
      <c r="H697" s="13">
        <f t="shared" si="88"/>
        <v>5.1608656820917531E-2</v>
      </c>
      <c r="I697">
        <f t="shared" si="89"/>
        <v>75.693395873218364</v>
      </c>
      <c r="J697">
        <f t="shared" si="84"/>
        <v>202.89056580466749</v>
      </c>
      <c r="K697" s="27">
        <f t="shared" si="85"/>
        <v>2124.4881808828613</v>
      </c>
    </row>
    <row r="698" spans="1:11">
      <c r="A698" s="26">
        <v>648</v>
      </c>
      <c r="B698" s="82">
        <f t="shared" si="86"/>
        <v>3.2921237647087764E-4</v>
      </c>
      <c r="C698" s="58">
        <f t="shared" si="82"/>
        <v>42.515924530040834</v>
      </c>
      <c r="D698" s="83">
        <f t="shared" si="87"/>
        <v>180.86818755652669</v>
      </c>
      <c r="E698">
        <f t="shared" si="83"/>
        <v>10.769662029898512</v>
      </c>
      <c r="G698">
        <v>648</v>
      </c>
      <c r="H698" s="13">
        <f t="shared" si="88"/>
        <v>5.1608656820917531E-2</v>
      </c>
      <c r="I698">
        <f t="shared" si="89"/>
        <v>75.745004530039282</v>
      </c>
      <c r="J698">
        <f t="shared" si="84"/>
        <v>202.89432965078043</v>
      </c>
      <c r="K698" s="27">
        <f t="shared" si="85"/>
        <v>2124.5663118007819</v>
      </c>
    </row>
    <row r="699" spans="1:11">
      <c r="A699" s="26">
        <v>649</v>
      </c>
      <c r="B699" s="82">
        <f t="shared" si="86"/>
        <v>3.2921237647087764E-4</v>
      </c>
      <c r="C699" s="58">
        <f t="shared" si="82"/>
        <v>42.516253742417305</v>
      </c>
      <c r="D699" s="83">
        <f t="shared" si="87"/>
        <v>180.86883206352186</v>
      </c>
      <c r="E699">
        <f t="shared" si="83"/>
        <v>10.769738781591563</v>
      </c>
      <c r="G699">
        <v>649</v>
      </c>
      <c r="H699" s="13">
        <f t="shared" si="88"/>
        <v>5.1608656820917531E-2</v>
      </c>
      <c r="I699">
        <f t="shared" si="89"/>
        <v>75.796613186860199</v>
      </c>
      <c r="J699">
        <f t="shared" si="84"/>
        <v>202.898027379653</v>
      </c>
      <c r="K699" s="27">
        <f t="shared" si="85"/>
        <v>2124.6430596661971</v>
      </c>
    </row>
    <row r="700" spans="1:11">
      <c r="A700" s="26">
        <v>650</v>
      </c>
      <c r="B700" s="82">
        <f t="shared" si="86"/>
        <v>3.2921237647087764E-4</v>
      </c>
      <c r="C700" s="58">
        <f t="shared" si="82"/>
        <v>42.516582954793776</v>
      </c>
      <c r="D700" s="83">
        <f t="shared" si="87"/>
        <v>180.86947654215837</v>
      </c>
      <c r="E700">
        <f t="shared" si="83"/>
        <v>10.769815530181068</v>
      </c>
      <c r="G700">
        <v>650</v>
      </c>
      <c r="H700" s="13">
        <f t="shared" si="88"/>
        <v>5.1608656820917531E-2</v>
      </c>
      <c r="I700">
        <f t="shared" si="89"/>
        <v>75.848221843681117</v>
      </c>
      <c r="J700">
        <f t="shared" si="84"/>
        <v>202.90165900939434</v>
      </c>
      <c r="K700" s="27">
        <f t="shared" si="85"/>
        <v>2124.7184247798946</v>
      </c>
    </row>
    <row r="701" spans="1:11">
      <c r="A701" s="26">
        <v>651</v>
      </c>
      <c r="B701" s="82">
        <f t="shared" si="86"/>
        <v>3.2921237647087764E-4</v>
      </c>
      <c r="C701" s="58">
        <f t="shared" si="82"/>
        <v>42.516912167170247</v>
      </c>
      <c r="D701" s="83">
        <f t="shared" si="87"/>
        <v>180.87012099243915</v>
      </c>
      <c r="E701">
        <f t="shared" si="83"/>
        <v>10.769892275667345</v>
      </c>
      <c r="G701">
        <v>651</v>
      </c>
      <c r="H701" s="13">
        <f t="shared" si="88"/>
        <v>5.1608656820917531E-2</v>
      </c>
      <c r="I701">
        <f t="shared" si="89"/>
        <v>75.899830500502034</v>
      </c>
      <c r="J701">
        <f t="shared" si="84"/>
        <v>202.9052245577835</v>
      </c>
      <c r="K701" s="27">
        <f t="shared" si="85"/>
        <v>2124.7924074371317</v>
      </c>
    </row>
    <row r="702" spans="1:11">
      <c r="A702" s="26">
        <v>652</v>
      </c>
      <c r="B702" s="82">
        <f t="shared" si="86"/>
        <v>3.2921237647087764E-4</v>
      </c>
      <c r="C702" s="58">
        <f t="shared" si="82"/>
        <v>42.517241379546718</v>
      </c>
      <c r="D702" s="83">
        <f t="shared" si="87"/>
        <v>180.87076541436716</v>
      </c>
      <c r="E702">
        <f t="shared" si="83"/>
        <v>10.769969018050714</v>
      </c>
      <c r="G702">
        <v>652</v>
      </c>
      <c r="H702" s="13">
        <f t="shared" si="88"/>
        <v>5.1608656820917531E-2</v>
      </c>
      <c r="I702">
        <f t="shared" si="89"/>
        <v>75.951439157322952</v>
      </c>
      <c r="J702">
        <f t="shared" si="84"/>
        <v>202.90872404226974</v>
      </c>
      <c r="K702" s="27">
        <f t="shared" si="85"/>
        <v>2124.8650079276426</v>
      </c>
    </row>
    <row r="703" spans="1:11">
      <c r="A703" s="26">
        <v>653</v>
      </c>
      <c r="B703" s="82">
        <f t="shared" si="86"/>
        <v>3.2921237647087764E-4</v>
      </c>
      <c r="C703" s="58">
        <f t="shared" si="82"/>
        <v>42.517570591923189</v>
      </c>
      <c r="D703" s="83">
        <f t="shared" si="87"/>
        <v>180.87140980794541</v>
      </c>
      <c r="E703">
        <f t="shared" si="83"/>
        <v>10.770045757331488</v>
      </c>
      <c r="G703">
        <v>653</v>
      </c>
      <c r="H703" s="13">
        <f t="shared" si="88"/>
        <v>5.1608656820917531E-2</v>
      </c>
      <c r="I703">
        <f t="shared" si="89"/>
        <v>76.003047814143869</v>
      </c>
      <c r="J703">
        <f t="shared" si="84"/>
        <v>202.9121574799731</v>
      </c>
      <c r="K703" s="27">
        <f t="shared" si="85"/>
        <v>2124.9362265356444</v>
      </c>
    </row>
    <row r="704" spans="1:11">
      <c r="A704" s="26">
        <v>654</v>
      </c>
      <c r="B704" s="82">
        <f t="shared" si="86"/>
        <v>3.2921237647087764E-4</v>
      </c>
      <c r="C704" s="58">
        <f t="shared" si="82"/>
        <v>42.51789980429966</v>
      </c>
      <c r="D704" s="83">
        <f t="shared" si="87"/>
        <v>180.87205417317685</v>
      </c>
      <c r="E704">
        <f t="shared" si="83"/>
        <v>10.770122493509989</v>
      </c>
      <c r="G704">
        <v>654</v>
      </c>
      <c r="H704" s="13">
        <f t="shared" si="88"/>
        <v>5.1608656820917531E-2</v>
      </c>
      <c r="I704">
        <f t="shared" si="89"/>
        <v>76.054656470964787</v>
      </c>
      <c r="J704">
        <f t="shared" si="84"/>
        <v>202.91552488768474</v>
      </c>
      <c r="K704" s="27">
        <f t="shared" si="85"/>
        <v>2125.0060635398468</v>
      </c>
    </row>
    <row r="705" spans="1:11">
      <c r="A705" s="26">
        <v>655</v>
      </c>
      <c r="B705" s="82">
        <f t="shared" si="86"/>
        <v>3.2921237647087764E-4</v>
      </c>
      <c r="C705" s="58">
        <f t="shared" si="82"/>
        <v>42.518229016676131</v>
      </c>
      <c r="D705" s="83">
        <f t="shared" si="87"/>
        <v>180.87269851006442</v>
      </c>
      <c r="E705">
        <f t="shared" si="83"/>
        <v>10.770199226586533</v>
      </c>
      <c r="G705">
        <v>655</v>
      </c>
      <c r="H705" s="13">
        <f t="shared" si="88"/>
        <v>5.1608656820917531E-2</v>
      </c>
      <c r="I705">
        <f t="shared" si="89"/>
        <v>76.106265127785704</v>
      </c>
      <c r="J705">
        <f t="shared" si="84"/>
        <v>202.91882628186733</v>
      </c>
      <c r="K705" s="27">
        <f t="shared" si="85"/>
        <v>2125.0745192134559</v>
      </c>
    </row>
    <row r="706" spans="1:11">
      <c r="A706" s="26">
        <v>656</v>
      </c>
      <c r="B706" s="82">
        <f t="shared" si="86"/>
        <v>3.2921237647087764E-4</v>
      </c>
      <c r="C706" s="58">
        <f t="shared" si="82"/>
        <v>42.518558229052601</v>
      </c>
      <c r="D706" s="83">
        <f t="shared" si="87"/>
        <v>180.87334281861115</v>
      </c>
      <c r="E706">
        <f t="shared" si="83"/>
        <v>10.770275956561433</v>
      </c>
      <c r="G706">
        <v>656</v>
      </c>
      <c r="H706" s="13">
        <f t="shared" si="88"/>
        <v>5.1608656820917531E-2</v>
      </c>
      <c r="I706">
        <f t="shared" si="89"/>
        <v>76.157873784606622</v>
      </c>
      <c r="J706">
        <f t="shared" si="84"/>
        <v>202.92206167865558</v>
      </c>
      <c r="K706" s="27">
        <f t="shared" si="85"/>
        <v>2125.1415938241839</v>
      </c>
    </row>
    <row r="707" spans="1:11">
      <c r="A707" s="26">
        <v>657</v>
      </c>
      <c r="B707" s="82">
        <f t="shared" si="86"/>
        <v>3.2921237647087764E-4</v>
      </c>
      <c r="C707" s="58">
        <f t="shared" si="82"/>
        <v>42.518887441429072</v>
      </c>
      <c r="D707" s="83">
        <f t="shared" si="87"/>
        <v>180.87398709881992</v>
      </c>
      <c r="E707">
        <f t="shared" si="83"/>
        <v>10.770352683435013</v>
      </c>
      <c r="G707">
        <v>657</v>
      </c>
      <c r="H707" s="13">
        <f t="shared" si="88"/>
        <v>5.1608656820917531E-2</v>
      </c>
      <c r="I707">
        <f t="shared" si="89"/>
        <v>76.209482441427539</v>
      </c>
      <c r="J707">
        <f t="shared" si="84"/>
        <v>202.9252310938565</v>
      </c>
      <c r="K707" s="27">
        <f t="shared" si="85"/>
        <v>2125.2072876342522</v>
      </c>
    </row>
    <row r="708" spans="1:11">
      <c r="A708" s="26">
        <v>658</v>
      </c>
      <c r="B708" s="82">
        <f t="shared" si="86"/>
        <v>3.2921237647087764E-4</v>
      </c>
      <c r="C708" s="58">
        <f t="shared" si="82"/>
        <v>42.519216653805543</v>
      </c>
      <c r="D708" s="83">
        <f t="shared" si="87"/>
        <v>180.87463135069379</v>
      </c>
      <c r="E708">
        <f t="shared" si="83"/>
        <v>10.770429407207581</v>
      </c>
      <c r="G708">
        <v>658</v>
      </c>
      <c r="H708" s="13">
        <f t="shared" si="88"/>
        <v>5.1608656820917531E-2</v>
      </c>
      <c r="I708">
        <f t="shared" si="89"/>
        <v>76.261091098248457</v>
      </c>
      <c r="J708">
        <f t="shared" si="84"/>
        <v>202.92833454294987</v>
      </c>
      <c r="K708" s="27">
        <f t="shared" si="85"/>
        <v>2125.2716009004012</v>
      </c>
    </row>
    <row r="709" spans="1:11">
      <c r="A709" s="26">
        <v>659</v>
      </c>
      <c r="B709" s="82">
        <f t="shared" si="86"/>
        <v>3.2921237647087764E-4</v>
      </c>
      <c r="C709" s="58">
        <f t="shared" si="82"/>
        <v>42.519545866182014</v>
      </c>
      <c r="D709" s="83">
        <f t="shared" si="87"/>
        <v>180.87527557423564</v>
      </c>
      <c r="E709">
        <f t="shared" si="83"/>
        <v>10.770506127879464</v>
      </c>
      <c r="G709">
        <v>659</v>
      </c>
      <c r="H709" s="13">
        <f t="shared" si="88"/>
        <v>5.1608656820917531E-2</v>
      </c>
      <c r="I709">
        <f t="shared" si="89"/>
        <v>76.312699755069374</v>
      </c>
      <c r="J709">
        <f t="shared" si="84"/>
        <v>202.93137204108854</v>
      </c>
      <c r="K709" s="27">
        <f t="shared" si="85"/>
        <v>2125.3345338738941</v>
      </c>
    </row>
    <row r="710" spans="1:11">
      <c r="A710" s="26">
        <v>660</v>
      </c>
      <c r="B710" s="82">
        <f t="shared" si="86"/>
        <v>3.2921237647087764E-4</v>
      </c>
      <c r="C710" s="58">
        <f t="shared" si="82"/>
        <v>42.519875078558485</v>
      </c>
      <c r="D710" s="83">
        <f t="shared" si="87"/>
        <v>180.87591976944844</v>
      </c>
      <c r="E710">
        <f t="shared" si="83"/>
        <v>10.770582845450969</v>
      </c>
      <c r="G710">
        <v>660</v>
      </c>
      <c r="H710" s="13">
        <f t="shared" si="88"/>
        <v>5.1608656820917531E-2</v>
      </c>
      <c r="I710">
        <f t="shared" si="89"/>
        <v>76.364308411890292</v>
      </c>
      <c r="J710">
        <f t="shared" si="84"/>
        <v>202.93434360309894</v>
      </c>
      <c r="K710" s="27">
        <f t="shared" si="85"/>
        <v>2125.3960868005256</v>
      </c>
    </row>
    <row r="711" spans="1:11">
      <c r="A711" s="26">
        <v>661</v>
      </c>
      <c r="B711" s="82">
        <f t="shared" si="86"/>
        <v>3.2921237647087764E-4</v>
      </c>
      <c r="C711" s="58">
        <f t="shared" si="82"/>
        <v>42.520204290934956</v>
      </c>
      <c r="D711" s="83">
        <f t="shared" si="87"/>
        <v>180.87656393633523</v>
      </c>
      <c r="E711">
        <f t="shared" si="83"/>
        <v>10.770659559922422</v>
      </c>
      <c r="G711">
        <v>661</v>
      </c>
      <c r="H711" s="13">
        <f t="shared" si="88"/>
        <v>5.1608656820917531E-2</v>
      </c>
      <c r="I711">
        <f t="shared" si="89"/>
        <v>76.415917068711209</v>
      </c>
      <c r="J711">
        <f t="shared" si="84"/>
        <v>202.93724924348129</v>
      </c>
      <c r="K711" s="27">
        <f t="shared" si="85"/>
        <v>2125.4562599206251</v>
      </c>
    </row>
    <row r="712" spans="1:11">
      <c r="A712" s="26">
        <v>662</v>
      </c>
      <c r="B712" s="82">
        <f t="shared" si="86"/>
        <v>3.2921237647087764E-4</v>
      </c>
      <c r="C712" s="58">
        <f t="shared" si="82"/>
        <v>42.520533503311427</v>
      </c>
      <c r="D712" s="83">
        <f t="shared" si="87"/>
        <v>180.8772080748989</v>
      </c>
      <c r="E712">
        <f t="shared" si="83"/>
        <v>10.770736271294135</v>
      </c>
      <c r="G712">
        <v>662</v>
      </c>
      <c r="H712" s="13">
        <f t="shared" si="88"/>
        <v>5.1608656820917531E-2</v>
      </c>
      <c r="I712">
        <f t="shared" si="89"/>
        <v>76.467525725532127</v>
      </c>
      <c r="J712">
        <f t="shared" si="84"/>
        <v>202.94008897641004</v>
      </c>
      <c r="K712" s="27">
        <f t="shared" si="85"/>
        <v>2125.5150534690633</v>
      </c>
    </row>
    <row r="713" spans="1:11">
      <c r="A713" s="26">
        <v>663</v>
      </c>
      <c r="B713" s="82">
        <f t="shared" si="86"/>
        <v>3.2921237647087764E-4</v>
      </c>
      <c r="C713" s="58">
        <f t="shared" si="82"/>
        <v>42.520862715687898</v>
      </c>
      <c r="D713" s="83">
        <f t="shared" si="87"/>
        <v>180.87785218514244</v>
      </c>
      <c r="E713">
        <f t="shared" si="83"/>
        <v>10.770812979566422</v>
      </c>
      <c r="G713">
        <v>663</v>
      </c>
      <c r="H713" s="13">
        <f t="shared" si="88"/>
        <v>5.1608656820917531E-2</v>
      </c>
      <c r="I713">
        <f t="shared" si="89"/>
        <v>76.519134382353045</v>
      </c>
      <c r="J713">
        <f t="shared" si="84"/>
        <v>202.9428628157342</v>
      </c>
      <c r="K713" s="27">
        <f t="shared" si="85"/>
        <v>2125.5724676752602</v>
      </c>
    </row>
    <row r="714" spans="1:11">
      <c r="A714" s="26">
        <v>664</v>
      </c>
      <c r="B714" s="82">
        <f t="shared" si="86"/>
        <v>3.2921237647087764E-4</v>
      </c>
      <c r="C714" s="58">
        <f t="shared" si="82"/>
        <v>42.521191928064368</v>
      </c>
      <c r="D714" s="83">
        <f t="shared" si="87"/>
        <v>180.87849626706878</v>
      </c>
      <c r="E714">
        <f t="shared" si="83"/>
        <v>10.770889684739608</v>
      </c>
      <c r="G714">
        <v>664</v>
      </c>
      <c r="H714" s="13">
        <f t="shared" si="88"/>
        <v>5.1608656820917531E-2</v>
      </c>
      <c r="I714">
        <f t="shared" si="89"/>
        <v>76.570743039173962</v>
      </c>
      <c r="J714">
        <f t="shared" si="84"/>
        <v>202.94557077497771</v>
      </c>
      <c r="K714" s="27">
        <f t="shared" si="85"/>
        <v>2125.6285027631889</v>
      </c>
    </row>
    <row r="715" spans="1:11">
      <c r="A715" s="26">
        <v>665</v>
      </c>
      <c r="B715" s="82">
        <f t="shared" si="86"/>
        <v>3.2921237647087764E-4</v>
      </c>
      <c r="C715" s="58">
        <f t="shared" si="82"/>
        <v>42.521521140440839</v>
      </c>
      <c r="D715" s="83">
        <f t="shared" si="87"/>
        <v>180.87914032068096</v>
      </c>
      <c r="E715">
        <f t="shared" si="83"/>
        <v>10.770966386814003</v>
      </c>
      <c r="G715">
        <v>665</v>
      </c>
      <c r="H715" s="13">
        <f t="shared" si="88"/>
        <v>5.1608656820917531E-2</v>
      </c>
      <c r="I715">
        <f t="shared" si="89"/>
        <v>76.62235169599488</v>
      </c>
      <c r="J715">
        <f t="shared" si="84"/>
        <v>202.94821286733969</v>
      </c>
      <c r="K715" s="27">
        <f t="shared" si="85"/>
        <v>2125.6831589513795</v>
      </c>
    </row>
    <row r="716" spans="1:11">
      <c r="A716" s="26">
        <v>666</v>
      </c>
      <c r="B716" s="82">
        <f t="shared" si="86"/>
        <v>3.2921237647087764E-4</v>
      </c>
      <c r="C716" s="58">
        <f t="shared" si="82"/>
        <v>42.52185035281731</v>
      </c>
      <c r="D716" s="83">
        <f t="shared" si="87"/>
        <v>180.87978434598185</v>
      </c>
      <c r="E716">
        <f t="shared" si="83"/>
        <v>10.77104308578992</v>
      </c>
      <c r="G716">
        <v>666</v>
      </c>
      <c r="H716" s="13">
        <f t="shared" si="88"/>
        <v>5.1608656820917531E-2</v>
      </c>
      <c r="I716">
        <f t="shared" si="89"/>
        <v>76.673960352815797</v>
      </c>
      <c r="J716">
        <f t="shared" si="84"/>
        <v>202.95078910569484</v>
      </c>
      <c r="K716" s="27">
        <f t="shared" si="85"/>
        <v>2125.736436452928</v>
      </c>
    </row>
    <row r="717" spans="1:11">
      <c r="A717" s="26">
        <v>667</v>
      </c>
      <c r="B717" s="82">
        <f t="shared" si="86"/>
        <v>3.2921237647087764E-4</v>
      </c>
      <c r="C717" s="58">
        <f t="shared" si="82"/>
        <v>42.522179565193781</v>
      </c>
      <c r="D717" s="83">
        <f t="shared" si="87"/>
        <v>180.88042834297445</v>
      </c>
      <c r="E717">
        <f t="shared" si="83"/>
        <v>10.771119781667684</v>
      </c>
      <c r="G717">
        <v>667</v>
      </c>
      <c r="H717" s="13">
        <f t="shared" si="88"/>
        <v>5.1608656820917531E-2</v>
      </c>
      <c r="I717">
        <f t="shared" si="89"/>
        <v>76.725569009636715</v>
      </c>
      <c r="J717">
        <f t="shared" si="84"/>
        <v>202.95329950259372</v>
      </c>
      <c r="K717" s="27">
        <f t="shared" si="85"/>
        <v>2125.7883354754999</v>
      </c>
    </row>
    <row r="718" spans="1:11">
      <c r="A718" s="26">
        <v>668</v>
      </c>
      <c r="B718" s="82">
        <f t="shared" si="86"/>
        <v>3.2921237647087764E-4</v>
      </c>
      <c r="C718" s="58">
        <f t="shared" si="82"/>
        <v>42.522508777570252</v>
      </c>
      <c r="D718" s="83">
        <f t="shared" si="87"/>
        <v>180.88107231166171</v>
      </c>
      <c r="E718">
        <f t="shared" si="83"/>
        <v>10.771196474447608</v>
      </c>
      <c r="G718">
        <v>668</v>
      </c>
      <c r="H718" s="13">
        <f t="shared" si="88"/>
        <v>5.1608656820917531E-2</v>
      </c>
      <c r="I718">
        <f t="shared" si="89"/>
        <v>76.777177666457632</v>
      </c>
      <c r="J718">
        <f t="shared" si="84"/>
        <v>202.95574407026311</v>
      </c>
      <c r="K718" s="27">
        <f t="shared" si="85"/>
        <v>2125.8388562213336</v>
      </c>
    </row>
    <row r="719" spans="1:11">
      <c r="A719" s="26">
        <v>669</v>
      </c>
      <c r="B719" s="82">
        <f t="shared" si="86"/>
        <v>3.2921237647087764E-4</v>
      </c>
      <c r="C719" s="58">
        <f t="shared" si="82"/>
        <v>42.522837989946723</v>
      </c>
      <c r="D719" s="83">
        <f t="shared" si="87"/>
        <v>180.88171625204663</v>
      </c>
      <c r="E719">
        <f t="shared" si="83"/>
        <v>10.771273164130008</v>
      </c>
      <c r="G719">
        <v>669</v>
      </c>
      <c r="H719" s="13">
        <f t="shared" si="88"/>
        <v>5.1608656820917531E-2</v>
      </c>
      <c r="I719">
        <f t="shared" si="89"/>
        <v>76.82878632327855</v>
      </c>
      <c r="J719">
        <f t="shared" si="84"/>
        <v>202.95812282060615</v>
      </c>
      <c r="K719" s="27">
        <f t="shared" si="85"/>
        <v>2125.8879988872472</v>
      </c>
    </row>
    <row r="720" spans="1:11">
      <c r="A720" s="26">
        <v>670</v>
      </c>
      <c r="B720" s="82">
        <f t="shared" si="86"/>
        <v>3.2921237647087764E-4</v>
      </c>
      <c r="C720" s="58">
        <f t="shared" ref="C720:C783" si="90">($C$37-$C$36)/2000+C719</f>
        <v>42.523167202323194</v>
      </c>
      <c r="D720" s="83">
        <f t="shared" si="87"/>
        <v>180.88236016413208</v>
      </c>
      <c r="E720">
        <f t="shared" si="83"/>
        <v>10.771349850715199</v>
      </c>
      <c r="G720">
        <v>670</v>
      </c>
      <c r="H720" s="13">
        <f t="shared" si="88"/>
        <v>5.1608656820917531E-2</v>
      </c>
      <c r="I720">
        <f t="shared" si="89"/>
        <v>76.880394980099467</v>
      </c>
      <c r="J720">
        <f t="shared" si="84"/>
        <v>202.9604357652029</v>
      </c>
      <c r="K720" s="27">
        <f t="shared" si="85"/>
        <v>2125.9357636646446</v>
      </c>
    </row>
    <row r="721" spans="1:11">
      <c r="A721" s="26">
        <v>671</v>
      </c>
      <c r="B721" s="82">
        <f t="shared" si="86"/>
        <v>3.2921237647087764E-4</v>
      </c>
      <c r="C721" s="58">
        <f t="shared" si="90"/>
        <v>42.523496414699665</v>
      </c>
      <c r="D721" s="83">
        <f t="shared" si="87"/>
        <v>180.8830040479211</v>
      </c>
      <c r="E721">
        <f t="shared" si="83"/>
        <v>10.771426534203501</v>
      </c>
      <c r="G721">
        <v>671</v>
      </c>
      <c r="H721" s="13">
        <f t="shared" si="88"/>
        <v>5.1608656820917531E-2</v>
      </c>
      <c r="I721">
        <f t="shared" si="89"/>
        <v>76.932003636920385</v>
      </c>
      <c r="J721">
        <f t="shared" si="84"/>
        <v>202.96268291531035</v>
      </c>
      <c r="K721" s="27">
        <f t="shared" si="85"/>
        <v>2125.9821507395159</v>
      </c>
    </row>
    <row r="722" spans="1:11">
      <c r="A722" s="26">
        <v>672</v>
      </c>
      <c r="B722" s="82">
        <f t="shared" si="86"/>
        <v>3.2921237647087764E-4</v>
      </c>
      <c r="C722" s="58">
        <f t="shared" si="90"/>
        <v>42.523825627076135</v>
      </c>
      <c r="D722" s="83">
        <f t="shared" si="87"/>
        <v>180.88364790341663</v>
      </c>
      <c r="E722">
        <f t="shared" si="83"/>
        <v>10.771503214595228</v>
      </c>
      <c r="G722">
        <v>672</v>
      </c>
      <c r="H722" s="13">
        <f t="shared" si="88"/>
        <v>5.1608656820917531E-2</v>
      </c>
      <c r="I722">
        <f t="shared" si="89"/>
        <v>76.983612293741302</v>
      </c>
      <c r="J722">
        <f t="shared" si="84"/>
        <v>202.96486428186282</v>
      </c>
      <c r="K722" s="27">
        <f t="shared" si="85"/>
        <v>2126.0271602924463</v>
      </c>
    </row>
    <row r="723" spans="1:11">
      <c r="A723" s="26">
        <v>673</v>
      </c>
      <c r="B723" s="82">
        <f t="shared" si="86"/>
        <v>3.2921237647087764E-4</v>
      </c>
      <c r="C723" s="58">
        <f t="shared" si="90"/>
        <v>42.524154839452606</v>
      </c>
      <c r="D723" s="83">
        <f t="shared" si="87"/>
        <v>180.88429173062161</v>
      </c>
      <c r="E723">
        <f t="shared" si="83"/>
        <v>10.771579891890694</v>
      </c>
      <c r="G723">
        <v>673</v>
      </c>
      <c r="H723" s="13">
        <f t="shared" si="88"/>
        <v>5.1608656820917531E-2</v>
      </c>
      <c r="I723">
        <f t="shared" si="89"/>
        <v>77.03522095056222</v>
      </c>
      <c r="J723">
        <f t="shared" si="84"/>
        <v>202.9669798754723</v>
      </c>
      <c r="K723" s="27">
        <f t="shared" si="85"/>
        <v>2126.0707924986186</v>
      </c>
    </row>
    <row r="724" spans="1:11">
      <c r="A724" s="26">
        <v>674</v>
      </c>
      <c r="B724" s="82">
        <f t="shared" si="86"/>
        <v>3.2921237647087764E-4</v>
      </c>
      <c r="C724" s="58">
        <f t="shared" si="90"/>
        <v>42.524484051829077</v>
      </c>
      <c r="D724" s="83">
        <f t="shared" si="87"/>
        <v>180.88493552953898</v>
      </c>
      <c r="E724">
        <f t="shared" si="83"/>
        <v>10.771656566090217</v>
      </c>
      <c r="G724">
        <v>674</v>
      </c>
      <c r="H724" s="13">
        <f t="shared" si="88"/>
        <v>5.1608656820917531E-2</v>
      </c>
      <c r="I724">
        <f t="shared" si="89"/>
        <v>77.086829607383137</v>
      </c>
      <c r="J724">
        <f t="shared" si="84"/>
        <v>202.9690297064285</v>
      </c>
      <c r="K724" s="27">
        <f t="shared" si="85"/>
        <v>2126.1130475278169</v>
      </c>
    </row>
    <row r="725" spans="1:11">
      <c r="A725" s="26">
        <v>675</v>
      </c>
      <c r="B725" s="82">
        <f t="shared" si="86"/>
        <v>3.2921237647087764E-4</v>
      </c>
      <c r="C725" s="58">
        <f t="shared" si="90"/>
        <v>42.524813264205548</v>
      </c>
      <c r="D725" s="83">
        <f t="shared" si="87"/>
        <v>180.88557930017174</v>
      </c>
      <c r="E725">
        <f t="shared" si="83"/>
        <v>10.771733237194114</v>
      </c>
      <c r="G725">
        <v>675</v>
      </c>
      <c r="H725" s="13">
        <f t="shared" si="88"/>
        <v>5.1608656820917531E-2</v>
      </c>
      <c r="I725">
        <f t="shared" si="89"/>
        <v>77.138438264204055</v>
      </c>
      <c r="J725">
        <f t="shared" si="84"/>
        <v>202.97101378469938</v>
      </c>
      <c r="K725" s="27">
        <f t="shared" si="85"/>
        <v>2126.1539255444318</v>
      </c>
    </row>
    <row r="726" spans="1:11">
      <c r="A726" s="26">
        <v>676</v>
      </c>
      <c r="B726" s="82">
        <f t="shared" si="86"/>
        <v>3.2921237647087764E-4</v>
      </c>
      <c r="C726" s="58">
        <f t="shared" si="90"/>
        <v>42.525142476582019</v>
      </c>
      <c r="D726" s="83">
        <f t="shared" si="87"/>
        <v>180.88622304252283</v>
      </c>
      <c r="E726">
        <f t="shared" si="83"/>
        <v>10.771809905202701</v>
      </c>
      <c r="G726">
        <v>676</v>
      </c>
      <c r="H726" s="13">
        <f t="shared" si="88"/>
        <v>5.1608656820917531E-2</v>
      </c>
      <c r="I726">
        <f t="shared" si="89"/>
        <v>77.190046921024972</v>
      </c>
      <c r="J726">
        <f t="shared" si="84"/>
        <v>202.9729321199311</v>
      </c>
      <c r="K726" s="27">
        <f t="shared" si="85"/>
        <v>2126.1934267074639</v>
      </c>
    </row>
    <row r="727" spans="1:11">
      <c r="A727" s="26">
        <v>677</v>
      </c>
      <c r="B727" s="82">
        <f t="shared" si="86"/>
        <v>3.2921237647087764E-4</v>
      </c>
      <c r="C727" s="58">
        <f t="shared" si="90"/>
        <v>42.52547168895849</v>
      </c>
      <c r="D727" s="83">
        <f t="shared" si="87"/>
        <v>180.88686675659517</v>
      </c>
      <c r="E727">
        <f t="shared" si="83"/>
        <v>10.771886570116292</v>
      </c>
      <c r="G727">
        <v>677</v>
      </c>
      <c r="H727" s="13">
        <f t="shared" si="88"/>
        <v>5.1608656820917531E-2</v>
      </c>
      <c r="I727">
        <f t="shared" si="89"/>
        <v>77.24165557784589</v>
      </c>
      <c r="J727">
        <f t="shared" si="84"/>
        <v>202.97478472144849</v>
      </c>
      <c r="K727" s="27">
        <f t="shared" si="85"/>
        <v>2126.2315511705287</v>
      </c>
    </row>
    <row r="728" spans="1:11">
      <c r="A728" s="26">
        <v>678</v>
      </c>
      <c r="B728" s="82">
        <f t="shared" si="86"/>
        <v>3.2921237647087764E-4</v>
      </c>
      <c r="C728" s="58">
        <f t="shared" si="90"/>
        <v>42.525800901334961</v>
      </c>
      <c r="D728" s="83">
        <f t="shared" si="87"/>
        <v>180.88751044239174</v>
      </c>
      <c r="E728">
        <f t="shared" si="83"/>
        <v>10.771963231935203</v>
      </c>
      <c r="G728">
        <v>678</v>
      </c>
      <c r="H728" s="13">
        <f t="shared" si="88"/>
        <v>5.1608656820917531E-2</v>
      </c>
      <c r="I728">
        <f t="shared" si="89"/>
        <v>77.293264234666808</v>
      </c>
      <c r="J728">
        <f t="shared" si="84"/>
        <v>202.97657159825513</v>
      </c>
      <c r="K728" s="27">
        <f t="shared" si="85"/>
        <v>2126.268299081858</v>
      </c>
    </row>
    <row r="729" spans="1:11">
      <c r="A729" s="26">
        <v>679</v>
      </c>
      <c r="B729" s="82">
        <f t="shared" si="86"/>
        <v>3.2921237647087764E-4</v>
      </c>
      <c r="C729" s="58">
        <f t="shared" si="90"/>
        <v>42.526130113711432</v>
      </c>
      <c r="D729" s="83">
        <f t="shared" si="87"/>
        <v>180.88815409991551</v>
      </c>
      <c r="E729">
        <f t="shared" si="83"/>
        <v>10.77203989065975</v>
      </c>
      <c r="G729">
        <v>679</v>
      </c>
      <c r="H729" s="13">
        <f t="shared" si="88"/>
        <v>5.1608656820917531E-2</v>
      </c>
      <c r="I729">
        <f t="shared" si="89"/>
        <v>77.344872891487725</v>
      </c>
      <c r="J729">
        <f t="shared" si="84"/>
        <v>202.97829275903365</v>
      </c>
      <c r="K729" s="27">
        <f t="shared" si="85"/>
        <v>2126.3036705843065</v>
      </c>
    </row>
    <row r="730" spans="1:11">
      <c r="A730" s="26">
        <v>680</v>
      </c>
      <c r="B730" s="82">
        <f t="shared" si="86"/>
        <v>3.2921237647087764E-4</v>
      </c>
      <c r="C730" s="58">
        <f t="shared" si="90"/>
        <v>42.526459326087902</v>
      </c>
      <c r="D730" s="83">
        <f t="shared" si="87"/>
        <v>180.8887977291694</v>
      </c>
      <c r="E730">
        <f t="shared" si="83"/>
        <v>10.772116546290251</v>
      </c>
      <c r="G730">
        <v>680</v>
      </c>
      <c r="H730" s="13">
        <f t="shared" si="88"/>
        <v>5.1608656820917531E-2</v>
      </c>
      <c r="I730">
        <f t="shared" si="89"/>
        <v>77.396481548308643</v>
      </c>
      <c r="J730">
        <f t="shared" si="84"/>
        <v>202.97994821214587</v>
      </c>
      <c r="K730" s="27">
        <f t="shared" si="85"/>
        <v>2126.3376658153525</v>
      </c>
    </row>
    <row r="731" spans="1:11">
      <c r="A731" s="26">
        <v>681</v>
      </c>
      <c r="B731" s="82">
        <f t="shared" si="86"/>
        <v>3.2921237647087764E-4</v>
      </c>
      <c r="C731" s="58">
        <f t="shared" si="90"/>
        <v>42.526788538464373</v>
      </c>
      <c r="D731" s="83">
        <f t="shared" si="87"/>
        <v>180.88944133015639</v>
      </c>
      <c r="E731">
        <f t="shared" si="83"/>
        <v>10.772193198827019</v>
      </c>
      <c r="G731">
        <v>681</v>
      </c>
      <c r="H731" s="13">
        <f t="shared" si="88"/>
        <v>5.1608656820917531E-2</v>
      </c>
      <c r="I731">
        <f t="shared" si="89"/>
        <v>77.44809020512956</v>
      </c>
      <c r="J731">
        <f t="shared" si="84"/>
        <v>202.98153796563312</v>
      </c>
      <c r="K731" s="27">
        <f t="shared" si="85"/>
        <v>2126.3702849071028</v>
      </c>
    </row>
    <row r="732" spans="1:11">
      <c r="A732" s="26">
        <v>682</v>
      </c>
      <c r="B732" s="82">
        <f t="shared" si="86"/>
        <v>3.2921237647087764E-4</v>
      </c>
      <c r="C732" s="58">
        <f t="shared" si="90"/>
        <v>42.527117750840844</v>
      </c>
      <c r="D732" s="83">
        <f t="shared" si="87"/>
        <v>180.89008490287941</v>
      </c>
      <c r="E732">
        <f t="shared" si="83"/>
        <v>10.772269848270369</v>
      </c>
      <c r="G732">
        <v>682</v>
      </c>
      <c r="H732" s="13">
        <f t="shared" si="88"/>
        <v>5.1608656820917531E-2</v>
      </c>
      <c r="I732">
        <f t="shared" si="89"/>
        <v>77.499698861950478</v>
      </c>
      <c r="J732">
        <f t="shared" si="84"/>
        <v>202.98306202721631</v>
      </c>
      <c r="K732" s="27">
        <f t="shared" si="85"/>
        <v>2126.4015279862965</v>
      </c>
    </row>
    <row r="733" spans="1:11">
      <c r="A733" s="26">
        <v>683</v>
      </c>
      <c r="B733" s="82">
        <f t="shared" si="86"/>
        <v>3.2921237647087764E-4</v>
      </c>
      <c r="C733" s="58">
        <f t="shared" si="90"/>
        <v>42.527446963217315</v>
      </c>
      <c r="D733" s="83">
        <f t="shared" si="87"/>
        <v>180.89072844734144</v>
      </c>
      <c r="E733">
        <f t="shared" si="83"/>
        <v>10.772346494620621</v>
      </c>
      <c r="G733">
        <v>683</v>
      </c>
      <c r="H733" s="13">
        <f t="shared" si="88"/>
        <v>5.1608656820917531E-2</v>
      </c>
      <c r="I733">
        <f t="shared" si="89"/>
        <v>77.551307518771395</v>
      </c>
      <c r="J733">
        <f t="shared" si="84"/>
        <v>202.98452040429618</v>
      </c>
      <c r="K733" s="27">
        <f t="shared" si="85"/>
        <v>2126.4313951743061</v>
      </c>
    </row>
    <row r="734" spans="1:11">
      <c r="A734" s="26">
        <v>684</v>
      </c>
      <c r="B734" s="82">
        <f t="shared" si="86"/>
        <v>3.2921237647087764E-4</v>
      </c>
      <c r="C734" s="58">
        <f t="shared" si="90"/>
        <v>42.527776175593786</v>
      </c>
      <c r="D734" s="83">
        <f t="shared" si="87"/>
        <v>180.8913719635454</v>
      </c>
      <c r="E734">
        <f t="shared" si="83"/>
        <v>10.772423137878084</v>
      </c>
      <c r="G734">
        <v>684</v>
      </c>
      <c r="H734" s="13">
        <f t="shared" si="88"/>
        <v>5.1608656820917531E-2</v>
      </c>
      <c r="I734">
        <f t="shared" si="89"/>
        <v>77.602916175592313</v>
      </c>
      <c r="J734">
        <f t="shared" si="84"/>
        <v>202.98591310395346</v>
      </c>
      <c r="K734" s="27">
        <f t="shared" si="85"/>
        <v>2126.4598865871417</v>
      </c>
    </row>
    <row r="735" spans="1:11">
      <c r="A735" s="26">
        <v>685</v>
      </c>
      <c r="B735" s="82">
        <f t="shared" si="86"/>
        <v>3.2921237647087764E-4</v>
      </c>
      <c r="C735" s="58">
        <f t="shared" si="90"/>
        <v>42.528105387970257</v>
      </c>
      <c r="D735" s="83">
        <f t="shared" si="87"/>
        <v>180.89201545149425</v>
      </c>
      <c r="E735">
        <f t="shared" si="83"/>
        <v>10.772499778043079</v>
      </c>
      <c r="G735">
        <v>685</v>
      </c>
      <c r="H735" s="13">
        <f t="shared" si="88"/>
        <v>5.1608656820917531E-2</v>
      </c>
      <c r="I735">
        <f t="shared" si="89"/>
        <v>77.65452483241323</v>
      </c>
      <c r="J735">
        <f t="shared" si="84"/>
        <v>202.98724013294907</v>
      </c>
      <c r="K735" s="27">
        <f t="shared" si="85"/>
        <v>2126.4870023354542</v>
      </c>
    </row>
    <row r="736" spans="1:11">
      <c r="A736" s="26">
        <v>686</v>
      </c>
      <c r="B736" s="82">
        <f t="shared" si="86"/>
        <v>3.2921237647087764E-4</v>
      </c>
      <c r="C736" s="58">
        <f t="shared" si="90"/>
        <v>42.528434600346728</v>
      </c>
      <c r="D736" s="83">
        <f t="shared" si="87"/>
        <v>180.89265891119095</v>
      </c>
      <c r="E736">
        <f t="shared" si="83"/>
        <v>10.772576415115919</v>
      </c>
      <c r="G736">
        <v>686</v>
      </c>
      <c r="H736" s="13">
        <f t="shared" si="88"/>
        <v>5.1608656820917531E-2</v>
      </c>
      <c r="I736">
        <f t="shared" si="89"/>
        <v>77.706133489234148</v>
      </c>
      <c r="J736">
        <f t="shared" si="84"/>
        <v>202.98850149772426</v>
      </c>
      <c r="K736" s="27">
        <f t="shared" si="85"/>
        <v>2126.5127425245373</v>
      </c>
    </row>
    <row r="737" spans="1:11">
      <c r="A737" s="26">
        <v>687</v>
      </c>
      <c r="B737" s="82">
        <f t="shared" si="86"/>
        <v>3.2921237647087764E-4</v>
      </c>
      <c r="C737" s="58">
        <f t="shared" si="90"/>
        <v>42.528763812723199</v>
      </c>
      <c r="D737" s="83">
        <f t="shared" si="87"/>
        <v>180.89330234263844</v>
      </c>
      <c r="E737">
        <f t="shared" si="83"/>
        <v>10.772653049096919</v>
      </c>
      <c r="G737">
        <v>687</v>
      </c>
      <c r="H737" s="13">
        <f t="shared" si="88"/>
        <v>5.1608656820917531E-2</v>
      </c>
      <c r="I737">
        <f t="shared" si="89"/>
        <v>77.757742146055065</v>
      </c>
      <c r="J737">
        <f t="shared" si="84"/>
        <v>202.98969720440078</v>
      </c>
      <c r="K737" s="27">
        <f t="shared" si="85"/>
        <v>2126.5371072543298</v>
      </c>
    </row>
    <row r="738" spans="1:11">
      <c r="A738" s="26">
        <v>688</v>
      </c>
      <c r="B738" s="82">
        <f t="shared" si="86"/>
        <v>3.2921237647087764E-4</v>
      </c>
      <c r="C738" s="58">
        <f t="shared" si="90"/>
        <v>42.529093025099669</v>
      </c>
      <c r="D738" s="83">
        <f t="shared" si="87"/>
        <v>180.89394574583966</v>
      </c>
      <c r="E738">
        <f t="shared" si="83"/>
        <v>10.772729679986393</v>
      </c>
      <c r="G738">
        <v>688</v>
      </c>
      <c r="H738" s="13">
        <f t="shared" si="88"/>
        <v>5.1608656820917531E-2</v>
      </c>
      <c r="I738">
        <f t="shared" si="89"/>
        <v>77.809350802875983</v>
      </c>
      <c r="J738">
        <f t="shared" si="84"/>
        <v>202.990827258781</v>
      </c>
      <c r="K738" s="27">
        <f t="shared" si="85"/>
        <v>2126.5600966194183</v>
      </c>
    </row>
    <row r="739" spans="1:11">
      <c r="A739" s="26">
        <v>689</v>
      </c>
      <c r="B739" s="82">
        <f t="shared" si="86"/>
        <v>3.2921237647087764E-4</v>
      </c>
      <c r="C739" s="58">
        <f t="shared" si="90"/>
        <v>42.52942223747614</v>
      </c>
      <c r="D739" s="83">
        <f t="shared" si="87"/>
        <v>180.89458912079755</v>
      </c>
      <c r="E739">
        <f t="shared" si="83"/>
        <v>10.772806307784657</v>
      </c>
      <c r="G739">
        <v>689</v>
      </c>
      <c r="H739" s="13">
        <f t="shared" si="88"/>
        <v>5.1608656820917531E-2</v>
      </c>
      <c r="I739">
        <f t="shared" si="89"/>
        <v>77.8609594596969</v>
      </c>
      <c r="J739">
        <f t="shared" si="84"/>
        <v>202.99189166634807</v>
      </c>
      <c r="K739" s="27">
        <f t="shared" si="85"/>
        <v>2126.5817107090402</v>
      </c>
    </row>
    <row r="740" spans="1:11">
      <c r="A740" s="26">
        <v>690</v>
      </c>
      <c r="B740" s="82">
        <f t="shared" si="86"/>
        <v>3.2921237647087764E-4</v>
      </c>
      <c r="C740" s="58">
        <f t="shared" si="90"/>
        <v>42.529751449852611</v>
      </c>
      <c r="D740" s="83">
        <f t="shared" si="87"/>
        <v>180.89523246751509</v>
      </c>
      <c r="E740">
        <f t="shared" si="83"/>
        <v>10.772882932492031</v>
      </c>
      <c r="G740">
        <v>690</v>
      </c>
      <c r="H740" s="13">
        <f t="shared" si="88"/>
        <v>5.1608656820917531E-2</v>
      </c>
      <c r="I740">
        <f t="shared" si="89"/>
        <v>77.912568116517818</v>
      </c>
      <c r="J740">
        <f t="shared" si="84"/>
        <v>202.99289043226608</v>
      </c>
      <c r="K740" s="27">
        <f t="shared" si="85"/>
        <v>2126.6019496070853</v>
      </c>
    </row>
    <row r="741" spans="1:11">
      <c r="A741" s="26">
        <v>691</v>
      </c>
      <c r="B741" s="82">
        <f t="shared" si="86"/>
        <v>3.2921237647087764E-4</v>
      </c>
      <c r="C741" s="58">
        <f t="shared" si="90"/>
        <v>42.530080662229082</v>
      </c>
      <c r="D741" s="83">
        <f t="shared" si="87"/>
        <v>180.89587578599523</v>
      </c>
      <c r="E741">
        <f t="shared" si="83"/>
        <v>10.772959554108828</v>
      </c>
      <c r="G741">
        <v>691</v>
      </c>
      <c r="H741" s="13">
        <f t="shared" si="88"/>
        <v>5.1608656820917531E-2</v>
      </c>
      <c r="I741">
        <f t="shared" si="89"/>
        <v>77.964176773338735</v>
      </c>
      <c r="J741">
        <f t="shared" si="84"/>
        <v>202.99382356138017</v>
      </c>
      <c r="K741" s="27">
        <f t="shared" si="85"/>
        <v>2126.6208133920982</v>
      </c>
    </row>
    <row r="742" spans="1:11">
      <c r="A742" s="26">
        <v>692</v>
      </c>
      <c r="B742" s="82">
        <f t="shared" si="86"/>
        <v>3.2921237647087764E-4</v>
      </c>
      <c r="C742" s="58">
        <f t="shared" si="90"/>
        <v>42.530409874605553</v>
      </c>
      <c r="D742" s="83">
        <f t="shared" si="87"/>
        <v>180.89651907624088</v>
      </c>
      <c r="E742">
        <f t="shared" si="83"/>
        <v>10.773036172635358</v>
      </c>
      <c r="G742">
        <v>692</v>
      </c>
      <c r="H742" s="13">
        <f t="shared" si="88"/>
        <v>5.1608656820917531E-2</v>
      </c>
      <c r="I742">
        <f t="shared" si="89"/>
        <v>78.015785430159653</v>
      </c>
      <c r="J742">
        <f t="shared" si="84"/>
        <v>202.9946910582166</v>
      </c>
      <c r="K742" s="27">
        <f t="shared" si="85"/>
        <v>2126.6383021372776</v>
      </c>
    </row>
    <row r="743" spans="1:11">
      <c r="A743" s="26">
        <v>693</v>
      </c>
      <c r="B743" s="82">
        <f t="shared" si="86"/>
        <v>3.2921237647087764E-4</v>
      </c>
      <c r="C743" s="58">
        <f t="shared" si="90"/>
        <v>42.530739086982024</v>
      </c>
      <c r="D743" s="83">
        <f t="shared" si="87"/>
        <v>180.89716233825501</v>
      </c>
      <c r="E743">
        <f t="shared" si="83"/>
        <v>10.77311278807194</v>
      </c>
      <c r="G743">
        <v>693</v>
      </c>
      <c r="H743" s="13">
        <f t="shared" si="88"/>
        <v>5.1608656820917531E-2</v>
      </c>
      <c r="I743">
        <f t="shared" si="89"/>
        <v>78.06739408698057</v>
      </c>
      <c r="J743">
        <f t="shared" si="84"/>
        <v>202.99549292698291</v>
      </c>
      <c r="K743" s="27">
        <f t="shared" si="85"/>
        <v>2126.6544159104833</v>
      </c>
    </row>
    <row r="744" spans="1:11">
      <c r="A744" s="26">
        <v>694</v>
      </c>
      <c r="B744" s="82">
        <f t="shared" si="86"/>
        <v>3.2921237647087764E-4</v>
      </c>
      <c r="C744" s="58">
        <f t="shared" si="90"/>
        <v>42.531068299358495</v>
      </c>
      <c r="D744" s="83">
        <f t="shared" si="87"/>
        <v>180.89780557204057</v>
      </c>
      <c r="E744">
        <f t="shared" si="83"/>
        <v>10.773189400418886</v>
      </c>
      <c r="G744">
        <v>694</v>
      </c>
      <c r="H744" s="13">
        <f t="shared" si="88"/>
        <v>5.1608656820917531E-2</v>
      </c>
      <c r="I744">
        <f t="shared" si="89"/>
        <v>78.119002743801488</v>
      </c>
      <c r="J744">
        <f t="shared" si="84"/>
        <v>202.99622917156802</v>
      </c>
      <c r="K744" s="27">
        <f t="shared" si="85"/>
        <v>2126.6691547742334</v>
      </c>
    </row>
    <row r="745" spans="1:11">
      <c r="A745" s="26">
        <v>695</v>
      </c>
      <c r="B745" s="82">
        <f t="shared" si="86"/>
        <v>3.2921237647087764E-4</v>
      </c>
      <c r="C745" s="58">
        <f t="shared" si="90"/>
        <v>42.531397511734966</v>
      </c>
      <c r="D745" s="83">
        <f t="shared" si="87"/>
        <v>180.89844877760046</v>
      </c>
      <c r="E745">
        <f t="shared" si="83"/>
        <v>10.773266009676513</v>
      </c>
      <c r="G745">
        <v>695</v>
      </c>
      <c r="H745" s="13">
        <f t="shared" si="88"/>
        <v>5.1608656820917531E-2</v>
      </c>
      <c r="I745">
        <f t="shared" si="89"/>
        <v>78.170611400622406</v>
      </c>
      <c r="J745">
        <f t="shared" si="84"/>
        <v>202.99689979554233</v>
      </c>
      <c r="K745" s="27">
        <f t="shared" si="85"/>
        <v>2126.6825187857066</v>
      </c>
    </row>
    <row r="746" spans="1:11">
      <c r="A746" s="26">
        <v>696</v>
      </c>
      <c r="B746" s="82">
        <f t="shared" si="86"/>
        <v>3.2921237647087764E-4</v>
      </c>
      <c r="C746" s="58">
        <f t="shared" si="90"/>
        <v>42.531726724111437</v>
      </c>
      <c r="D746" s="83">
        <f t="shared" si="87"/>
        <v>180.89909195493769</v>
      </c>
      <c r="E746">
        <f t="shared" si="83"/>
        <v>10.773342615845138</v>
      </c>
      <c r="G746">
        <v>696</v>
      </c>
      <c r="H746" s="13">
        <f t="shared" si="88"/>
        <v>5.1608656820917531E-2</v>
      </c>
      <c r="I746">
        <f t="shared" si="89"/>
        <v>78.222220057443323</v>
      </c>
      <c r="J746">
        <f t="shared" si="84"/>
        <v>202.99750480215772</v>
      </c>
      <c r="K746" s="27">
        <f t="shared" si="85"/>
        <v>2126.6945079967459</v>
      </c>
    </row>
    <row r="747" spans="1:11">
      <c r="A747" s="26">
        <v>697</v>
      </c>
      <c r="B747" s="82">
        <f t="shared" si="86"/>
        <v>3.2921237647087764E-4</v>
      </c>
      <c r="C747" s="58">
        <f t="shared" si="90"/>
        <v>42.532055936487907</v>
      </c>
      <c r="D747" s="83">
        <f t="shared" si="87"/>
        <v>180.89973510405514</v>
      </c>
      <c r="E747">
        <f t="shared" si="83"/>
        <v>10.773419218925072</v>
      </c>
      <c r="G747">
        <v>697</v>
      </c>
      <c r="H747" s="13">
        <f t="shared" si="88"/>
        <v>5.1608656820917531E-2</v>
      </c>
      <c r="I747">
        <f t="shared" si="89"/>
        <v>78.273828714264241</v>
      </c>
      <c r="J747">
        <f t="shared" si="84"/>
        <v>202.99804419434781</v>
      </c>
      <c r="K747" s="27">
        <f t="shared" si="85"/>
        <v>2126.7051224538568</v>
      </c>
    </row>
    <row r="748" spans="1:11">
      <c r="A748" s="26">
        <v>698</v>
      </c>
      <c r="B748" s="82">
        <f t="shared" si="86"/>
        <v>3.2921237647087764E-4</v>
      </c>
      <c r="C748" s="58">
        <f t="shared" si="90"/>
        <v>42.532385148864378</v>
      </c>
      <c r="D748" s="83">
        <f t="shared" si="87"/>
        <v>180.90037822495583</v>
      </c>
      <c r="E748">
        <f t="shared" si="83"/>
        <v>10.773495818916631</v>
      </c>
      <c r="G748">
        <v>698</v>
      </c>
      <c r="H748" s="13">
        <f t="shared" si="88"/>
        <v>5.1608656820917531E-2</v>
      </c>
      <c r="I748">
        <f t="shared" si="89"/>
        <v>78.325437371085158</v>
      </c>
      <c r="J748">
        <f t="shared" si="84"/>
        <v>202.99851797472783</v>
      </c>
      <c r="K748" s="27">
        <f t="shared" si="85"/>
        <v>2126.71436219821</v>
      </c>
    </row>
    <row r="749" spans="1:11">
      <c r="A749" s="26">
        <v>699</v>
      </c>
      <c r="B749" s="82">
        <f t="shared" si="86"/>
        <v>3.2921237647087764E-4</v>
      </c>
      <c r="C749" s="58">
        <f t="shared" si="90"/>
        <v>42.532714361240849</v>
      </c>
      <c r="D749" s="83">
        <f t="shared" si="87"/>
        <v>180.90102131764263</v>
      </c>
      <c r="E749">
        <f t="shared" si="83"/>
        <v>10.773572415820132</v>
      </c>
      <c r="G749">
        <v>699</v>
      </c>
      <c r="H749" s="13">
        <f t="shared" si="88"/>
        <v>5.1608656820917531E-2</v>
      </c>
      <c r="I749">
        <f t="shared" si="89"/>
        <v>78.377046027906076</v>
      </c>
      <c r="J749">
        <f t="shared" si="84"/>
        <v>202.99892614559479</v>
      </c>
      <c r="K749" s="27">
        <f t="shared" si="85"/>
        <v>2126.7222272656441</v>
      </c>
    </row>
    <row r="750" spans="1:11">
      <c r="A750" s="26">
        <v>700</v>
      </c>
      <c r="B750" s="82">
        <f t="shared" si="86"/>
        <v>3.2921237647087764E-4</v>
      </c>
      <c r="C750" s="58">
        <f t="shared" si="90"/>
        <v>42.53304357361732</v>
      </c>
      <c r="D750" s="83">
        <f t="shared" si="87"/>
        <v>180.9016643821185</v>
      </c>
      <c r="E750">
        <f t="shared" si="83"/>
        <v>10.773649009635882</v>
      </c>
      <c r="G750">
        <v>700</v>
      </c>
      <c r="H750" s="13">
        <f t="shared" si="88"/>
        <v>5.1608656820917531E-2</v>
      </c>
      <c r="I750">
        <f t="shared" si="89"/>
        <v>78.428654684726993</v>
      </c>
      <c r="J750">
        <f t="shared" si="84"/>
        <v>202.99926870892759</v>
      </c>
      <c r="K750" s="27">
        <f t="shared" si="85"/>
        <v>2126.7287176866616</v>
      </c>
    </row>
    <row r="751" spans="1:11">
      <c r="A751" s="26">
        <v>701</v>
      </c>
      <c r="B751" s="82">
        <f t="shared" si="86"/>
        <v>3.2921237647087764E-4</v>
      </c>
      <c r="C751" s="58">
        <f t="shared" si="90"/>
        <v>42.533372785993791</v>
      </c>
      <c r="D751" s="83">
        <f t="shared" si="87"/>
        <v>180.90230741838639</v>
      </c>
      <c r="E751">
        <f t="shared" si="83"/>
        <v>10.773725600364203</v>
      </c>
      <c r="G751">
        <v>701</v>
      </c>
      <c r="H751" s="13">
        <f t="shared" si="88"/>
        <v>5.1608656820917531E-2</v>
      </c>
      <c r="I751">
        <f t="shared" si="89"/>
        <v>78.480263341547911</v>
      </c>
      <c r="J751">
        <f t="shared" si="84"/>
        <v>202.99954566638689</v>
      </c>
      <c r="K751" s="27">
        <f t="shared" si="85"/>
        <v>2126.7338334864353</v>
      </c>
    </row>
    <row r="752" spans="1:11">
      <c r="A752" s="26">
        <v>702</v>
      </c>
      <c r="B752" s="82">
        <f t="shared" si="86"/>
        <v>3.2921237647087764E-4</v>
      </c>
      <c r="C752" s="58">
        <f t="shared" si="90"/>
        <v>42.533701998370262</v>
      </c>
      <c r="D752" s="83">
        <f t="shared" si="87"/>
        <v>180.90295042644925</v>
      </c>
      <c r="E752">
        <f t="shared" si="83"/>
        <v>10.77380218800541</v>
      </c>
      <c r="G752">
        <v>702</v>
      </c>
      <c r="H752" s="13">
        <f t="shared" si="88"/>
        <v>5.1608656820917531E-2</v>
      </c>
      <c r="I752">
        <f t="shared" si="89"/>
        <v>78.531871998368828</v>
      </c>
      <c r="J752">
        <f t="shared" si="84"/>
        <v>202.99975701931533</v>
      </c>
      <c r="K752" s="27">
        <f t="shared" si="85"/>
        <v>2126.7375746848043</v>
      </c>
    </row>
    <row r="753" spans="1:11">
      <c r="A753" s="26">
        <v>703</v>
      </c>
      <c r="B753" s="82">
        <f t="shared" si="86"/>
        <v>3.2921237647087764E-4</v>
      </c>
      <c r="C753" s="58">
        <f t="shared" si="90"/>
        <v>42.534031210746733</v>
      </c>
      <c r="D753" s="83">
        <f t="shared" si="87"/>
        <v>180.90359340631002</v>
      </c>
      <c r="E753">
        <f t="shared" si="83"/>
        <v>10.773878772559812</v>
      </c>
      <c r="G753">
        <v>703</v>
      </c>
      <c r="H753" s="13">
        <f t="shared" si="88"/>
        <v>5.1608656820917531E-2</v>
      </c>
      <c r="I753">
        <f t="shared" si="89"/>
        <v>78.583480655189746</v>
      </c>
      <c r="J753">
        <f t="shared" si="84"/>
        <v>202.99990276873746</v>
      </c>
      <c r="K753" s="27">
        <f t="shared" si="85"/>
        <v>2126.7399412962777</v>
      </c>
    </row>
    <row r="754" spans="1:11">
      <c r="A754" s="26">
        <v>704</v>
      </c>
      <c r="B754" s="82">
        <f t="shared" si="86"/>
        <v>3.2921237647087764E-4</v>
      </c>
      <c r="C754" s="58">
        <f t="shared" si="90"/>
        <v>42.534360423123204</v>
      </c>
      <c r="D754" s="83">
        <f t="shared" si="87"/>
        <v>180.90423635797163</v>
      </c>
      <c r="E754">
        <f t="shared" si="83"/>
        <v>10.773955354027727</v>
      </c>
      <c r="G754">
        <v>704</v>
      </c>
      <c r="H754" s="13">
        <f t="shared" si="88"/>
        <v>5.1608656820917531E-2</v>
      </c>
      <c r="I754">
        <f t="shared" si="89"/>
        <v>78.635089312010663</v>
      </c>
      <c r="J754">
        <f t="shared" si="84"/>
        <v>202.99998291535982</v>
      </c>
      <c r="K754" s="27">
        <f t="shared" si="85"/>
        <v>2126.7409333300334</v>
      </c>
    </row>
    <row r="755" spans="1:11">
      <c r="A755" s="26">
        <v>705</v>
      </c>
      <c r="B755" s="82">
        <f t="shared" si="86"/>
        <v>3.2921237647087764E-4</v>
      </c>
      <c r="C755" s="58">
        <f t="shared" si="90"/>
        <v>42.534689635499674</v>
      </c>
      <c r="D755" s="83">
        <f t="shared" si="87"/>
        <v>180.90487928143699</v>
      </c>
      <c r="E755">
        <f t="shared" ref="E755:E818" si="91">((D755^2)+(D755*D756)+(D756^2))*B756/3</f>
        <v>10.774031932409464</v>
      </c>
      <c r="G755">
        <v>705</v>
      </c>
      <c r="H755" s="13">
        <f t="shared" si="88"/>
        <v>5.1608656820917531E-2</v>
      </c>
      <c r="I755">
        <f t="shared" si="89"/>
        <v>78.686697968831581</v>
      </c>
      <c r="J755">
        <f t="shared" ref="J755:J818" si="92">IF($G$28&lt;$C$14,0,((($C$11^2)-((I755-$C$13)^2))^0.5)+$C$16)</f>
        <v>202.99999745957092</v>
      </c>
      <c r="K755" s="27">
        <f t="shared" ref="K755:K818" si="93">((J755^2)+(J755*J756)+(J756^2))*H756/3</f>
        <v>2126.740550789918</v>
      </c>
    </row>
    <row r="756" spans="1:11">
      <c r="A756" s="26">
        <v>706</v>
      </c>
      <c r="B756" s="82">
        <f t="shared" ref="B756:B819" si="94">C756-C755</f>
        <v>3.2921237647087764E-4</v>
      </c>
      <c r="C756" s="58">
        <f t="shared" si="90"/>
        <v>42.535018847876145</v>
      </c>
      <c r="D756" s="83">
        <f t="shared" ref="D756:D819" si="95">IF($G$28&lt;$C$14,0,((($C$11^2)-((C756-$C$13)^2))^0.5)+$C$16)</f>
        <v>180.9055221767091</v>
      </c>
      <c r="E756">
        <f t="shared" si="91"/>
        <v>10.774108507705348</v>
      </c>
      <c r="G756">
        <v>706</v>
      </c>
      <c r="H756" s="13">
        <f t="shared" ref="H756:H819" si="96">I756-I755</f>
        <v>5.1608656820917531E-2</v>
      </c>
      <c r="I756">
        <f t="shared" ref="I756:I819" si="97">($G$27-$C$14)/2000+I755</f>
        <v>78.738306625652498</v>
      </c>
      <c r="J756">
        <f t="shared" si="92"/>
        <v>202.99994640144126</v>
      </c>
      <c r="K756" s="27">
        <f t="shared" si="93"/>
        <v>2126.7387936744485</v>
      </c>
    </row>
    <row r="757" spans="1:11">
      <c r="A757" s="26">
        <v>707</v>
      </c>
      <c r="B757" s="82">
        <f t="shared" si="94"/>
        <v>3.2921237647087764E-4</v>
      </c>
      <c r="C757" s="58">
        <f t="shared" si="90"/>
        <v>42.535348060252616</v>
      </c>
      <c r="D757" s="83">
        <f t="shared" si="95"/>
        <v>180.90616504379088</v>
      </c>
      <c r="E757">
        <f t="shared" si="91"/>
        <v>10.774185079915684</v>
      </c>
      <c r="G757">
        <v>707</v>
      </c>
      <c r="H757" s="13">
        <f t="shared" si="96"/>
        <v>5.1608656820917531E-2</v>
      </c>
      <c r="I757">
        <f t="shared" si="97"/>
        <v>78.789915282473416</v>
      </c>
      <c r="J757">
        <f t="shared" si="92"/>
        <v>202.99982974072336</v>
      </c>
      <c r="K757" s="27">
        <f t="shared" si="93"/>
        <v>2126.7356619768111</v>
      </c>
    </row>
    <row r="758" spans="1:11">
      <c r="A758" s="26">
        <v>708</v>
      </c>
      <c r="B758" s="82">
        <f t="shared" si="94"/>
        <v>3.2921237647087764E-4</v>
      </c>
      <c r="C758" s="58">
        <f t="shared" si="90"/>
        <v>42.535677272629087</v>
      </c>
      <c r="D758" s="83">
        <f t="shared" si="95"/>
        <v>180.90680788268523</v>
      </c>
      <c r="E758">
        <f t="shared" si="91"/>
        <v>10.774261649040788</v>
      </c>
      <c r="G758">
        <v>708</v>
      </c>
      <c r="H758" s="13">
        <f t="shared" si="96"/>
        <v>5.1608656820917531E-2</v>
      </c>
      <c r="I758">
        <f t="shared" si="97"/>
        <v>78.841523939294333</v>
      </c>
      <c r="J758">
        <f t="shared" si="92"/>
        <v>202.99964747685166</v>
      </c>
      <c r="K758" s="27">
        <f t="shared" si="93"/>
        <v>2126.7311556848595</v>
      </c>
    </row>
    <row r="759" spans="1:11">
      <c r="A759" s="26">
        <v>709</v>
      </c>
      <c r="B759" s="82">
        <f t="shared" si="94"/>
        <v>3.2921237647087764E-4</v>
      </c>
      <c r="C759" s="58">
        <f t="shared" si="90"/>
        <v>42.536006485005558</v>
      </c>
      <c r="D759" s="83">
        <f t="shared" si="95"/>
        <v>180.90745069339513</v>
      </c>
      <c r="E759">
        <f t="shared" si="91"/>
        <v>10.774338215080975</v>
      </c>
      <c r="G759">
        <v>709</v>
      </c>
      <c r="H759" s="13">
        <f t="shared" si="96"/>
        <v>5.1608656820917531E-2</v>
      </c>
      <c r="I759">
        <f t="shared" si="97"/>
        <v>78.893132596115251</v>
      </c>
      <c r="J759">
        <f t="shared" si="92"/>
        <v>202.99939960894267</v>
      </c>
      <c r="K759" s="27">
        <f t="shared" si="93"/>
        <v>2126.7252747811199</v>
      </c>
    </row>
    <row r="760" spans="1:11">
      <c r="A760" s="26">
        <v>710</v>
      </c>
      <c r="B760" s="82">
        <f t="shared" si="94"/>
        <v>3.2921237647087764E-4</v>
      </c>
      <c r="C760" s="58">
        <f t="shared" si="90"/>
        <v>42.536335697382029</v>
      </c>
      <c r="D760" s="83">
        <f t="shared" si="95"/>
        <v>180.90809347592349</v>
      </c>
      <c r="E760">
        <f t="shared" si="91"/>
        <v>10.774414778036558</v>
      </c>
      <c r="G760">
        <v>710</v>
      </c>
      <c r="H760" s="13">
        <f t="shared" si="96"/>
        <v>5.1608656820917531E-2</v>
      </c>
      <c r="I760">
        <f t="shared" si="97"/>
        <v>78.944741252936169</v>
      </c>
      <c r="J760">
        <f t="shared" si="92"/>
        <v>202.99908613579476</v>
      </c>
      <c r="K760" s="27">
        <f t="shared" si="93"/>
        <v>2126.7180192427822</v>
      </c>
    </row>
    <row r="761" spans="1:11">
      <c r="A761" s="26">
        <v>711</v>
      </c>
      <c r="B761" s="82">
        <f t="shared" si="94"/>
        <v>3.2921237647087764E-4</v>
      </c>
      <c r="C761" s="58">
        <f t="shared" si="90"/>
        <v>42.5366649097585</v>
      </c>
      <c r="D761" s="83">
        <f t="shared" si="95"/>
        <v>180.90873623027326</v>
      </c>
      <c r="E761">
        <f t="shared" si="91"/>
        <v>10.774491337907852</v>
      </c>
      <c r="G761">
        <v>711</v>
      </c>
      <c r="H761" s="13">
        <f t="shared" si="96"/>
        <v>5.1608656820917531E-2</v>
      </c>
      <c r="I761">
        <f t="shared" si="97"/>
        <v>78.996349909757086</v>
      </c>
      <c r="J761">
        <f t="shared" si="92"/>
        <v>202.99870705588825</v>
      </c>
      <c r="K761" s="27">
        <f t="shared" si="93"/>
        <v>2126.7093890417091</v>
      </c>
    </row>
    <row r="762" spans="1:11">
      <c r="A762" s="26">
        <v>712</v>
      </c>
      <c r="B762" s="82">
        <f t="shared" si="94"/>
        <v>3.2921237647087764E-4</v>
      </c>
      <c r="C762" s="58">
        <f t="shared" si="90"/>
        <v>42.536994122134971</v>
      </c>
      <c r="D762" s="83">
        <f t="shared" si="95"/>
        <v>180.90937895644737</v>
      </c>
      <c r="E762">
        <f t="shared" si="91"/>
        <v>10.774567894695169</v>
      </c>
      <c r="G762">
        <v>712</v>
      </c>
      <c r="H762" s="13">
        <f t="shared" si="96"/>
        <v>5.1608656820917531E-2</v>
      </c>
      <c r="I762">
        <f t="shared" si="97"/>
        <v>79.047958566578004</v>
      </c>
      <c r="J762">
        <f t="shared" si="92"/>
        <v>202.99826236738542</v>
      </c>
      <c r="K762" s="27">
        <f t="shared" si="93"/>
        <v>2126.6993841444269</v>
      </c>
    </row>
    <row r="763" spans="1:11">
      <c r="A763" s="26">
        <v>713</v>
      </c>
      <c r="B763" s="82">
        <f t="shared" si="94"/>
        <v>3.2921237647087764E-4</v>
      </c>
      <c r="C763" s="58">
        <f t="shared" si="90"/>
        <v>42.537323334511441</v>
      </c>
      <c r="D763" s="83">
        <f t="shared" si="95"/>
        <v>180.91002165444874</v>
      </c>
      <c r="E763">
        <f t="shared" si="91"/>
        <v>10.774644448398826</v>
      </c>
      <c r="G763">
        <v>713</v>
      </c>
      <c r="H763" s="13">
        <f t="shared" si="96"/>
        <v>5.1608656820917531E-2</v>
      </c>
      <c r="I763">
        <f t="shared" si="97"/>
        <v>79.099567223398921</v>
      </c>
      <c r="J763">
        <f t="shared" si="92"/>
        <v>202.9977520681303</v>
      </c>
      <c r="K763" s="27">
        <f t="shared" si="93"/>
        <v>2126.6880045121306</v>
      </c>
    </row>
    <row r="764" spans="1:11">
      <c r="A764" s="26">
        <v>714</v>
      </c>
      <c r="B764" s="82">
        <f t="shared" si="94"/>
        <v>3.2921237647087764E-4</v>
      </c>
      <c r="C764" s="58">
        <f t="shared" si="90"/>
        <v>42.537652546887912</v>
      </c>
      <c r="D764" s="83">
        <f t="shared" si="95"/>
        <v>180.91066432428033</v>
      </c>
      <c r="E764">
        <f t="shared" si="91"/>
        <v>10.774720999019136</v>
      </c>
      <c r="G764">
        <v>714</v>
      </c>
      <c r="H764" s="13">
        <f t="shared" si="96"/>
        <v>5.1608656820917531E-2</v>
      </c>
      <c r="I764">
        <f t="shared" si="97"/>
        <v>79.151175880219839</v>
      </c>
      <c r="J764">
        <f t="shared" si="92"/>
        <v>202.99717615564873</v>
      </c>
      <c r="K764" s="27">
        <f t="shared" si="93"/>
        <v>2126.675250100679</v>
      </c>
    </row>
    <row r="765" spans="1:11">
      <c r="A765" s="26">
        <v>715</v>
      </c>
      <c r="B765" s="82">
        <f t="shared" si="94"/>
        <v>3.2921237647087764E-4</v>
      </c>
      <c r="C765" s="58">
        <f t="shared" si="90"/>
        <v>42.537981759264383</v>
      </c>
      <c r="D765" s="83">
        <f t="shared" si="95"/>
        <v>180.91130696594507</v>
      </c>
      <c r="E765">
        <f t="shared" si="91"/>
        <v>10.774797546556409</v>
      </c>
      <c r="G765">
        <v>715</v>
      </c>
      <c r="H765" s="13">
        <f t="shared" si="96"/>
        <v>5.1608656820917531E-2</v>
      </c>
      <c r="I765">
        <f t="shared" si="97"/>
        <v>79.202784537040756</v>
      </c>
      <c r="J765">
        <f t="shared" si="92"/>
        <v>202.99653462714832</v>
      </c>
      <c r="K765" s="27">
        <f t="shared" si="93"/>
        <v>2126.6611208605977</v>
      </c>
    </row>
    <row r="766" spans="1:11">
      <c r="A766" s="26">
        <v>716</v>
      </c>
      <c r="B766" s="82">
        <f t="shared" si="94"/>
        <v>3.2921237647087764E-4</v>
      </c>
      <c r="C766" s="58">
        <f t="shared" si="90"/>
        <v>42.538310971640854</v>
      </c>
      <c r="D766" s="83">
        <f t="shared" si="95"/>
        <v>180.91194957944592</v>
      </c>
      <c r="E766">
        <f t="shared" si="91"/>
        <v>10.774874091010965</v>
      </c>
      <c r="G766">
        <v>716</v>
      </c>
      <c r="H766" s="13">
        <f t="shared" si="96"/>
        <v>5.1608656820917531E-2</v>
      </c>
      <c r="I766">
        <f t="shared" si="97"/>
        <v>79.254393193861674</v>
      </c>
      <c r="J766">
        <f t="shared" si="92"/>
        <v>202.99582747951834</v>
      </c>
      <c r="K766" s="27">
        <f t="shared" si="93"/>
        <v>2126.645616737072</v>
      </c>
    </row>
    <row r="767" spans="1:11">
      <c r="A767" s="26">
        <v>717</v>
      </c>
      <c r="B767" s="82">
        <f t="shared" si="94"/>
        <v>3.2921237647087764E-4</v>
      </c>
      <c r="C767" s="58">
        <f t="shared" si="90"/>
        <v>42.538640184017325</v>
      </c>
      <c r="D767" s="83">
        <f t="shared" si="95"/>
        <v>180.91259216478574</v>
      </c>
      <c r="E767">
        <f t="shared" si="91"/>
        <v>10.77495063238311</v>
      </c>
      <c r="G767">
        <v>717</v>
      </c>
      <c r="H767" s="13">
        <f t="shared" si="96"/>
        <v>5.1608656820917531E-2</v>
      </c>
      <c r="I767">
        <f t="shared" si="97"/>
        <v>79.306001850682591</v>
      </c>
      <c r="J767">
        <f t="shared" si="92"/>
        <v>202.99505470932957</v>
      </c>
      <c r="K767" s="27">
        <f t="shared" si="93"/>
        <v>2126.6287376699524</v>
      </c>
    </row>
    <row r="768" spans="1:11">
      <c r="A768" s="26">
        <v>718</v>
      </c>
      <c r="B768" s="82">
        <f t="shared" si="94"/>
        <v>3.2921237647087764E-4</v>
      </c>
      <c r="C768" s="58">
        <f t="shared" si="90"/>
        <v>42.538969396393796</v>
      </c>
      <c r="D768" s="83">
        <f t="shared" si="95"/>
        <v>180.91323472196751</v>
      </c>
      <c r="E768">
        <f t="shared" si="91"/>
        <v>10.775027170673164</v>
      </c>
      <c r="G768">
        <v>718</v>
      </c>
      <c r="H768" s="13">
        <f t="shared" si="96"/>
        <v>5.1608656820917531E-2</v>
      </c>
      <c r="I768">
        <f t="shared" si="97"/>
        <v>79.357610507503509</v>
      </c>
      <c r="J768">
        <f t="shared" si="92"/>
        <v>202.99421631283434</v>
      </c>
      <c r="K768" s="27">
        <f t="shared" si="93"/>
        <v>2126.6104835937476</v>
      </c>
    </row>
    <row r="769" spans="1:11">
      <c r="A769" s="26">
        <v>719</v>
      </c>
      <c r="B769" s="82">
        <f t="shared" si="94"/>
        <v>3.2921237647087764E-4</v>
      </c>
      <c r="C769" s="58">
        <f t="shared" si="90"/>
        <v>42.539298608770267</v>
      </c>
      <c r="D769" s="83">
        <f t="shared" si="95"/>
        <v>180.91387725099418</v>
      </c>
      <c r="E769">
        <f t="shared" si="91"/>
        <v>10.775103705881437</v>
      </c>
      <c r="G769">
        <v>719</v>
      </c>
      <c r="H769" s="13">
        <f t="shared" si="96"/>
        <v>5.1608656820917531E-2</v>
      </c>
      <c r="I769">
        <f t="shared" si="97"/>
        <v>79.409219164324426</v>
      </c>
      <c r="J769">
        <f t="shared" si="92"/>
        <v>202.99331228596645</v>
      </c>
      <c r="K769" s="27">
        <f t="shared" si="93"/>
        <v>2126.5908544376266</v>
      </c>
    </row>
    <row r="770" spans="1:11">
      <c r="A770" s="26">
        <v>720</v>
      </c>
      <c r="B770" s="82">
        <f t="shared" si="94"/>
        <v>3.2921237647087764E-4</v>
      </c>
      <c r="C770" s="58">
        <f t="shared" si="90"/>
        <v>42.539627821146738</v>
      </c>
      <c r="D770" s="83">
        <f t="shared" si="95"/>
        <v>180.91451975186862</v>
      </c>
      <c r="E770">
        <f t="shared" si="91"/>
        <v>10.775180238008245</v>
      </c>
      <c r="G770">
        <v>720</v>
      </c>
      <c r="H770" s="13">
        <f t="shared" si="96"/>
        <v>5.1608656820917531E-2</v>
      </c>
      <c r="I770">
        <f t="shared" si="97"/>
        <v>79.460827821145344</v>
      </c>
      <c r="J770">
        <f t="shared" si="92"/>
        <v>202.99234262434092</v>
      </c>
      <c r="K770" s="27">
        <f t="shared" si="93"/>
        <v>2126.5698501254151</v>
      </c>
    </row>
    <row r="771" spans="1:11">
      <c r="A771" s="26">
        <v>721</v>
      </c>
      <c r="B771" s="82">
        <f t="shared" si="94"/>
        <v>3.2921237647087764E-4</v>
      </c>
      <c r="C771" s="58">
        <f t="shared" si="90"/>
        <v>42.539957033523208</v>
      </c>
      <c r="D771" s="83">
        <f t="shared" si="95"/>
        <v>180.91516222459381</v>
      </c>
      <c r="E771">
        <f t="shared" si="91"/>
        <v>10.775256767053895</v>
      </c>
      <c r="G771">
        <v>721</v>
      </c>
      <c r="H771" s="13">
        <f t="shared" si="96"/>
        <v>5.1608656820917531E-2</v>
      </c>
      <c r="I771">
        <f t="shared" si="97"/>
        <v>79.512436477966261</v>
      </c>
      <c r="J771">
        <f t="shared" si="92"/>
        <v>202.99130732325403</v>
      </c>
      <c r="K771" s="27">
        <f t="shared" si="93"/>
        <v>2126.5474705755942</v>
      </c>
    </row>
    <row r="772" spans="1:11">
      <c r="A772" s="26">
        <v>722</v>
      </c>
      <c r="B772" s="82">
        <f t="shared" si="94"/>
        <v>3.2921237647087764E-4</v>
      </c>
      <c r="C772" s="58">
        <f t="shared" si="90"/>
        <v>42.540286245899679</v>
      </c>
      <c r="D772" s="83">
        <f t="shared" si="95"/>
        <v>180.91580466917267</v>
      </c>
      <c r="E772">
        <f t="shared" si="91"/>
        <v>10.77533329301871</v>
      </c>
      <c r="G772">
        <v>722</v>
      </c>
      <c r="H772" s="13">
        <f t="shared" si="96"/>
        <v>5.1608656820917531E-2</v>
      </c>
      <c r="I772">
        <f t="shared" si="97"/>
        <v>79.564045134787179</v>
      </c>
      <c r="J772">
        <f t="shared" si="92"/>
        <v>202.99020637768319</v>
      </c>
      <c r="K772" s="27">
        <f t="shared" si="93"/>
        <v>2126.5237157012984</v>
      </c>
    </row>
    <row r="773" spans="1:11">
      <c r="A773" s="26">
        <v>723</v>
      </c>
      <c r="B773" s="82">
        <f t="shared" si="94"/>
        <v>3.2921237647087764E-4</v>
      </c>
      <c r="C773" s="58">
        <f t="shared" si="90"/>
        <v>42.54061545827615</v>
      </c>
      <c r="D773" s="83">
        <f t="shared" si="95"/>
        <v>180.91644708560813</v>
      </c>
      <c r="E773">
        <f t="shared" si="91"/>
        <v>10.775409815902991</v>
      </c>
      <c r="G773">
        <v>723</v>
      </c>
      <c r="H773" s="13">
        <f t="shared" si="96"/>
        <v>5.1608656820917531E-2</v>
      </c>
      <c r="I773">
        <f t="shared" si="97"/>
        <v>79.615653791608096</v>
      </c>
      <c r="J773">
        <f t="shared" si="92"/>
        <v>202.98903978228668</v>
      </c>
      <c r="K773" s="27">
        <f t="shared" si="93"/>
        <v>2126.498585410312</v>
      </c>
    </row>
    <row r="774" spans="1:11">
      <c r="A774" s="26">
        <v>724</v>
      </c>
      <c r="B774" s="82">
        <f t="shared" si="94"/>
        <v>3.2921237647087764E-4</v>
      </c>
      <c r="C774" s="58">
        <f t="shared" si="90"/>
        <v>42.540944670652621</v>
      </c>
      <c r="D774" s="83">
        <f t="shared" si="95"/>
        <v>180.9170894739031</v>
      </c>
      <c r="E774">
        <f t="shared" si="91"/>
        <v>10.775486335707065</v>
      </c>
      <c r="G774">
        <v>724</v>
      </c>
      <c r="H774" s="13">
        <f t="shared" si="96"/>
        <v>5.1608656820917531E-2</v>
      </c>
      <c r="I774">
        <f t="shared" si="97"/>
        <v>79.667262448429014</v>
      </c>
      <c r="J774">
        <f t="shared" si="92"/>
        <v>202.98780753140369</v>
      </c>
      <c r="K774" s="27">
        <f t="shared" si="93"/>
        <v>2126.4720796050701</v>
      </c>
    </row>
    <row r="775" spans="1:11">
      <c r="A775" s="26">
        <v>725</v>
      </c>
      <c r="B775" s="82">
        <f t="shared" si="94"/>
        <v>3.2921237647087764E-4</v>
      </c>
      <c r="C775" s="58">
        <f t="shared" si="90"/>
        <v>42.541273883029092</v>
      </c>
      <c r="D775" s="83">
        <f t="shared" si="95"/>
        <v>180.91773183406056</v>
      </c>
      <c r="E775">
        <f t="shared" si="91"/>
        <v>10.775562852431241</v>
      </c>
      <c r="G775">
        <v>725</v>
      </c>
      <c r="H775" s="13">
        <f t="shared" si="96"/>
        <v>5.1608656820917531E-2</v>
      </c>
      <c r="I775">
        <f t="shared" si="97"/>
        <v>79.718871105249931</v>
      </c>
      <c r="J775">
        <f t="shared" si="92"/>
        <v>202.98650961905412</v>
      </c>
      <c r="K775" s="27">
        <f t="shared" si="93"/>
        <v>2126.4441981826535</v>
      </c>
    </row>
    <row r="776" spans="1:11">
      <c r="A776" s="26">
        <v>726</v>
      </c>
      <c r="B776" s="82">
        <f t="shared" si="94"/>
        <v>3.2921237647087764E-4</v>
      </c>
      <c r="C776" s="58">
        <f t="shared" si="90"/>
        <v>42.541603095405563</v>
      </c>
      <c r="D776" s="83">
        <f t="shared" si="95"/>
        <v>180.9183741660834</v>
      </c>
      <c r="E776">
        <f t="shared" si="91"/>
        <v>10.775639366075822</v>
      </c>
      <c r="G776">
        <v>726</v>
      </c>
      <c r="H776" s="13">
        <f t="shared" si="96"/>
        <v>5.1608656820917531E-2</v>
      </c>
      <c r="I776">
        <f t="shared" si="97"/>
        <v>79.770479762070849</v>
      </c>
      <c r="J776">
        <f t="shared" si="92"/>
        <v>202.98514603893838</v>
      </c>
      <c r="K776" s="27">
        <f t="shared" si="93"/>
        <v>2126.4149410347877</v>
      </c>
    </row>
    <row r="777" spans="1:11">
      <c r="A777" s="26">
        <v>727</v>
      </c>
      <c r="B777" s="82">
        <f t="shared" si="94"/>
        <v>3.2921237647087764E-4</v>
      </c>
      <c r="C777" s="58">
        <f t="shared" si="90"/>
        <v>42.541932307782034</v>
      </c>
      <c r="D777" s="83">
        <f t="shared" si="95"/>
        <v>180.91901646997451</v>
      </c>
      <c r="E777">
        <f t="shared" si="91"/>
        <v>10.775715876641135</v>
      </c>
      <c r="G777">
        <v>727</v>
      </c>
      <c r="H777" s="13">
        <f t="shared" si="96"/>
        <v>5.1608656820917531E-2</v>
      </c>
      <c r="I777">
        <f t="shared" si="97"/>
        <v>79.822088418891767</v>
      </c>
      <c r="J777">
        <f t="shared" si="92"/>
        <v>202.98371678443735</v>
      </c>
      <c r="K777" s="27">
        <f t="shared" si="93"/>
        <v>2126.3843080478387</v>
      </c>
    </row>
    <row r="778" spans="1:11">
      <c r="A778" s="26">
        <v>728</v>
      </c>
      <c r="B778" s="82">
        <f t="shared" si="94"/>
        <v>3.2921237647087764E-4</v>
      </c>
      <c r="C778" s="58">
        <f t="shared" si="90"/>
        <v>42.542261520158505</v>
      </c>
      <c r="D778" s="83">
        <f t="shared" si="95"/>
        <v>180.91965874573691</v>
      </c>
      <c r="E778">
        <f t="shared" si="91"/>
        <v>10.775792384127485</v>
      </c>
      <c r="G778">
        <v>728</v>
      </c>
      <c r="H778" s="13">
        <f t="shared" si="96"/>
        <v>5.1608656820917531E-2</v>
      </c>
      <c r="I778">
        <f t="shared" si="97"/>
        <v>79.873697075712684</v>
      </c>
      <c r="J778">
        <f t="shared" si="92"/>
        <v>202.98222184861211</v>
      </c>
      <c r="K778" s="27">
        <f t="shared" si="93"/>
        <v>2126.3522991028126</v>
      </c>
    </row>
    <row r="779" spans="1:11">
      <c r="A779" s="26">
        <v>729</v>
      </c>
      <c r="B779" s="82">
        <f t="shared" si="94"/>
        <v>3.2921237647087764E-4</v>
      </c>
      <c r="C779" s="58">
        <f t="shared" si="90"/>
        <v>42.542590732534975</v>
      </c>
      <c r="D779" s="83">
        <f t="shared" si="95"/>
        <v>180.92030099337344</v>
      </c>
      <c r="E779">
        <f t="shared" si="91"/>
        <v>10.775868888535184</v>
      </c>
      <c r="G779">
        <v>729</v>
      </c>
      <c r="H779" s="13">
        <f t="shared" si="96"/>
        <v>5.1608656820917531E-2</v>
      </c>
      <c r="I779">
        <f t="shared" si="97"/>
        <v>79.925305732533602</v>
      </c>
      <c r="J779">
        <f t="shared" si="92"/>
        <v>202.98066122420386</v>
      </c>
      <c r="K779" s="27">
        <f t="shared" si="93"/>
        <v>2126.3189140753498</v>
      </c>
    </row>
    <row r="780" spans="1:11">
      <c r="A780" s="26">
        <v>730</v>
      </c>
      <c r="B780" s="82">
        <f t="shared" si="94"/>
        <v>3.2921237647087764E-4</v>
      </c>
      <c r="C780" s="58">
        <f t="shared" si="90"/>
        <v>42.542919944911446</v>
      </c>
      <c r="D780" s="83">
        <f t="shared" si="95"/>
        <v>180.92094321288707</v>
      </c>
      <c r="E780">
        <f t="shared" si="91"/>
        <v>10.775945389864546</v>
      </c>
      <c r="G780">
        <v>730</v>
      </c>
      <c r="H780" s="13">
        <f t="shared" si="96"/>
        <v>5.1608656820917531E-2</v>
      </c>
      <c r="I780">
        <f t="shared" si="97"/>
        <v>79.976914389354519</v>
      </c>
      <c r="J780">
        <f t="shared" si="92"/>
        <v>202.97903490363362</v>
      </c>
      <c r="K780" s="27">
        <f t="shared" si="93"/>
        <v>2126.2841528357235</v>
      </c>
    </row>
    <row r="781" spans="1:11">
      <c r="A781" s="26">
        <v>731</v>
      </c>
      <c r="B781" s="82">
        <f t="shared" si="94"/>
        <v>3.2921237647087764E-4</v>
      </c>
      <c r="C781" s="58">
        <f t="shared" si="90"/>
        <v>42.543249157287917</v>
      </c>
      <c r="D781" s="83">
        <f t="shared" si="95"/>
        <v>180.92158540428071</v>
      </c>
      <c r="E781">
        <f t="shared" si="91"/>
        <v>10.776021888115887</v>
      </c>
      <c r="G781">
        <v>731</v>
      </c>
      <c r="H781" s="13">
        <f t="shared" si="96"/>
        <v>5.1608656820917531E-2</v>
      </c>
      <c r="I781">
        <f t="shared" si="97"/>
        <v>80.028523046175437</v>
      </c>
      <c r="J781">
        <f t="shared" si="92"/>
        <v>202.97734287900221</v>
      </c>
      <c r="K781" s="27">
        <f t="shared" si="93"/>
        <v>2126.2480152488383</v>
      </c>
    </row>
    <row r="782" spans="1:11">
      <c r="A782" s="26">
        <v>732</v>
      </c>
      <c r="B782" s="82">
        <f t="shared" si="94"/>
        <v>3.2921237647087764E-4</v>
      </c>
      <c r="C782" s="58">
        <f t="shared" si="90"/>
        <v>42.543578369664388</v>
      </c>
      <c r="D782" s="83">
        <f t="shared" si="95"/>
        <v>180.92222756755729</v>
      </c>
      <c r="E782">
        <f t="shared" si="91"/>
        <v>10.77609838328952</v>
      </c>
      <c r="G782">
        <v>732</v>
      </c>
      <c r="H782" s="13">
        <f t="shared" si="96"/>
        <v>5.1608656820917531E-2</v>
      </c>
      <c r="I782">
        <f t="shared" si="97"/>
        <v>80.080131702996354</v>
      </c>
      <c r="J782">
        <f t="shared" si="92"/>
        <v>202.97558514208993</v>
      </c>
      <c r="K782" s="27">
        <f t="shared" si="93"/>
        <v>2126.2105011742242</v>
      </c>
    </row>
    <row r="783" spans="1:11">
      <c r="A783" s="26">
        <v>733</v>
      </c>
      <c r="B783" s="82">
        <f t="shared" si="94"/>
        <v>3.2921237647087764E-4</v>
      </c>
      <c r="C783" s="58">
        <f t="shared" si="90"/>
        <v>42.543907582040859</v>
      </c>
      <c r="D783" s="83">
        <f t="shared" si="95"/>
        <v>180.92286970271974</v>
      </c>
      <c r="E783">
        <f t="shared" si="91"/>
        <v>10.776174875385751</v>
      </c>
      <c r="G783">
        <v>733</v>
      </c>
      <c r="H783" s="13">
        <f t="shared" si="96"/>
        <v>5.1608656820917531E-2</v>
      </c>
      <c r="I783">
        <f t="shared" si="97"/>
        <v>80.131740359817272</v>
      </c>
      <c r="J783">
        <f t="shared" si="92"/>
        <v>202.97376168435642</v>
      </c>
      <c r="K783" s="27">
        <f t="shared" si="93"/>
        <v>2126.1716104660331</v>
      </c>
    </row>
    <row r="784" spans="1:11">
      <c r="A784" s="26">
        <v>734</v>
      </c>
      <c r="B784" s="82">
        <f t="shared" si="94"/>
        <v>3.2921237647087764E-4</v>
      </c>
      <c r="C784" s="58">
        <f t="shared" ref="C784:C847" si="98">($C$37-$C$36)/2000+C783</f>
        <v>42.54423679441733</v>
      </c>
      <c r="D784" s="83">
        <f t="shared" si="95"/>
        <v>180.92351180977096</v>
      </c>
      <c r="E784">
        <f t="shared" si="91"/>
        <v>10.776251364404899</v>
      </c>
      <c r="G784">
        <v>734</v>
      </c>
      <c r="H784" s="13">
        <f t="shared" si="96"/>
        <v>5.1608656820917531E-2</v>
      </c>
      <c r="I784">
        <f t="shared" si="97"/>
        <v>80.183349016638189</v>
      </c>
      <c r="J784">
        <f t="shared" si="92"/>
        <v>202.97187249694042</v>
      </c>
      <c r="K784" s="27">
        <f t="shared" si="93"/>
        <v>2126.1313429730376</v>
      </c>
    </row>
    <row r="785" spans="1:11">
      <c r="A785" s="26">
        <v>735</v>
      </c>
      <c r="B785" s="82">
        <f t="shared" si="94"/>
        <v>3.2921237647087764E-4</v>
      </c>
      <c r="C785" s="58">
        <f t="shared" si="98"/>
        <v>42.544566006793801</v>
      </c>
      <c r="D785" s="83">
        <f t="shared" si="95"/>
        <v>180.92415388871393</v>
      </c>
      <c r="E785">
        <f t="shared" si="91"/>
        <v>10.776327850347277</v>
      </c>
      <c r="G785">
        <v>735</v>
      </c>
      <c r="H785" s="13">
        <f t="shared" si="96"/>
        <v>5.1608656820917531E-2</v>
      </c>
      <c r="I785">
        <f t="shared" si="97"/>
        <v>80.234957673459107</v>
      </c>
      <c r="J785">
        <f t="shared" si="92"/>
        <v>202.96991757065962</v>
      </c>
      <c r="K785" s="27">
        <f t="shared" si="93"/>
        <v>2126.0896985386248</v>
      </c>
    </row>
    <row r="786" spans="1:11">
      <c r="A786" s="26">
        <v>736</v>
      </c>
      <c r="B786" s="82">
        <f t="shared" si="94"/>
        <v>3.2921237647087764E-4</v>
      </c>
      <c r="C786" s="58">
        <f t="shared" si="98"/>
        <v>42.544895219170272</v>
      </c>
      <c r="D786" s="83">
        <f t="shared" si="95"/>
        <v>180.9247959395515</v>
      </c>
      <c r="E786">
        <f t="shared" si="91"/>
        <v>10.776404333213192</v>
      </c>
      <c r="G786">
        <v>736</v>
      </c>
      <c r="H786" s="13">
        <f t="shared" si="96"/>
        <v>5.1608656820917531E-2</v>
      </c>
      <c r="I786">
        <f t="shared" si="97"/>
        <v>80.286566330280024</v>
      </c>
      <c r="J786">
        <f t="shared" si="92"/>
        <v>202.9678968960103</v>
      </c>
      <c r="K786" s="27">
        <f t="shared" si="93"/>
        <v>2126.0466770007961</v>
      </c>
    </row>
    <row r="787" spans="1:11">
      <c r="A787" s="26">
        <v>737</v>
      </c>
      <c r="B787" s="82">
        <f t="shared" si="94"/>
        <v>3.2921237647087764E-4</v>
      </c>
      <c r="C787" s="58">
        <f t="shared" si="98"/>
        <v>42.545224431546742</v>
      </c>
      <c r="D787" s="83">
        <f t="shared" si="95"/>
        <v>180.92543796228665</v>
      </c>
      <c r="E787">
        <f t="shared" si="91"/>
        <v>10.776480813002962</v>
      </c>
      <c r="G787">
        <v>737</v>
      </c>
      <c r="H787" s="13">
        <f t="shared" si="96"/>
        <v>5.1608656820917531E-2</v>
      </c>
      <c r="I787">
        <f t="shared" si="97"/>
        <v>80.338174987100942</v>
      </c>
      <c r="J787">
        <f t="shared" si="92"/>
        <v>202.96581046316729</v>
      </c>
      <c r="K787" s="27">
        <f t="shared" si="93"/>
        <v>2126.002278192158</v>
      </c>
    </row>
    <row r="788" spans="1:11">
      <c r="A788" s="26">
        <v>738</v>
      </c>
      <c r="B788" s="82">
        <f t="shared" si="94"/>
        <v>3.2921237647087764E-4</v>
      </c>
      <c r="C788" s="58">
        <f t="shared" si="98"/>
        <v>42.545553643923213</v>
      </c>
      <c r="D788" s="83">
        <f t="shared" si="95"/>
        <v>180.92607995692225</v>
      </c>
      <c r="E788">
        <f t="shared" si="91"/>
        <v>10.776557289716896</v>
      </c>
      <c r="G788">
        <v>738</v>
      </c>
      <c r="H788" s="13">
        <f t="shared" si="96"/>
        <v>5.1608656820917531E-2</v>
      </c>
      <c r="I788">
        <f t="shared" si="97"/>
        <v>80.389783643921859</v>
      </c>
      <c r="J788">
        <f t="shared" si="92"/>
        <v>202.96365826198354</v>
      </c>
      <c r="K788" s="27">
        <f t="shared" si="93"/>
        <v>2125.9565019399215</v>
      </c>
    </row>
    <row r="789" spans="1:11">
      <c r="A789" s="26">
        <v>739</v>
      </c>
      <c r="B789" s="82">
        <f t="shared" si="94"/>
        <v>3.2921237647087764E-4</v>
      </c>
      <c r="C789" s="58">
        <f t="shared" si="98"/>
        <v>42.545882856299684</v>
      </c>
      <c r="D789" s="83">
        <f t="shared" si="95"/>
        <v>180.92672192346129</v>
      </c>
      <c r="E789">
        <f t="shared" si="91"/>
        <v>10.776633763355306</v>
      </c>
      <c r="G789">
        <v>739</v>
      </c>
      <c r="H789" s="13">
        <f t="shared" si="96"/>
        <v>5.1608656820917531E-2</v>
      </c>
      <c r="I789">
        <f t="shared" si="97"/>
        <v>80.441392300742777</v>
      </c>
      <c r="J789">
        <f t="shared" si="92"/>
        <v>202.96144028198995</v>
      </c>
      <c r="K789" s="27">
        <f t="shared" si="93"/>
        <v>2125.9093480658994</v>
      </c>
    </row>
    <row r="790" spans="1:11">
      <c r="A790" s="26">
        <v>740</v>
      </c>
      <c r="B790" s="82">
        <f t="shared" si="94"/>
        <v>3.2921237647087764E-4</v>
      </c>
      <c r="C790" s="58">
        <f t="shared" si="98"/>
        <v>42.546212068676155</v>
      </c>
      <c r="D790" s="83">
        <f t="shared" si="95"/>
        <v>180.92736386190663</v>
      </c>
      <c r="E790">
        <f t="shared" si="91"/>
        <v>10.776710233918505</v>
      </c>
      <c r="G790">
        <v>740</v>
      </c>
      <c r="H790" s="13">
        <f t="shared" si="96"/>
        <v>5.1608656820917531E-2</v>
      </c>
      <c r="I790">
        <f t="shared" si="97"/>
        <v>80.493000957563694</v>
      </c>
      <c r="J790">
        <f t="shared" si="92"/>
        <v>202.95915651239525</v>
      </c>
      <c r="K790" s="27">
        <f t="shared" si="93"/>
        <v>2125.8608163864969</v>
      </c>
    </row>
    <row r="791" spans="1:11">
      <c r="A791" s="26">
        <v>741</v>
      </c>
      <c r="B791" s="82">
        <f t="shared" si="94"/>
        <v>3.2921237647087764E-4</v>
      </c>
      <c r="C791" s="58">
        <f t="shared" si="98"/>
        <v>42.546541281052626</v>
      </c>
      <c r="D791" s="83">
        <f t="shared" si="95"/>
        <v>180.9280057722612</v>
      </c>
      <c r="E791">
        <f t="shared" si="91"/>
        <v>10.776786701406808</v>
      </c>
      <c r="G791">
        <v>741</v>
      </c>
      <c r="H791" s="13">
        <f t="shared" si="96"/>
        <v>5.1608656820917531E-2</v>
      </c>
      <c r="I791">
        <f t="shared" si="97"/>
        <v>80.544609614384612</v>
      </c>
      <c r="J791">
        <f t="shared" si="92"/>
        <v>202.95680694208548</v>
      </c>
      <c r="K791" s="27">
        <f t="shared" si="93"/>
        <v>2125.810906712712</v>
      </c>
    </row>
    <row r="792" spans="1:11">
      <c r="A792" s="26">
        <v>742</v>
      </c>
      <c r="B792" s="82">
        <f t="shared" si="94"/>
        <v>3.2921237647087764E-4</v>
      </c>
      <c r="C792" s="58">
        <f t="shared" si="98"/>
        <v>42.546870493429097</v>
      </c>
      <c r="D792" s="83">
        <f t="shared" si="95"/>
        <v>180.92864765452794</v>
      </c>
      <c r="E792">
        <f t="shared" si="91"/>
        <v>10.776863165820524</v>
      </c>
      <c r="G792">
        <v>742</v>
      </c>
      <c r="H792" s="13">
        <f t="shared" si="96"/>
        <v>5.1608656820917531E-2</v>
      </c>
      <c r="I792">
        <f t="shared" si="97"/>
        <v>80.59621827120553</v>
      </c>
      <c r="J792">
        <f t="shared" si="92"/>
        <v>202.9543915596239</v>
      </c>
      <c r="K792" s="27">
        <f t="shared" si="93"/>
        <v>2125.7596188501279</v>
      </c>
    </row>
    <row r="793" spans="1:11">
      <c r="A793" s="26">
        <v>743</v>
      </c>
      <c r="B793" s="82">
        <f t="shared" si="94"/>
        <v>3.2921237647087764E-4</v>
      </c>
      <c r="C793" s="58">
        <f t="shared" si="98"/>
        <v>42.547199705805568</v>
      </c>
      <c r="D793" s="83">
        <f t="shared" si="95"/>
        <v>180.92928950870976</v>
      </c>
      <c r="E793">
        <f t="shared" si="91"/>
        <v>10.776939627159964</v>
      </c>
      <c r="G793">
        <v>743</v>
      </c>
      <c r="H793" s="13">
        <f t="shared" si="96"/>
        <v>5.1608656820917531E-2</v>
      </c>
      <c r="I793">
        <f t="shared" si="97"/>
        <v>80.647826928026447</v>
      </c>
      <c r="J793">
        <f t="shared" si="92"/>
        <v>202.95191035325064</v>
      </c>
      <c r="K793" s="27">
        <f t="shared" si="93"/>
        <v>2125.70695259891</v>
      </c>
    </row>
    <row r="794" spans="1:11">
      <c r="A794" s="26">
        <v>744</v>
      </c>
      <c r="B794" s="82">
        <f t="shared" si="94"/>
        <v>3.2921237647087764E-4</v>
      </c>
      <c r="C794" s="58">
        <f t="shared" si="98"/>
        <v>42.547528918182039</v>
      </c>
      <c r="D794" s="83">
        <f t="shared" si="95"/>
        <v>180.92993133480957</v>
      </c>
      <c r="E794">
        <f t="shared" si="91"/>
        <v>10.777016085425446</v>
      </c>
      <c r="G794">
        <v>744</v>
      </c>
      <c r="H794" s="13">
        <f t="shared" si="96"/>
        <v>5.1608656820917531E-2</v>
      </c>
      <c r="I794">
        <f t="shared" si="97"/>
        <v>80.699435584847365</v>
      </c>
      <c r="J794">
        <f t="shared" si="92"/>
        <v>202.94936331088249</v>
      </c>
      <c r="K794" s="27">
        <f t="shared" si="93"/>
        <v>2125.6529077537994</v>
      </c>
    </row>
    <row r="795" spans="1:11">
      <c r="A795" s="26">
        <v>745</v>
      </c>
      <c r="B795" s="82">
        <f t="shared" si="94"/>
        <v>3.2921237647087764E-4</v>
      </c>
      <c r="C795" s="58">
        <f t="shared" si="98"/>
        <v>42.54785813055851</v>
      </c>
      <c r="D795" s="83">
        <f t="shared" si="95"/>
        <v>180.93057313283032</v>
      </c>
      <c r="E795">
        <f t="shared" si="91"/>
        <v>10.777092540617275</v>
      </c>
      <c r="G795">
        <v>745</v>
      </c>
      <c r="H795" s="13">
        <f t="shared" si="96"/>
        <v>5.1608656820917531E-2</v>
      </c>
      <c r="I795">
        <f t="shared" si="97"/>
        <v>80.751044241668282</v>
      </c>
      <c r="J795">
        <f t="shared" si="92"/>
        <v>202.94675042011247</v>
      </c>
      <c r="K795" s="27">
        <f t="shared" si="93"/>
        <v>2125.5974841041093</v>
      </c>
    </row>
    <row r="796" spans="1:11">
      <c r="A796" s="26">
        <v>746</v>
      </c>
      <c r="B796" s="82">
        <f t="shared" si="94"/>
        <v>3.2921237647087764E-4</v>
      </c>
      <c r="C796" s="58">
        <f t="shared" si="98"/>
        <v>42.54818734293498</v>
      </c>
      <c r="D796" s="83">
        <f t="shared" si="95"/>
        <v>180.93121490277485</v>
      </c>
      <c r="E796">
        <f t="shared" si="91"/>
        <v>10.777168992735765</v>
      </c>
      <c r="G796">
        <v>746</v>
      </c>
      <c r="H796" s="13">
        <f t="shared" si="96"/>
        <v>5.1608656820917531E-2</v>
      </c>
      <c r="I796">
        <f t="shared" si="97"/>
        <v>80.8026528984892</v>
      </c>
      <c r="J796">
        <f t="shared" si="92"/>
        <v>202.94407166820963</v>
      </c>
      <c r="K796" s="27">
        <f t="shared" si="93"/>
        <v>2125.5406814337198</v>
      </c>
    </row>
    <row r="797" spans="1:11">
      <c r="A797" s="26">
        <v>747</v>
      </c>
      <c r="B797" s="82">
        <f t="shared" si="94"/>
        <v>3.2921237647087764E-4</v>
      </c>
      <c r="C797" s="58">
        <f t="shared" si="98"/>
        <v>42.548516555311451</v>
      </c>
      <c r="D797" s="83">
        <f t="shared" si="95"/>
        <v>180.93185664464619</v>
      </c>
      <c r="E797">
        <f t="shared" si="91"/>
        <v>10.777245441781233</v>
      </c>
      <c r="G797">
        <v>747</v>
      </c>
      <c r="H797" s="13">
        <f t="shared" si="96"/>
        <v>5.1608656820917531E-2</v>
      </c>
      <c r="I797">
        <f t="shared" si="97"/>
        <v>80.854261555310117</v>
      </c>
      <c r="J797">
        <f t="shared" si="92"/>
        <v>202.94132704211879</v>
      </c>
      <c r="K797" s="27">
        <f t="shared" si="93"/>
        <v>2125.4824995210715</v>
      </c>
    </row>
    <row r="798" spans="1:11">
      <c r="A798" s="26">
        <v>748</v>
      </c>
      <c r="B798" s="82">
        <f t="shared" si="94"/>
        <v>3.2921237647087764E-4</v>
      </c>
      <c r="C798" s="58">
        <f t="shared" si="98"/>
        <v>42.548845767687922</v>
      </c>
      <c r="D798" s="83">
        <f t="shared" si="95"/>
        <v>180.93249835844716</v>
      </c>
      <c r="E798">
        <f t="shared" si="91"/>
        <v>10.777321887753985</v>
      </c>
      <c r="G798">
        <v>748</v>
      </c>
      <c r="H798" s="13">
        <f t="shared" si="96"/>
        <v>5.1608656820917531E-2</v>
      </c>
      <c r="I798">
        <f t="shared" si="97"/>
        <v>80.905870212131035</v>
      </c>
      <c r="J798">
        <f t="shared" si="92"/>
        <v>202.93851652846001</v>
      </c>
      <c r="K798" s="27">
        <f t="shared" si="93"/>
        <v>2125.422938139161</v>
      </c>
    </row>
    <row r="799" spans="1:11">
      <c r="A799" s="26">
        <v>749</v>
      </c>
      <c r="B799" s="82">
        <f t="shared" si="94"/>
        <v>3.2921237647087764E-4</v>
      </c>
      <c r="C799" s="58">
        <f t="shared" si="98"/>
        <v>42.549174980064393</v>
      </c>
      <c r="D799" s="83">
        <f t="shared" si="95"/>
        <v>180.93314004418073</v>
      </c>
      <c r="E799">
        <f t="shared" si="91"/>
        <v>10.777398330654334</v>
      </c>
      <c r="G799">
        <v>749</v>
      </c>
      <c r="H799" s="13">
        <f t="shared" si="96"/>
        <v>5.1608656820917531E-2</v>
      </c>
      <c r="I799">
        <f t="shared" si="97"/>
        <v>80.957478868951952</v>
      </c>
      <c r="J799">
        <f t="shared" si="92"/>
        <v>202.93564011352854</v>
      </c>
      <c r="K799" s="27">
        <f t="shared" si="93"/>
        <v>2125.3619970555342</v>
      </c>
    </row>
    <row r="800" spans="1:11">
      <c r="A800" s="26">
        <v>750</v>
      </c>
      <c r="B800" s="82">
        <f t="shared" si="94"/>
        <v>3.2921237647087764E-4</v>
      </c>
      <c r="C800" s="58">
        <f t="shared" si="98"/>
        <v>42.549504192440864</v>
      </c>
      <c r="D800" s="83">
        <f t="shared" si="95"/>
        <v>180.9337817018498</v>
      </c>
      <c r="E800">
        <f t="shared" si="91"/>
        <v>10.777474770482591</v>
      </c>
      <c r="G800">
        <v>750</v>
      </c>
      <c r="H800" s="13">
        <f t="shared" si="96"/>
        <v>5.1608656820917531E-2</v>
      </c>
      <c r="I800">
        <f t="shared" si="97"/>
        <v>81.00908752577287</v>
      </c>
      <c r="J800">
        <f t="shared" si="92"/>
        <v>202.9326977832942</v>
      </c>
      <c r="K800" s="27">
        <f t="shared" si="93"/>
        <v>2125.2996760322831</v>
      </c>
    </row>
    <row r="801" spans="1:11">
      <c r="A801" s="26">
        <v>751</v>
      </c>
      <c r="B801" s="82">
        <f t="shared" si="94"/>
        <v>3.2921237647087764E-4</v>
      </c>
      <c r="C801" s="58">
        <f t="shared" si="98"/>
        <v>42.549833404817335</v>
      </c>
      <c r="D801" s="83">
        <f t="shared" si="95"/>
        <v>180.93442333145725</v>
      </c>
      <c r="E801">
        <f t="shared" si="91"/>
        <v>10.777551207239069</v>
      </c>
      <c r="G801">
        <v>751</v>
      </c>
      <c r="H801" s="13">
        <f t="shared" si="96"/>
        <v>5.1608656820917531E-2</v>
      </c>
      <c r="I801">
        <f t="shared" si="97"/>
        <v>81.060696182593787</v>
      </c>
      <c r="J801">
        <f t="shared" si="92"/>
        <v>202.92968952340129</v>
      </c>
      <c r="K801" s="27">
        <f t="shared" si="93"/>
        <v>2125.2359748260374</v>
      </c>
    </row>
    <row r="802" spans="1:11">
      <c r="A802" s="26">
        <v>752</v>
      </c>
      <c r="B802" s="82">
        <f t="shared" si="94"/>
        <v>3.2921237647087764E-4</v>
      </c>
      <c r="C802" s="58">
        <f t="shared" si="98"/>
        <v>42.550162617193806</v>
      </c>
      <c r="D802" s="83">
        <f t="shared" si="95"/>
        <v>180.93506493300606</v>
      </c>
      <c r="E802">
        <f t="shared" si="91"/>
        <v>10.777627640924079</v>
      </c>
      <c r="G802">
        <v>752</v>
      </c>
      <c r="H802" s="13">
        <f t="shared" si="96"/>
        <v>5.1608656820917531E-2</v>
      </c>
      <c r="I802">
        <f t="shared" si="97"/>
        <v>81.112304839414705</v>
      </c>
      <c r="J802">
        <f t="shared" si="92"/>
        <v>202.92661531916806</v>
      </c>
      <c r="K802" s="27">
        <f t="shared" si="93"/>
        <v>2125.1708931879589</v>
      </c>
    </row>
    <row r="803" spans="1:11">
      <c r="A803" s="26">
        <v>753</v>
      </c>
      <c r="B803" s="82">
        <f t="shared" si="94"/>
        <v>3.2921237647087764E-4</v>
      </c>
      <c r="C803" s="58">
        <f t="shared" si="98"/>
        <v>42.550491829570277</v>
      </c>
      <c r="D803" s="83">
        <f t="shared" si="95"/>
        <v>180.93570650649909</v>
      </c>
      <c r="E803">
        <f t="shared" si="91"/>
        <v>10.777704071537933</v>
      </c>
      <c r="G803">
        <v>753</v>
      </c>
      <c r="H803" s="13">
        <f t="shared" si="96"/>
        <v>5.1608656820917531E-2</v>
      </c>
      <c r="I803">
        <f t="shared" si="97"/>
        <v>81.163913496235622</v>
      </c>
      <c r="J803">
        <f t="shared" si="92"/>
        <v>202.92347515558646</v>
      </c>
      <c r="K803" s="27">
        <f t="shared" si="93"/>
        <v>2125.104430863737</v>
      </c>
    </row>
    <row r="804" spans="1:11">
      <c r="A804" s="26">
        <v>754</v>
      </c>
      <c r="B804" s="82">
        <f t="shared" si="94"/>
        <v>3.2921237647087764E-4</v>
      </c>
      <c r="C804" s="58">
        <f t="shared" si="98"/>
        <v>42.550821041946747</v>
      </c>
      <c r="D804" s="83">
        <f t="shared" si="95"/>
        <v>180.93634805193929</v>
      </c>
      <c r="E804">
        <f t="shared" si="91"/>
        <v>10.777780499080942</v>
      </c>
      <c r="G804">
        <v>754</v>
      </c>
      <c r="H804" s="13">
        <f t="shared" si="96"/>
        <v>5.1608656820917531E-2</v>
      </c>
      <c r="I804">
        <f t="shared" si="97"/>
        <v>81.21552215305654</v>
      </c>
      <c r="J804">
        <f t="shared" si="92"/>
        <v>202.92026901732169</v>
      </c>
      <c r="K804" s="27">
        <f t="shared" si="93"/>
        <v>2125.0365875935809</v>
      </c>
    </row>
    <row r="805" spans="1:11">
      <c r="A805" s="26">
        <v>755</v>
      </c>
      <c r="B805" s="82">
        <f t="shared" si="94"/>
        <v>3.2921237647087764E-4</v>
      </c>
      <c r="C805" s="58">
        <f t="shared" si="98"/>
        <v>42.551150254323218</v>
      </c>
      <c r="D805" s="83">
        <f t="shared" si="95"/>
        <v>180.93698956932954</v>
      </c>
      <c r="E805">
        <f t="shared" si="91"/>
        <v>10.777856923553417</v>
      </c>
      <c r="G805">
        <v>755</v>
      </c>
      <c r="H805" s="13">
        <f t="shared" si="96"/>
        <v>5.1608656820917531E-2</v>
      </c>
      <c r="I805">
        <f t="shared" si="97"/>
        <v>81.267130809877457</v>
      </c>
      <c r="J805">
        <f t="shared" si="92"/>
        <v>202.91699688871194</v>
      </c>
      <c r="K805" s="27">
        <f t="shared" si="93"/>
        <v>2124.9673631122155</v>
      </c>
    </row>
    <row r="806" spans="1:11">
      <c r="A806" s="26">
        <v>756</v>
      </c>
      <c r="B806" s="82">
        <f t="shared" si="94"/>
        <v>3.2921237647087764E-4</v>
      </c>
      <c r="C806" s="58">
        <f t="shared" si="98"/>
        <v>42.551479466699689</v>
      </c>
      <c r="D806" s="83">
        <f t="shared" si="95"/>
        <v>180.93763105867276</v>
      </c>
      <c r="E806">
        <f t="shared" si="91"/>
        <v>10.77793334495567</v>
      </c>
      <c r="G806">
        <v>756</v>
      </c>
      <c r="H806" s="13">
        <f t="shared" si="96"/>
        <v>5.1608656820917531E-2</v>
      </c>
      <c r="I806">
        <f t="shared" si="97"/>
        <v>81.318739466698375</v>
      </c>
      <c r="J806">
        <f t="shared" si="92"/>
        <v>202.91365875376778</v>
      </c>
      <c r="K806" s="27">
        <f t="shared" si="93"/>
        <v>2124.8967571488693</v>
      </c>
    </row>
    <row r="807" spans="1:11">
      <c r="A807" s="26">
        <v>757</v>
      </c>
      <c r="B807" s="82">
        <f t="shared" si="94"/>
        <v>3.2921237647087764E-4</v>
      </c>
      <c r="C807" s="58">
        <f t="shared" si="98"/>
        <v>42.55180867907616</v>
      </c>
      <c r="D807" s="83">
        <f t="shared" si="95"/>
        <v>180.93827251997189</v>
      </c>
      <c r="E807">
        <f t="shared" si="91"/>
        <v>10.778009763288013</v>
      </c>
      <c r="G807">
        <v>757</v>
      </c>
      <c r="H807" s="13">
        <f t="shared" si="96"/>
        <v>5.1608656820917531E-2</v>
      </c>
      <c r="I807">
        <f t="shared" si="97"/>
        <v>81.370348123519292</v>
      </c>
      <c r="J807">
        <f t="shared" si="92"/>
        <v>202.91025459617205</v>
      </c>
      <c r="K807" s="27">
        <f t="shared" si="93"/>
        <v>2124.824769427275</v>
      </c>
    </row>
    <row r="808" spans="1:11">
      <c r="A808" s="26">
        <v>758</v>
      </c>
      <c r="B808" s="82">
        <f t="shared" si="94"/>
        <v>3.2921237647087764E-4</v>
      </c>
      <c r="C808" s="58">
        <f t="shared" si="98"/>
        <v>42.552137891452631</v>
      </c>
      <c r="D808" s="83">
        <f t="shared" si="95"/>
        <v>180.93891395322981</v>
      </c>
      <c r="E808">
        <f t="shared" si="91"/>
        <v>10.778086178550758</v>
      </c>
      <c r="G808">
        <v>758</v>
      </c>
      <c r="H808" s="13">
        <f t="shared" si="96"/>
        <v>5.1608656820917531E-2</v>
      </c>
      <c r="I808">
        <f t="shared" si="97"/>
        <v>81.42195678034021</v>
      </c>
      <c r="J808">
        <f t="shared" si="92"/>
        <v>202.9067843992793</v>
      </c>
      <c r="K808" s="27">
        <f t="shared" si="93"/>
        <v>2124.7513996656589</v>
      </c>
    </row>
    <row r="809" spans="1:11">
      <c r="A809" s="26">
        <v>759</v>
      </c>
      <c r="B809" s="82">
        <f t="shared" si="94"/>
        <v>3.2921237647087764E-4</v>
      </c>
      <c r="C809" s="58">
        <f t="shared" si="98"/>
        <v>42.552467103829102</v>
      </c>
      <c r="D809" s="83">
        <f t="shared" si="95"/>
        <v>180.93955535844944</v>
      </c>
      <c r="E809">
        <f t="shared" si="91"/>
        <v>10.778162590744211</v>
      </c>
      <c r="G809">
        <v>759</v>
      </c>
      <c r="H809" s="13">
        <f t="shared" si="96"/>
        <v>5.1608656820917531E-2</v>
      </c>
      <c r="I809">
        <f t="shared" si="97"/>
        <v>81.473565437161128</v>
      </c>
      <c r="J809">
        <f t="shared" si="92"/>
        <v>202.90324814611535</v>
      </c>
      <c r="K809" s="27">
        <f t="shared" si="93"/>
        <v>2124.6766475767322</v>
      </c>
    </row>
    <row r="810" spans="1:11">
      <c r="A810" s="26">
        <v>760</v>
      </c>
      <c r="B810" s="82">
        <f t="shared" si="94"/>
        <v>3.2921237647087764E-4</v>
      </c>
      <c r="C810" s="58">
        <f t="shared" si="98"/>
        <v>42.552796316205573</v>
      </c>
      <c r="D810" s="83">
        <f t="shared" si="95"/>
        <v>180.94019673563369</v>
      </c>
      <c r="E810">
        <f t="shared" si="91"/>
        <v>10.778238999868693</v>
      </c>
      <c r="G810">
        <v>760</v>
      </c>
      <c r="H810" s="13">
        <f t="shared" si="96"/>
        <v>5.1608656820917531E-2</v>
      </c>
      <c r="I810">
        <f t="shared" si="97"/>
        <v>81.525174093982045</v>
      </c>
      <c r="J810">
        <f t="shared" si="92"/>
        <v>202.89964581937696</v>
      </c>
      <c r="K810" s="27">
        <f t="shared" si="93"/>
        <v>2124.6005128676893</v>
      </c>
    </row>
    <row r="811" spans="1:11">
      <c r="A811" s="26">
        <v>761</v>
      </c>
      <c r="B811" s="82">
        <f t="shared" si="94"/>
        <v>3.2921237647087764E-4</v>
      </c>
      <c r="C811" s="58">
        <f t="shared" si="98"/>
        <v>42.553125528582044</v>
      </c>
      <c r="D811" s="83">
        <f t="shared" si="95"/>
        <v>180.9408380847855</v>
      </c>
      <c r="E811">
        <f t="shared" si="91"/>
        <v>10.778315405924509</v>
      </c>
      <c r="G811">
        <v>761</v>
      </c>
      <c r="H811" s="13">
        <f t="shared" si="96"/>
        <v>5.1608656820917531E-2</v>
      </c>
      <c r="I811">
        <f t="shared" si="97"/>
        <v>81.576782750802963</v>
      </c>
      <c r="J811">
        <f t="shared" si="92"/>
        <v>202.8959774014314</v>
      </c>
      <c r="K811" s="27">
        <f t="shared" si="93"/>
        <v>2124.5229952401946</v>
      </c>
    </row>
    <row r="812" spans="1:11">
      <c r="A812" s="26">
        <v>762</v>
      </c>
      <c r="B812" s="82">
        <f t="shared" si="94"/>
        <v>3.2921237647087764E-4</v>
      </c>
      <c r="C812" s="58">
        <f t="shared" si="98"/>
        <v>42.553454740958514</v>
      </c>
      <c r="D812" s="83">
        <f t="shared" si="95"/>
        <v>180.94147940590773</v>
      </c>
      <c r="E812">
        <f t="shared" si="91"/>
        <v>10.778391808911964</v>
      </c>
      <c r="G812">
        <v>762</v>
      </c>
      <c r="H812" s="13">
        <f t="shared" si="96"/>
        <v>5.1608656820917531E-2</v>
      </c>
      <c r="I812">
        <f t="shared" si="97"/>
        <v>81.62839140762388</v>
      </c>
      <c r="J812">
        <f t="shared" si="92"/>
        <v>202.89224287431591</v>
      </c>
      <c r="K812" s="27">
        <f t="shared" si="93"/>
        <v>2124.4440943903783</v>
      </c>
    </row>
    <row r="813" spans="1:11">
      <c r="A813" s="26">
        <v>763</v>
      </c>
      <c r="B813" s="82">
        <f t="shared" si="94"/>
        <v>3.2921237647087764E-4</v>
      </c>
      <c r="C813" s="58">
        <f t="shared" si="98"/>
        <v>42.553783953334985</v>
      </c>
      <c r="D813" s="83">
        <f t="shared" si="95"/>
        <v>180.94212069900328</v>
      </c>
      <c r="E813">
        <f t="shared" si="91"/>
        <v>10.778468208831377</v>
      </c>
      <c r="G813">
        <v>763</v>
      </c>
      <c r="H813" s="13">
        <f t="shared" si="96"/>
        <v>5.1608656820917531E-2</v>
      </c>
      <c r="I813">
        <f t="shared" si="97"/>
        <v>81.680000064444798</v>
      </c>
      <c r="J813">
        <f t="shared" si="92"/>
        <v>202.88844221973744</v>
      </c>
      <c r="K813" s="27">
        <f t="shared" si="93"/>
        <v>2124.3638100088315</v>
      </c>
    </row>
    <row r="814" spans="1:11">
      <c r="A814" s="26">
        <v>764</v>
      </c>
      <c r="B814" s="82">
        <f t="shared" si="94"/>
        <v>3.2921237647087764E-4</v>
      </c>
      <c r="C814" s="58">
        <f t="shared" si="98"/>
        <v>42.554113165711456</v>
      </c>
      <c r="D814" s="83">
        <f t="shared" si="95"/>
        <v>180.94276196407512</v>
      </c>
      <c r="E814">
        <f t="shared" si="91"/>
        <v>10.778544605683059</v>
      </c>
      <c r="G814">
        <v>764</v>
      </c>
      <c r="H814" s="13">
        <f t="shared" si="96"/>
        <v>5.1608656820917531E-2</v>
      </c>
      <c r="I814">
        <f t="shared" si="97"/>
        <v>81.731608721265715</v>
      </c>
      <c r="J814">
        <f t="shared" si="92"/>
        <v>202.88457541907198</v>
      </c>
      <c r="K814" s="27">
        <f t="shared" si="93"/>
        <v>2124.2821417805922</v>
      </c>
    </row>
    <row r="815" spans="1:11">
      <c r="A815" s="26">
        <v>765</v>
      </c>
      <c r="B815" s="82">
        <f t="shared" si="94"/>
        <v>3.2921237647087764E-4</v>
      </c>
      <c r="C815" s="58">
        <f t="shared" si="98"/>
        <v>42.554442378087927</v>
      </c>
      <c r="D815" s="83">
        <f t="shared" si="95"/>
        <v>180.9434032011261</v>
      </c>
      <c r="E815">
        <f t="shared" si="91"/>
        <v>10.778620999467316</v>
      </c>
      <c r="G815">
        <v>765</v>
      </c>
      <c r="H815" s="13">
        <f t="shared" si="96"/>
        <v>5.1608656820917531E-2</v>
      </c>
      <c r="I815">
        <f t="shared" si="97"/>
        <v>81.783217378086633</v>
      </c>
      <c r="J815">
        <f t="shared" si="92"/>
        <v>202.88064245336432</v>
      </c>
      <c r="K815" s="27">
        <f t="shared" si="93"/>
        <v>2124.1990893851421</v>
      </c>
    </row>
    <row r="816" spans="1:11">
      <c r="A816" s="26">
        <v>766</v>
      </c>
      <c r="B816" s="82">
        <f t="shared" si="94"/>
        <v>3.2921237647087764E-4</v>
      </c>
      <c r="C816" s="58">
        <f t="shared" si="98"/>
        <v>42.554771590464398</v>
      </c>
      <c r="D816" s="83">
        <f t="shared" si="95"/>
        <v>180.94404441015917</v>
      </c>
      <c r="E816">
        <f t="shared" si="91"/>
        <v>10.778697390184464</v>
      </c>
      <c r="G816">
        <v>766</v>
      </c>
      <c r="H816" s="13">
        <f t="shared" si="96"/>
        <v>5.1608656820917531E-2</v>
      </c>
      <c r="I816">
        <f t="shared" si="97"/>
        <v>81.83482603490755</v>
      </c>
      <c r="J816">
        <f t="shared" si="92"/>
        <v>202.87664330332737</v>
      </c>
      <c r="K816" s="27">
        <f t="shared" si="93"/>
        <v>2124.1146524963974</v>
      </c>
    </row>
    <row r="817" spans="1:11">
      <c r="A817" s="26">
        <v>767</v>
      </c>
      <c r="B817" s="82">
        <f t="shared" si="94"/>
        <v>3.2921237647087764E-4</v>
      </c>
      <c r="C817" s="58">
        <f t="shared" si="98"/>
        <v>42.555100802840869</v>
      </c>
      <c r="D817" s="83">
        <f t="shared" si="95"/>
        <v>180.9446855911772</v>
      </c>
      <c r="E817">
        <f t="shared" si="91"/>
        <v>10.778773777834807</v>
      </c>
      <c r="G817">
        <v>767</v>
      </c>
      <c r="H817" s="13">
        <f t="shared" si="96"/>
        <v>5.1608656820917531E-2</v>
      </c>
      <c r="I817">
        <f t="shared" si="97"/>
        <v>81.886434691728468</v>
      </c>
      <c r="J817">
        <f t="shared" si="92"/>
        <v>202.87257794934186</v>
      </c>
      <c r="K817" s="27">
        <f t="shared" si="93"/>
        <v>2124.0288307827018</v>
      </c>
    </row>
    <row r="818" spans="1:11">
      <c r="A818" s="26">
        <v>768</v>
      </c>
      <c r="B818" s="82">
        <f t="shared" si="94"/>
        <v>3.2921237647087764E-4</v>
      </c>
      <c r="C818" s="58">
        <f t="shared" si="98"/>
        <v>42.55543001521734</v>
      </c>
      <c r="D818" s="83">
        <f t="shared" si="95"/>
        <v>180.94532674418312</v>
      </c>
      <c r="E818">
        <f t="shared" si="91"/>
        <v>10.778850162418664</v>
      </c>
      <c r="G818">
        <v>768</v>
      </c>
      <c r="H818" s="13">
        <f t="shared" si="96"/>
        <v>5.1608656820917531E-2</v>
      </c>
      <c r="I818">
        <f t="shared" si="97"/>
        <v>81.938043348549385</v>
      </c>
      <c r="J818">
        <f t="shared" si="92"/>
        <v>202.8684463714558</v>
      </c>
      <c r="K818" s="27">
        <f t="shared" si="93"/>
        <v>2123.9416239068173</v>
      </c>
    </row>
    <row r="819" spans="1:11">
      <c r="A819" s="26">
        <v>769</v>
      </c>
      <c r="B819" s="82">
        <f t="shared" si="94"/>
        <v>3.2921237647087764E-4</v>
      </c>
      <c r="C819" s="58">
        <f t="shared" si="98"/>
        <v>42.555759227593811</v>
      </c>
      <c r="D819" s="83">
        <f t="shared" si="95"/>
        <v>180.94596786917981</v>
      </c>
      <c r="E819">
        <f t="shared" ref="E819:E882" si="99">((D819^2)+(D819*D820)+(D820^2))*B820/3</f>
        <v>10.778926543936342</v>
      </c>
      <c r="G819">
        <v>769</v>
      </c>
      <c r="H819" s="13">
        <f t="shared" si="96"/>
        <v>5.1608656820917531E-2</v>
      </c>
      <c r="I819">
        <f t="shared" si="97"/>
        <v>81.989652005370303</v>
      </c>
      <c r="J819">
        <f t="shared" ref="J819:J882" si="100">IF($G$28&lt;$C$14,0,((($C$11^2)-((I819-$C$13)^2))^0.5)+$C$16)</f>
        <v>202.86424854938389</v>
      </c>
      <c r="K819" s="27">
        <f t="shared" ref="K819:K882" si="101">((J819^2)+(J819*J820)+(J820^2))*H820/3</f>
        <v>2123.8530315259136</v>
      </c>
    </row>
    <row r="820" spans="1:11">
      <c r="A820" s="26">
        <v>770</v>
      </c>
      <c r="B820" s="82">
        <f t="shared" ref="B820:B883" si="102">C820-C819</f>
        <v>3.2921237647087764E-4</v>
      </c>
      <c r="C820" s="58">
        <f t="shared" si="98"/>
        <v>42.556088439970281</v>
      </c>
      <c r="D820" s="83">
        <f t="shared" ref="D820:D883" si="103">IF($G$28&lt;$C$14,0,((($C$11^2)-((C820-$C$13)^2))^0.5)+$C$16)</f>
        <v>180.94660896617023</v>
      </c>
      <c r="E820">
        <f t="shared" si="99"/>
        <v>10.779002922388147</v>
      </c>
      <c r="G820">
        <v>770</v>
      </c>
      <c r="H820" s="13">
        <f t="shared" ref="H820:H883" si="104">I820-I819</f>
        <v>5.1608656820917531E-2</v>
      </c>
      <c r="I820">
        <f t="shared" ref="I820:I883" si="105">($G$27-$C$14)/2000+I819</f>
        <v>82.04126066219122</v>
      </c>
      <c r="J820">
        <f t="shared" si="100"/>
        <v>202.85998446250716</v>
      </c>
      <c r="K820" s="27">
        <f t="shared" si="101"/>
        <v>2123.7630532915646</v>
      </c>
    </row>
    <row r="821" spans="1:11">
      <c r="A821" s="26">
        <v>771</v>
      </c>
      <c r="B821" s="82">
        <f t="shared" si="102"/>
        <v>3.2921237647087764E-4</v>
      </c>
      <c r="C821" s="58">
        <f t="shared" si="98"/>
        <v>42.556417652346752</v>
      </c>
      <c r="D821" s="83">
        <f t="shared" si="103"/>
        <v>180.9472500351572</v>
      </c>
      <c r="E821">
        <f t="shared" si="99"/>
        <v>10.779079297774395</v>
      </c>
      <c r="G821">
        <v>771</v>
      </c>
      <c r="H821" s="13">
        <f t="shared" si="104"/>
        <v>5.1608656820917531E-2</v>
      </c>
      <c r="I821">
        <f t="shared" si="105"/>
        <v>82.092869319012138</v>
      </c>
      <c r="J821">
        <f t="shared" si="100"/>
        <v>202.85565408987239</v>
      </c>
      <c r="K821" s="27">
        <f t="shared" si="101"/>
        <v>2123.6716888497358</v>
      </c>
    </row>
    <row r="822" spans="1:11">
      <c r="A822" s="26">
        <v>772</v>
      </c>
      <c r="B822" s="82">
        <f t="shared" si="102"/>
        <v>3.2921237647087764E-4</v>
      </c>
      <c r="C822" s="58">
        <f t="shared" si="98"/>
        <v>42.556746864723223</v>
      </c>
      <c r="D822" s="83">
        <f t="shared" si="103"/>
        <v>180.94789107614369</v>
      </c>
      <c r="E822">
        <f t="shared" si="99"/>
        <v>10.779155670095397</v>
      </c>
      <c r="G822">
        <v>772</v>
      </c>
      <c r="H822" s="13">
        <f t="shared" si="104"/>
        <v>5.1608656820917531E-2</v>
      </c>
      <c r="I822">
        <f t="shared" si="105"/>
        <v>82.144477975833055</v>
      </c>
      <c r="J822">
        <f t="shared" si="100"/>
        <v>202.85125741019155</v>
      </c>
      <c r="K822" s="27">
        <f t="shared" si="101"/>
        <v>2123.5789378407776</v>
      </c>
    </row>
    <row r="823" spans="1:11">
      <c r="A823" s="26">
        <v>773</v>
      </c>
      <c r="B823" s="82">
        <f t="shared" si="102"/>
        <v>3.2921237647087764E-4</v>
      </c>
      <c r="C823" s="58">
        <f t="shared" si="98"/>
        <v>42.557076077099694</v>
      </c>
      <c r="D823" s="83">
        <f t="shared" si="103"/>
        <v>180.94853208913258</v>
      </c>
      <c r="E823">
        <f t="shared" si="99"/>
        <v>10.779232039351461</v>
      </c>
      <c r="G823">
        <v>773</v>
      </c>
      <c r="H823" s="13">
        <f t="shared" si="104"/>
        <v>5.1608656820917531E-2</v>
      </c>
      <c r="I823">
        <f t="shared" si="105"/>
        <v>82.196086632653973</v>
      </c>
      <c r="J823">
        <f t="shared" si="100"/>
        <v>202.84679440184141</v>
      </c>
      <c r="K823" s="27">
        <f t="shared" si="101"/>
        <v>2123.4847998994142</v>
      </c>
    </row>
    <row r="824" spans="1:11">
      <c r="A824" s="26">
        <v>774</v>
      </c>
      <c r="B824" s="82">
        <f t="shared" si="102"/>
        <v>3.2921237647087764E-4</v>
      </c>
      <c r="C824" s="58">
        <f t="shared" si="98"/>
        <v>42.557405289476165</v>
      </c>
      <c r="D824" s="83">
        <f t="shared" si="103"/>
        <v>180.9491730741268</v>
      </c>
      <c r="E824">
        <f t="shared" si="99"/>
        <v>10.779308405542897</v>
      </c>
      <c r="G824">
        <v>774</v>
      </c>
      <c r="H824" s="13">
        <f t="shared" si="104"/>
        <v>5.1608656820917531E-2</v>
      </c>
      <c r="I824">
        <f t="shared" si="105"/>
        <v>82.247695289474891</v>
      </c>
      <c r="J824">
        <f t="shared" si="100"/>
        <v>202.84226504286281</v>
      </c>
      <c r="K824" s="27">
        <f t="shared" si="101"/>
        <v>2123.3892746547376</v>
      </c>
    </row>
    <row r="825" spans="1:11">
      <c r="A825" s="26">
        <v>775</v>
      </c>
      <c r="B825" s="82">
        <f t="shared" si="102"/>
        <v>3.2921237647087764E-4</v>
      </c>
      <c r="C825" s="58">
        <f t="shared" si="98"/>
        <v>42.557734501852636</v>
      </c>
      <c r="D825" s="83">
        <f t="shared" si="103"/>
        <v>180.94981403112919</v>
      </c>
      <c r="E825">
        <f t="shared" si="99"/>
        <v>10.779384768670015</v>
      </c>
      <c r="G825">
        <v>775</v>
      </c>
      <c r="H825" s="13">
        <f t="shared" si="104"/>
        <v>5.1608656820917531E-2</v>
      </c>
      <c r="I825">
        <f t="shared" si="105"/>
        <v>82.299303946295808</v>
      </c>
      <c r="J825">
        <f t="shared" si="100"/>
        <v>202.83766931096028</v>
      </c>
      <c r="K825" s="27">
        <f t="shared" si="101"/>
        <v>2123.2923617301963</v>
      </c>
    </row>
    <row r="826" spans="1:11">
      <c r="A826" s="26">
        <v>776</v>
      </c>
      <c r="B826" s="82">
        <f t="shared" si="102"/>
        <v>3.2921237647087764E-4</v>
      </c>
      <c r="C826" s="58">
        <f t="shared" si="98"/>
        <v>42.558063714229107</v>
      </c>
      <c r="D826" s="83">
        <f t="shared" si="103"/>
        <v>180.95045496014271</v>
      </c>
      <c r="E826">
        <f t="shared" si="99"/>
        <v>10.77946112873313</v>
      </c>
      <c r="G826">
        <v>776</v>
      </c>
      <c r="H826" s="13">
        <f t="shared" si="104"/>
        <v>5.1608656820917531E-2</v>
      </c>
      <c r="I826">
        <f t="shared" si="105"/>
        <v>82.350912603116726</v>
      </c>
      <c r="J826">
        <f t="shared" si="100"/>
        <v>202.83300718350142</v>
      </c>
      <c r="K826" s="27">
        <f t="shared" si="101"/>
        <v>2123.1940607435849</v>
      </c>
    </row>
    <row r="827" spans="1:11">
      <c r="A827" s="26">
        <v>777</v>
      </c>
      <c r="B827" s="82">
        <f t="shared" si="102"/>
        <v>3.2921237647087764E-4</v>
      </c>
      <c r="C827" s="58">
        <f t="shared" si="98"/>
        <v>42.558392926605578</v>
      </c>
      <c r="D827" s="83">
        <f t="shared" si="103"/>
        <v>180.95109586117024</v>
      </c>
      <c r="E827">
        <f t="shared" si="99"/>
        <v>10.779537485732547</v>
      </c>
      <c r="G827">
        <v>777</v>
      </c>
      <c r="H827" s="13">
        <f t="shared" si="104"/>
        <v>5.1608656820917531E-2</v>
      </c>
      <c r="I827">
        <f t="shared" si="105"/>
        <v>82.402521259937643</v>
      </c>
      <c r="J827">
        <f t="shared" si="100"/>
        <v>202.82827863751632</v>
      </c>
      <c r="K827" s="27">
        <f t="shared" si="101"/>
        <v>2123.0943713070378</v>
      </c>
    </row>
    <row r="828" spans="1:11">
      <c r="A828" s="26">
        <v>778</v>
      </c>
      <c r="B828" s="82">
        <f t="shared" si="102"/>
        <v>3.2921237647087764E-4</v>
      </c>
      <c r="C828" s="58">
        <f t="shared" si="98"/>
        <v>42.558722138982048</v>
      </c>
      <c r="D828" s="83">
        <f t="shared" si="103"/>
        <v>180.95173673421468</v>
      </c>
      <c r="E828">
        <f t="shared" si="99"/>
        <v>10.779613839668576</v>
      </c>
      <c r="G828">
        <v>778</v>
      </c>
      <c r="H828" s="13">
        <f t="shared" si="104"/>
        <v>5.1608656820917531E-2</v>
      </c>
      <c r="I828">
        <f t="shared" si="105"/>
        <v>82.454129916758561</v>
      </c>
      <c r="J828">
        <f t="shared" si="100"/>
        <v>202.82348364969698</v>
      </c>
      <c r="K828" s="27">
        <f t="shared" si="101"/>
        <v>2122.993293027017</v>
      </c>
    </row>
    <row r="829" spans="1:11">
      <c r="A829" s="26">
        <v>779</v>
      </c>
      <c r="B829" s="82">
        <f t="shared" si="102"/>
        <v>3.2921237647087764E-4</v>
      </c>
      <c r="C829" s="58">
        <f t="shared" si="98"/>
        <v>42.559051351358519</v>
      </c>
      <c r="D829" s="83">
        <f t="shared" si="103"/>
        <v>180.95237757927893</v>
      </c>
      <c r="E829">
        <f t="shared" si="99"/>
        <v>10.77969019054153</v>
      </c>
      <c r="G829">
        <v>779</v>
      </c>
      <c r="H829" s="13">
        <f t="shared" si="104"/>
        <v>5.1608656820917531E-2</v>
      </c>
      <c r="I829">
        <f t="shared" si="105"/>
        <v>82.505738573579478</v>
      </c>
      <c r="J829">
        <f t="shared" si="100"/>
        <v>202.81862219639686</v>
      </c>
      <c r="K829" s="27">
        <f t="shared" si="101"/>
        <v>2122.8908255043029</v>
      </c>
    </row>
    <row r="830" spans="1:11">
      <c r="A830" s="26">
        <v>780</v>
      </c>
      <c r="B830" s="82">
        <f t="shared" si="102"/>
        <v>3.2921237647087764E-4</v>
      </c>
      <c r="C830" s="58">
        <f t="shared" si="98"/>
        <v>42.55938056373499</v>
      </c>
      <c r="D830" s="83">
        <f t="shared" si="103"/>
        <v>180.95301839636588</v>
      </c>
      <c r="E830">
        <f t="shared" si="99"/>
        <v>10.779766538351716</v>
      </c>
      <c r="G830">
        <v>780</v>
      </c>
      <c r="H830" s="13">
        <f t="shared" si="104"/>
        <v>5.1608656820917531E-2</v>
      </c>
      <c r="I830">
        <f t="shared" si="105"/>
        <v>82.557347230400396</v>
      </c>
      <c r="J830">
        <f t="shared" si="100"/>
        <v>202.81369425363008</v>
      </c>
      <c r="K830" s="27">
        <f t="shared" si="101"/>
        <v>2122.7869683339854</v>
      </c>
    </row>
    <row r="831" spans="1:11">
      <c r="A831" s="26">
        <v>781</v>
      </c>
      <c r="B831" s="82">
        <f t="shared" si="102"/>
        <v>3.2921237647087764E-4</v>
      </c>
      <c r="C831" s="58">
        <f t="shared" si="98"/>
        <v>42.559709776111461</v>
      </c>
      <c r="D831" s="83">
        <f t="shared" si="103"/>
        <v>180.95365918547844</v>
      </c>
      <c r="E831">
        <f t="shared" si="99"/>
        <v>10.779842883099446</v>
      </c>
      <c r="G831">
        <v>781</v>
      </c>
      <c r="H831" s="13">
        <f t="shared" si="104"/>
        <v>5.1608656820917531E-2</v>
      </c>
      <c r="I831">
        <f t="shared" si="105"/>
        <v>82.608955887221313</v>
      </c>
      <c r="J831">
        <f t="shared" si="100"/>
        <v>202.80869979707097</v>
      </c>
      <c r="K831" s="27">
        <f t="shared" si="101"/>
        <v>2122.6817211054508</v>
      </c>
    </row>
    <row r="832" spans="1:11">
      <c r="A832" s="26">
        <v>782</v>
      </c>
      <c r="B832" s="82">
        <f t="shared" si="102"/>
        <v>3.2921237647087764E-4</v>
      </c>
      <c r="C832" s="58">
        <f t="shared" si="98"/>
        <v>42.560038988487932</v>
      </c>
      <c r="D832" s="83">
        <f t="shared" si="103"/>
        <v>180.9542999466195</v>
      </c>
      <c r="E832">
        <f t="shared" si="99"/>
        <v>10.779919224785031</v>
      </c>
      <c r="G832">
        <v>782</v>
      </c>
      <c r="H832" s="13">
        <f t="shared" si="104"/>
        <v>5.1608656820917531E-2</v>
      </c>
      <c r="I832">
        <f t="shared" si="105"/>
        <v>82.660564544042231</v>
      </c>
      <c r="J832">
        <f t="shared" si="100"/>
        <v>202.8036388020534</v>
      </c>
      <c r="K832" s="27">
        <f t="shared" si="101"/>
        <v>2122.5750834023761</v>
      </c>
    </row>
    <row r="833" spans="1:11">
      <c r="A833" s="26">
        <v>783</v>
      </c>
      <c r="B833" s="82">
        <f t="shared" si="102"/>
        <v>3.2921237647087764E-4</v>
      </c>
      <c r="C833" s="58">
        <f t="shared" si="98"/>
        <v>42.560368200864403</v>
      </c>
      <c r="D833" s="83">
        <f t="shared" si="103"/>
        <v>180.95494067979197</v>
      </c>
      <c r="E833">
        <f t="shared" si="99"/>
        <v>10.779995563408777</v>
      </c>
      <c r="G833">
        <v>783</v>
      </c>
      <c r="H833" s="13">
        <f t="shared" si="104"/>
        <v>5.1608656820917531E-2</v>
      </c>
      <c r="I833">
        <f t="shared" si="105"/>
        <v>82.712173200863148</v>
      </c>
      <c r="J833">
        <f t="shared" si="100"/>
        <v>202.7985112435702</v>
      </c>
      <c r="K833" s="27">
        <f t="shared" si="101"/>
        <v>2122.4670548027148</v>
      </c>
    </row>
    <row r="834" spans="1:11">
      <c r="A834" s="26">
        <v>784</v>
      </c>
      <c r="B834" s="82">
        <f t="shared" si="102"/>
        <v>3.2921237647087764E-4</v>
      </c>
      <c r="C834" s="58">
        <f t="shared" si="98"/>
        <v>42.560697413240874</v>
      </c>
      <c r="D834" s="83">
        <f t="shared" si="103"/>
        <v>180.95558138499877</v>
      </c>
      <c r="E834">
        <f t="shared" si="99"/>
        <v>10.780071898971</v>
      </c>
      <c r="G834">
        <v>784</v>
      </c>
      <c r="H834" s="13">
        <f t="shared" si="104"/>
        <v>5.1608656820917531E-2</v>
      </c>
      <c r="I834">
        <f t="shared" si="105"/>
        <v>82.763781857684066</v>
      </c>
      <c r="J834">
        <f t="shared" si="100"/>
        <v>202.79331709627257</v>
      </c>
      <c r="K834" s="27">
        <f t="shared" si="101"/>
        <v>2122.3576348786873</v>
      </c>
    </row>
    <row r="835" spans="1:11">
      <c r="A835" s="26">
        <v>785</v>
      </c>
      <c r="B835" s="82">
        <f t="shared" si="102"/>
        <v>3.2921237647087764E-4</v>
      </c>
      <c r="C835" s="58">
        <f t="shared" si="98"/>
        <v>42.561026625617345</v>
      </c>
      <c r="D835" s="83">
        <f t="shared" si="103"/>
        <v>180.95622206224274</v>
      </c>
      <c r="E835">
        <f t="shared" si="99"/>
        <v>10.780148231471999</v>
      </c>
      <c r="G835">
        <v>785</v>
      </c>
      <c r="H835" s="13">
        <f t="shared" si="104"/>
        <v>5.1608656820917531E-2</v>
      </c>
      <c r="I835">
        <f t="shared" si="105"/>
        <v>82.815390514504983</v>
      </c>
      <c r="J835">
        <f t="shared" si="100"/>
        <v>202.78805633446927</v>
      </c>
      <c r="K835" s="27">
        <f t="shared" si="101"/>
        <v>2122.2468231967719</v>
      </c>
    </row>
    <row r="836" spans="1:11">
      <c r="A836" s="26">
        <v>786</v>
      </c>
      <c r="B836" s="82">
        <f t="shared" si="102"/>
        <v>3.2921237647087764E-4</v>
      </c>
      <c r="C836" s="58">
        <f t="shared" si="98"/>
        <v>42.561355837993815</v>
      </c>
      <c r="D836" s="83">
        <f t="shared" si="103"/>
        <v>180.95686271152681</v>
      </c>
      <c r="E836">
        <f t="shared" si="99"/>
        <v>10.780224560912096</v>
      </c>
      <c r="G836">
        <v>786</v>
      </c>
      <c r="H836" s="13">
        <f t="shared" si="104"/>
        <v>5.1608656820917531E-2</v>
      </c>
      <c r="I836">
        <f t="shared" si="105"/>
        <v>82.866999171325901</v>
      </c>
      <c r="J836">
        <f t="shared" si="100"/>
        <v>202.78272893212625</v>
      </c>
      <c r="K836" s="27">
        <f t="shared" si="101"/>
        <v>2122.1346193176914</v>
      </c>
    </row>
    <row r="837" spans="1:11">
      <c r="A837" s="26">
        <v>787</v>
      </c>
      <c r="B837" s="82">
        <f t="shared" si="102"/>
        <v>3.2921237647087764E-4</v>
      </c>
      <c r="C837" s="58">
        <f t="shared" si="98"/>
        <v>42.561685050370286</v>
      </c>
      <c r="D837" s="83">
        <f t="shared" si="103"/>
        <v>180.95750333285386</v>
      </c>
      <c r="E837">
        <f t="shared" si="99"/>
        <v>10.780300887291595</v>
      </c>
      <c r="G837">
        <v>787</v>
      </c>
      <c r="H837" s="13">
        <f t="shared" si="104"/>
        <v>5.1608656820917531E-2</v>
      </c>
      <c r="I837">
        <f t="shared" si="105"/>
        <v>82.918607828146818</v>
      </c>
      <c r="J837">
        <f t="shared" si="100"/>
        <v>202.7773348628657</v>
      </c>
      <c r="K837" s="27">
        <f t="shared" si="101"/>
        <v>2122.021022796403</v>
      </c>
    </row>
    <row r="838" spans="1:11">
      <c r="A838" s="26">
        <v>788</v>
      </c>
      <c r="B838" s="82">
        <f t="shared" si="102"/>
        <v>3.2921237647087764E-4</v>
      </c>
      <c r="C838" s="58">
        <f t="shared" si="98"/>
        <v>42.562014262746757</v>
      </c>
      <c r="D838" s="83">
        <f t="shared" si="103"/>
        <v>180.95814392622682</v>
      </c>
      <c r="E838">
        <f t="shared" si="99"/>
        <v>10.780377210610807</v>
      </c>
      <c r="G838">
        <v>788</v>
      </c>
      <c r="H838" s="13">
        <f t="shared" si="104"/>
        <v>5.1608656820917531E-2</v>
      </c>
      <c r="I838">
        <f t="shared" si="105"/>
        <v>82.970216484967736</v>
      </c>
      <c r="J838">
        <f t="shared" si="100"/>
        <v>202.77187409996563</v>
      </c>
      <c r="K838" s="27">
        <f t="shared" si="101"/>
        <v>2121.9060331820879</v>
      </c>
    </row>
    <row r="839" spans="1:11">
      <c r="A839" s="26">
        <v>789</v>
      </c>
      <c r="B839" s="82">
        <f t="shared" si="102"/>
        <v>3.2921237647087764E-4</v>
      </c>
      <c r="C839" s="58">
        <f t="shared" si="98"/>
        <v>42.562343475123228</v>
      </c>
      <c r="D839" s="83">
        <f t="shared" si="103"/>
        <v>180.95878449164854</v>
      </c>
      <c r="E839">
        <f t="shared" si="99"/>
        <v>10.780453530870036</v>
      </c>
      <c r="G839">
        <v>789</v>
      </c>
      <c r="H839" s="13">
        <f t="shared" si="104"/>
        <v>5.1608656820917531E-2</v>
      </c>
      <c r="I839">
        <f t="shared" si="105"/>
        <v>83.021825141788653</v>
      </c>
      <c r="J839">
        <f t="shared" si="100"/>
        <v>202.76634661635907</v>
      </c>
      <c r="K839" s="27">
        <f t="shared" si="101"/>
        <v>2121.7896500181409</v>
      </c>
    </row>
    <row r="840" spans="1:11">
      <c r="A840" s="26">
        <v>790</v>
      </c>
      <c r="B840" s="82">
        <f t="shared" si="102"/>
        <v>3.2921237647087764E-4</v>
      </c>
      <c r="C840" s="58">
        <f t="shared" si="98"/>
        <v>42.562672687499699</v>
      </c>
      <c r="D840" s="83">
        <f t="shared" si="103"/>
        <v>180.95942502912195</v>
      </c>
      <c r="E840">
        <f t="shared" si="99"/>
        <v>10.780529848069598</v>
      </c>
      <c r="G840">
        <v>790</v>
      </c>
      <c r="H840" s="13">
        <f t="shared" si="104"/>
        <v>5.1608656820917531E-2</v>
      </c>
      <c r="I840">
        <f t="shared" si="105"/>
        <v>83.073433798609571</v>
      </c>
      <c r="J840">
        <f t="shared" si="100"/>
        <v>202.76075238463343</v>
      </c>
      <c r="K840" s="27">
        <f t="shared" si="101"/>
        <v>2121.6718728421538</v>
      </c>
    </row>
    <row r="841" spans="1:11">
      <c r="A841" s="26">
        <v>791</v>
      </c>
      <c r="B841" s="82">
        <f t="shared" si="102"/>
        <v>3.2921237647087764E-4</v>
      </c>
      <c r="C841" s="58">
        <f t="shared" si="98"/>
        <v>42.56300189987617</v>
      </c>
      <c r="D841" s="83">
        <f t="shared" si="103"/>
        <v>180.96006553864993</v>
      </c>
      <c r="E841">
        <f t="shared" si="99"/>
        <v>10.780606162209798</v>
      </c>
      <c r="G841">
        <v>791</v>
      </c>
      <c r="H841" s="13">
        <f t="shared" si="104"/>
        <v>5.1608656820917531E-2</v>
      </c>
      <c r="I841">
        <f t="shared" si="105"/>
        <v>83.125042455430489</v>
      </c>
      <c r="J841">
        <f t="shared" si="100"/>
        <v>202.75509137702983</v>
      </c>
      <c r="K841" s="27">
        <f t="shared" si="101"/>
        <v>2121.5527011859112</v>
      </c>
    </row>
    <row r="842" spans="1:11">
      <c r="A842" s="26">
        <v>792</v>
      </c>
      <c r="B842" s="82">
        <f t="shared" si="102"/>
        <v>3.2921237647087764E-4</v>
      </c>
      <c r="C842" s="58">
        <f t="shared" si="98"/>
        <v>42.563331112252641</v>
      </c>
      <c r="D842" s="83">
        <f t="shared" si="103"/>
        <v>180.96070602023534</v>
      </c>
      <c r="E842">
        <f t="shared" si="99"/>
        <v>10.780682473290947</v>
      </c>
      <c r="G842">
        <v>792</v>
      </c>
      <c r="H842" s="13">
        <f t="shared" si="104"/>
        <v>5.1608656820917531E-2</v>
      </c>
      <c r="I842">
        <f t="shared" si="105"/>
        <v>83.176651112251406</v>
      </c>
      <c r="J842">
        <f t="shared" si="100"/>
        <v>202.74936356544228</v>
      </c>
      <c r="K842" s="27">
        <f t="shared" si="101"/>
        <v>2121.4321345753729</v>
      </c>
    </row>
    <row r="843" spans="1:11">
      <c r="A843" s="26">
        <v>793</v>
      </c>
      <c r="B843" s="82">
        <f t="shared" si="102"/>
        <v>3.2921237647087764E-4</v>
      </c>
      <c r="C843" s="58">
        <f t="shared" si="98"/>
        <v>42.563660324629112</v>
      </c>
      <c r="D843" s="83">
        <f t="shared" si="103"/>
        <v>180.96134647388112</v>
      </c>
      <c r="E843">
        <f t="shared" si="99"/>
        <v>10.780758781313358</v>
      </c>
      <c r="G843">
        <v>793</v>
      </c>
      <c r="H843" s="13">
        <f t="shared" si="104"/>
        <v>5.1608656820917531E-2</v>
      </c>
      <c r="I843">
        <f t="shared" si="105"/>
        <v>83.228259769072324</v>
      </c>
      <c r="J843">
        <f t="shared" si="100"/>
        <v>202.74356892141719</v>
      </c>
      <c r="K843" s="27">
        <f t="shared" si="101"/>
        <v>2121.3101725306633</v>
      </c>
    </row>
    <row r="844" spans="1:11">
      <c r="A844" s="26">
        <v>794</v>
      </c>
      <c r="B844" s="82">
        <f t="shared" si="102"/>
        <v>3.2921237647087764E-4</v>
      </c>
      <c r="C844" s="58">
        <f t="shared" si="98"/>
        <v>42.563989537005583</v>
      </c>
      <c r="D844" s="83">
        <f t="shared" si="103"/>
        <v>180.96198689959016</v>
      </c>
      <c r="E844">
        <f t="shared" si="99"/>
        <v>10.780835086277333</v>
      </c>
      <c r="G844">
        <v>794</v>
      </c>
      <c r="H844" s="13">
        <f t="shared" si="104"/>
        <v>5.1608656820917531E-2</v>
      </c>
      <c r="I844">
        <f t="shared" si="105"/>
        <v>83.279868425893241</v>
      </c>
      <c r="J844">
        <f t="shared" si="100"/>
        <v>202.7377074161524</v>
      </c>
      <c r="K844" s="27">
        <f t="shared" si="101"/>
        <v>2121.1868145660619</v>
      </c>
    </row>
    <row r="845" spans="1:11">
      <c r="A845" s="26">
        <v>795</v>
      </c>
      <c r="B845" s="82">
        <f t="shared" si="102"/>
        <v>3.2921237647087764E-4</v>
      </c>
      <c r="C845" s="58">
        <f t="shared" si="98"/>
        <v>42.564318749382053</v>
      </c>
      <c r="D845" s="83">
        <f t="shared" si="103"/>
        <v>180.96262729736534</v>
      </c>
      <c r="E845">
        <f t="shared" si="99"/>
        <v>10.780911388183187</v>
      </c>
      <c r="G845">
        <v>795</v>
      </c>
      <c r="H845" s="13">
        <f t="shared" si="104"/>
        <v>5.1608656820917531E-2</v>
      </c>
      <c r="I845">
        <f t="shared" si="105"/>
        <v>83.331477082714159</v>
      </c>
      <c r="J845">
        <f t="shared" si="100"/>
        <v>202.73177902049673</v>
      </c>
      <c r="K845" s="27">
        <f t="shared" si="101"/>
        <v>2121.0620601899877</v>
      </c>
    </row>
    <row r="846" spans="1:11">
      <c r="A846" s="26">
        <v>796</v>
      </c>
      <c r="B846" s="82">
        <f t="shared" si="102"/>
        <v>3.2921237647087764E-4</v>
      </c>
      <c r="C846" s="58">
        <f t="shared" si="98"/>
        <v>42.564647961758524</v>
      </c>
      <c r="D846" s="83">
        <f t="shared" si="103"/>
        <v>180.96326766720952</v>
      </c>
      <c r="E846">
        <f t="shared" si="99"/>
        <v>10.780987687031226</v>
      </c>
      <c r="G846">
        <v>796</v>
      </c>
      <c r="H846" s="13">
        <f t="shared" si="104"/>
        <v>5.1608656820917531E-2</v>
      </c>
      <c r="I846">
        <f t="shared" si="105"/>
        <v>83.383085739535076</v>
      </c>
      <c r="J846">
        <f t="shared" si="100"/>
        <v>202.72578370494892</v>
      </c>
      <c r="K846" s="27">
        <f t="shared" si="101"/>
        <v>2120.9359089049881</v>
      </c>
    </row>
    <row r="847" spans="1:11">
      <c r="A847" s="26">
        <v>797</v>
      </c>
      <c r="B847" s="82">
        <f t="shared" si="102"/>
        <v>3.2921237647087764E-4</v>
      </c>
      <c r="C847" s="58">
        <f t="shared" si="98"/>
        <v>42.564977174134995</v>
      </c>
      <c r="D847" s="83">
        <f t="shared" si="103"/>
        <v>180.96390800912565</v>
      </c>
      <c r="E847">
        <f t="shared" si="99"/>
        <v>10.781063982821758</v>
      </c>
      <c r="G847">
        <v>797</v>
      </c>
      <c r="H847" s="13">
        <f t="shared" si="104"/>
        <v>5.1608656820917531E-2</v>
      </c>
      <c r="I847">
        <f t="shared" si="105"/>
        <v>83.434694396355994</v>
      </c>
      <c r="J847">
        <f t="shared" si="100"/>
        <v>202.71972143965715</v>
      </c>
      <c r="K847" s="27">
        <f t="shared" si="101"/>
        <v>2120.8083602077272</v>
      </c>
    </row>
    <row r="848" spans="1:11">
      <c r="A848" s="26">
        <v>798</v>
      </c>
      <c r="B848" s="82">
        <f t="shared" si="102"/>
        <v>3.2921237647087764E-4</v>
      </c>
      <c r="C848" s="58">
        <f t="shared" ref="C848:C911" si="106">($C$37-$C$36)/2000+C847</f>
        <v>42.565306386511466</v>
      </c>
      <c r="D848" s="83">
        <f t="shared" si="103"/>
        <v>180.96454832311656</v>
      </c>
      <c r="E848">
        <f t="shared" si="99"/>
        <v>10.781140275555098</v>
      </c>
      <c r="G848">
        <v>798</v>
      </c>
      <c r="H848" s="13">
        <f t="shared" si="104"/>
        <v>5.1608656820917531E-2</v>
      </c>
      <c r="I848">
        <f t="shared" si="105"/>
        <v>83.486303053176911</v>
      </c>
      <c r="J848">
        <f t="shared" si="100"/>
        <v>202.71359219441823</v>
      </c>
      <c r="K848" s="27">
        <f t="shared" si="101"/>
        <v>2120.6794135889704</v>
      </c>
    </row>
    <row r="849" spans="1:11">
      <c r="A849" s="26">
        <v>799</v>
      </c>
      <c r="B849" s="82">
        <f t="shared" si="102"/>
        <v>3.2921237647087764E-4</v>
      </c>
      <c r="C849" s="58">
        <f t="shared" si="106"/>
        <v>42.565635598887937</v>
      </c>
      <c r="D849" s="83">
        <f t="shared" si="103"/>
        <v>180.96518860918519</v>
      </c>
      <c r="E849">
        <f t="shared" si="99"/>
        <v>10.781216565231551</v>
      </c>
      <c r="G849">
        <v>799</v>
      </c>
      <c r="H849" s="13">
        <f t="shared" si="104"/>
        <v>5.1608656820917531E-2</v>
      </c>
      <c r="I849">
        <f t="shared" si="105"/>
        <v>83.537911709997829</v>
      </c>
      <c r="J849">
        <f t="shared" si="100"/>
        <v>202.70739593867665</v>
      </c>
      <c r="K849" s="27">
        <f t="shared" si="101"/>
        <v>2120.5490685335753</v>
      </c>
    </row>
    <row r="850" spans="1:11">
      <c r="A850" s="26">
        <v>800</v>
      </c>
      <c r="B850" s="82">
        <f t="shared" si="102"/>
        <v>3.2921237647087764E-4</v>
      </c>
      <c r="C850" s="58">
        <f t="shared" si="106"/>
        <v>42.565964811264408</v>
      </c>
      <c r="D850" s="83">
        <f t="shared" si="103"/>
        <v>180.96582886733441</v>
      </c>
      <c r="E850">
        <f t="shared" si="99"/>
        <v>10.781292851851424</v>
      </c>
      <c r="G850">
        <v>800</v>
      </c>
      <c r="H850" s="13">
        <f t="shared" si="104"/>
        <v>5.1608656820917531E-2</v>
      </c>
      <c r="I850">
        <f t="shared" si="105"/>
        <v>83.589520366818746</v>
      </c>
      <c r="J850">
        <f t="shared" si="100"/>
        <v>202.70113264152411</v>
      </c>
      <c r="K850" s="27">
        <f t="shared" si="101"/>
        <v>2120.4173245204761</v>
      </c>
    </row>
    <row r="851" spans="1:11">
      <c r="A851" s="26">
        <v>801</v>
      </c>
      <c r="B851" s="82">
        <f t="shared" si="102"/>
        <v>3.2921237647087764E-4</v>
      </c>
      <c r="C851" s="58">
        <f t="shared" si="106"/>
        <v>42.566294023640879</v>
      </c>
      <c r="D851" s="83">
        <f t="shared" si="103"/>
        <v>180.96646909756709</v>
      </c>
      <c r="E851">
        <f t="shared" si="99"/>
        <v>10.781369135415028</v>
      </c>
      <c r="G851">
        <v>801</v>
      </c>
      <c r="H851" s="13">
        <f t="shared" si="104"/>
        <v>5.1608656820917531E-2</v>
      </c>
      <c r="I851">
        <f t="shared" si="105"/>
        <v>83.641129023639664</v>
      </c>
      <c r="J851">
        <f t="shared" si="100"/>
        <v>202.69480227169848</v>
      </c>
      <c r="K851" s="27">
        <f t="shared" si="101"/>
        <v>2120.2841810226687</v>
      </c>
    </row>
    <row r="852" spans="1:11">
      <c r="A852" s="26">
        <v>802</v>
      </c>
      <c r="B852" s="82">
        <f t="shared" si="102"/>
        <v>3.2921237647087764E-4</v>
      </c>
      <c r="C852" s="58">
        <f t="shared" si="106"/>
        <v>42.56662323601735</v>
      </c>
      <c r="D852" s="83">
        <f t="shared" si="103"/>
        <v>180.96710929988615</v>
      </c>
      <c r="E852">
        <f t="shared" si="99"/>
        <v>10.78144541592267</v>
      </c>
      <c r="G852">
        <v>802</v>
      </c>
      <c r="H852" s="13">
        <f t="shared" si="104"/>
        <v>5.1608656820917531E-2</v>
      </c>
      <c r="I852">
        <f t="shared" si="105"/>
        <v>83.692737680460581</v>
      </c>
      <c r="J852">
        <f t="shared" si="100"/>
        <v>202.68840479758308</v>
      </c>
      <c r="K852" s="27">
        <f t="shared" si="101"/>
        <v>2120.1496375072024</v>
      </c>
    </row>
    <row r="853" spans="1:11">
      <c r="A853" s="26">
        <v>803</v>
      </c>
      <c r="B853" s="82">
        <f t="shared" si="102"/>
        <v>3.2921237647087764E-4</v>
      </c>
      <c r="C853" s="58">
        <f t="shared" si="106"/>
        <v>42.56695244839382</v>
      </c>
      <c r="D853" s="83">
        <f t="shared" si="103"/>
        <v>180.96774947429444</v>
      </c>
      <c r="E853">
        <f t="shared" si="99"/>
        <v>10.781521693374662</v>
      </c>
      <c r="G853">
        <v>803</v>
      </c>
      <c r="H853" s="13">
        <f t="shared" si="104"/>
        <v>5.1608656820917531E-2</v>
      </c>
      <c r="I853">
        <f t="shared" si="105"/>
        <v>83.744346337281499</v>
      </c>
      <c r="J853">
        <f t="shared" si="100"/>
        <v>202.6819401872059</v>
      </c>
      <c r="K853" s="27">
        <f t="shared" si="101"/>
        <v>2120.0136934351603</v>
      </c>
    </row>
    <row r="854" spans="1:11">
      <c r="A854" s="26">
        <v>804</v>
      </c>
      <c r="B854" s="82">
        <f t="shared" si="102"/>
        <v>3.2921237647087764E-4</v>
      </c>
      <c r="C854" s="58">
        <f t="shared" si="106"/>
        <v>42.567281660770291</v>
      </c>
      <c r="D854" s="83">
        <f t="shared" si="103"/>
        <v>180.96838962079488</v>
      </c>
      <c r="E854">
        <f t="shared" si="99"/>
        <v>10.78159796777131</v>
      </c>
      <c r="G854">
        <v>804</v>
      </c>
      <c r="H854" s="13">
        <f t="shared" si="104"/>
        <v>5.1608656820917531E-2</v>
      </c>
      <c r="I854">
        <f t="shared" si="105"/>
        <v>83.795954994102416</v>
      </c>
      <c r="J854">
        <f t="shared" si="100"/>
        <v>202.67540840823887</v>
      </c>
      <c r="K854" s="27">
        <f t="shared" si="101"/>
        <v>2119.8763482616505</v>
      </c>
    </row>
    <row r="855" spans="1:11">
      <c r="A855" s="26">
        <v>805</v>
      </c>
      <c r="B855" s="82">
        <f t="shared" si="102"/>
        <v>3.2921237647087764E-4</v>
      </c>
      <c r="C855" s="58">
        <f t="shared" si="106"/>
        <v>42.567610873146762</v>
      </c>
      <c r="D855" s="83">
        <f t="shared" si="103"/>
        <v>180.96902973939035</v>
      </c>
      <c r="E855">
        <f t="shared" si="99"/>
        <v>10.781674239112926</v>
      </c>
      <c r="G855">
        <v>805</v>
      </c>
      <c r="H855" s="13">
        <f t="shared" si="104"/>
        <v>5.1608656820917531E-2</v>
      </c>
      <c r="I855">
        <f t="shared" si="105"/>
        <v>83.847563650923334</v>
      </c>
      <c r="J855">
        <f t="shared" si="100"/>
        <v>202.66880942799676</v>
      </c>
      <c r="K855" s="27">
        <f t="shared" si="101"/>
        <v>2119.7376014357901</v>
      </c>
    </row>
    <row r="856" spans="1:11">
      <c r="A856" s="26">
        <v>806</v>
      </c>
      <c r="B856" s="82">
        <f t="shared" si="102"/>
        <v>3.2921237647087764E-4</v>
      </c>
      <c r="C856" s="58">
        <f t="shared" si="106"/>
        <v>42.567940085523233</v>
      </c>
      <c r="D856" s="83">
        <f t="shared" si="103"/>
        <v>180.96966983008372</v>
      </c>
      <c r="E856">
        <f t="shared" si="99"/>
        <v>10.781750507399812</v>
      </c>
      <c r="G856">
        <v>806</v>
      </c>
      <c r="H856" s="13">
        <f t="shared" si="104"/>
        <v>5.1608656820917531E-2</v>
      </c>
      <c r="I856">
        <f t="shared" si="105"/>
        <v>83.899172307744251</v>
      </c>
      <c r="J856">
        <f t="shared" si="100"/>
        <v>202.66214321343671</v>
      </c>
      <c r="K856" s="27">
        <f t="shared" si="101"/>
        <v>2119.5974524006911</v>
      </c>
    </row>
    <row r="857" spans="1:11">
      <c r="A857" s="26">
        <v>807</v>
      </c>
      <c r="B857" s="82">
        <f t="shared" si="102"/>
        <v>3.2921237647087764E-4</v>
      </c>
      <c r="C857" s="58">
        <f t="shared" si="106"/>
        <v>42.568269297899704</v>
      </c>
      <c r="D857" s="83">
        <f t="shared" si="103"/>
        <v>180.97030989287788</v>
      </c>
      <c r="E857">
        <f t="shared" si="99"/>
        <v>10.781826772632281</v>
      </c>
      <c r="G857">
        <v>807</v>
      </c>
      <c r="H857" s="13">
        <f t="shared" si="104"/>
        <v>5.1608656820917531E-2</v>
      </c>
      <c r="I857">
        <f t="shared" si="105"/>
        <v>83.950780964565169</v>
      </c>
      <c r="J857">
        <f t="shared" si="100"/>
        <v>202.65540973115708</v>
      </c>
      <c r="K857" s="27">
        <f t="shared" si="101"/>
        <v>2119.4559005934448</v>
      </c>
    </row>
    <row r="858" spans="1:11">
      <c r="A858" s="26">
        <v>808</v>
      </c>
      <c r="B858" s="82">
        <f t="shared" si="102"/>
        <v>3.2921237647087764E-4</v>
      </c>
      <c r="C858" s="58">
        <f t="shared" si="106"/>
        <v>42.568598510276175</v>
      </c>
      <c r="D858" s="83">
        <f t="shared" si="103"/>
        <v>180.97094992777573</v>
      </c>
      <c r="E858">
        <f t="shared" si="99"/>
        <v>10.781903034810645</v>
      </c>
      <c r="G858">
        <v>808</v>
      </c>
      <c r="H858" s="13">
        <f t="shared" si="104"/>
        <v>5.1608656820917531E-2</v>
      </c>
      <c r="I858">
        <f t="shared" si="105"/>
        <v>84.002389621386087</v>
      </c>
      <c r="J858">
        <f t="shared" si="100"/>
        <v>202.64860894739678</v>
      </c>
      <c r="K858" s="27">
        <f t="shared" si="101"/>
        <v>2119.3129454451123</v>
      </c>
    </row>
    <row r="859" spans="1:11">
      <c r="A859" s="26">
        <v>809</v>
      </c>
      <c r="B859" s="82">
        <f t="shared" si="102"/>
        <v>3.2921237647087764E-4</v>
      </c>
      <c r="C859" s="58">
        <f t="shared" si="106"/>
        <v>42.568927722652646</v>
      </c>
      <c r="D859" s="83">
        <f t="shared" si="103"/>
        <v>180.97158993478016</v>
      </c>
      <c r="E859">
        <f t="shared" si="99"/>
        <v>10.781979293935207</v>
      </c>
      <c r="G859">
        <v>809</v>
      </c>
      <c r="H859" s="13">
        <f t="shared" si="104"/>
        <v>5.1608656820917531E-2</v>
      </c>
      <c r="I859">
        <f t="shared" si="105"/>
        <v>84.053998278207004</v>
      </c>
      <c r="J859">
        <f t="shared" si="100"/>
        <v>202.6417408280343</v>
      </c>
      <c r="K859" s="27">
        <f t="shared" si="101"/>
        <v>2119.1685863807024</v>
      </c>
    </row>
    <row r="860" spans="1:11">
      <c r="A860" s="26">
        <v>810</v>
      </c>
      <c r="B860" s="82">
        <f t="shared" si="102"/>
        <v>3.2921237647087764E-4</v>
      </c>
      <c r="C860" s="58">
        <f t="shared" si="106"/>
        <v>42.569256935029117</v>
      </c>
      <c r="D860" s="83">
        <f t="shared" si="103"/>
        <v>180.97222991389401</v>
      </c>
      <c r="E860">
        <f t="shared" si="99"/>
        <v>10.782055550006271</v>
      </c>
      <c r="G860">
        <v>810</v>
      </c>
      <c r="H860" s="13">
        <f t="shared" si="104"/>
        <v>5.1608656820917531E-2</v>
      </c>
      <c r="I860">
        <f t="shared" si="105"/>
        <v>84.105606935027922</v>
      </c>
      <c r="J860">
        <f t="shared" si="100"/>
        <v>202.63480533858686</v>
      </c>
      <c r="K860" s="27">
        <f t="shared" si="101"/>
        <v>2119.022822819164</v>
      </c>
    </row>
    <row r="861" spans="1:11">
      <c r="A861" s="26">
        <v>811</v>
      </c>
      <c r="B861" s="82">
        <f t="shared" si="102"/>
        <v>3.2921237647087764E-4</v>
      </c>
      <c r="C861" s="58">
        <f t="shared" si="106"/>
        <v>42.569586147405587</v>
      </c>
      <c r="D861" s="83">
        <f t="shared" si="103"/>
        <v>180.9728698651202</v>
      </c>
      <c r="E861">
        <f t="shared" si="99"/>
        <v>10.782131803024155</v>
      </c>
      <c r="G861">
        <v>811</v>
      </c>
      <c r="H861" s="13">
        <f t="shared" si="104"/>
        <v>5.1608656820917531E-2</v>
      </c>
      <c r="I861">
        <f t="shared" si="105"/>
        <v>84.157215591848839</v>
      </c>
      <c r="J861">
        <f t="shared" si="100"/>
        <v>202.62780244420961</v>
      </c>
      <c r="K861" s="27">
        <f t="shared" si="101"/>
        <v>2118.875654173366</v>
      </c>
    </row>
    <row r="862" spans="1:11">
      <c r="A862" s="26">
        <v>812</v>
      </c>
      <c r="B862" s="82">
        <f t="shared" si="102"/>
        <v>3.2921237647087764E-4</v>
      </c>
      <c r="C862" s="58">
        <f t="shared" si="106"/>
        <v>42.569915359782058</v>
      </c>
      <c r="D862" s="83">
        <f t="shared" si="103"/>
        <v>180.9735097884616</v>
      </c>
      <c r="E862">
        <f t="shared" si="99"/>
        <v>10.782208052989162</v>
      </c>
      <c r="G862">
        <v>812</v>
      </c>
      <c r="H862" s="13">
        <f t="shared" si="104"/>
        <v>5.1608656820917531E-2</v>
      </c>
      <c r="I862">
        <f t="shared" si="105"/>
        <v>84.208824248669757</v>
      </c>
      <c r="J862">
        <f t="shared" si="100"/>
        <v>202.62073210969459</v>
      </c>
      <c r="K862" s="27">
        <f t="shared" si="101"/>
        <v>2118.7270798500863</v>
      </c>
    </row>
    <row r="863" spans="1:11">
      <c r="A863" s="26">
        <v>813</v>
      </c>
      <c r="B863" s="82">
        <f t="shared" si="102"/>
        <v>3.2921237647087764E-4</v>
      </c>
      <c r="C863" s="58">
        <f t="shared" si="106"/>
        <v>42.570244572158529</v>
      </c>
      <c r="D863" s="83">
        <f t="shared" si="103"/>
        <v>180.9741496839211</v>
      </c>
      <c r="E863">
        <f t="shared" si="99"/>
        <v>10.782284299901603</v>
      </c>
      <c r="G863">
        <v>813</v>
      </c>
      <c r="H863" s="13">
        <f t="shared" si="104"/>
        <v>5.1608656820917531E-2</v>
      </c>
      <c r="I863">
        <f t="shared" si="105"/>
        <v>84.260432905490674</v>
      </c>
      <c r="J863">
        <f t="shared" si="100"/>
        <v>202.61359429946992</v>
      </c>
      <c r="K863" s="27">
        <f t="shared" si="101"/>
        <v>2118.5770992499924</v>
      </c>
    </row>
    <row r="864" spans="1:11">
      <c r="A864" s="26">
        <v>814</v>
      </c>
      <c r="B864" s="82">
        <f t="shared" si="102"/>
        <v>3.2921237647087764E-4</v>
      </c>
      <c r="C864" s="58">
        <f t="shared" si="106"/>
        <v>42.570573784535</v>
      </c>
      <c r="D864" s="83">
        <f t="shared" si="103"/>
        <v>180.97478955150157</v>
      </c>
      <c r="E864">
        <f t="shared" si="99"/>
        <v>10.782360543761783</v>
      </c>
      <c r="G864">
        <v>814</v>
      </c>
      <c r="H864" s="13">
        <f t="shared" si="104"/>
        <v>5.1608656820917531E-2</v>
      </c>
      <c r="I864">
        <f t="shared" si="105"/>
        <v>84.312041562311592</v>
      </c>
      <c r="J864">
        <f t="shared" si="100"/>
        <v>202.60638897759887</v>
      </c>
      <c r="K864" s="27">
        <f t="shared" si="101"/>
        <v>2118.4257117676302</v>
      </c>
    </row>
    <row r="865" spans="1:11">
      <c r="A865" s="26">
        <v>815</v>
      </c>
      <c r="B865" s="82">
        <f t="shared" si="102"/>
        <v>3.2921237647087764E-4</v>
      </c>
      <c r="C865" s="58">
        <f t="shared" si="106"/>
        <v>42.570902996911471</v>
      </c>
      <c r="D865" s="83">
        <f t="shared" si="103"/>
        <v>180.97542939120592</v>
      </c>
      <c r="E865">
        <f t="shared" si="99"/>
        <v>10.782436784570011</v>
      </c>
      <c r="G865">
        <v>815</v>
      </c>
      <c r="H865" s="13">
        <f t="shared" si="104"/>
        <v>5.1608656820917531E-2</v>
      </c>
      <c r="I865">
        <f t="shared" si="105"/>
        <v>84.363650219132509</v>
      </c>
      <c r="J865">
        <f t="shared" si="100"/>
        <v>202.59911610777894</v>
      </c>
      <c r="K865" s="27">
        <f t="shared" si="101"/>
        <v>2118.2729167914049</v>
      </c>
    </row>
    <row r="866" spans="1:11">
      <c r="A866" s="26">
        <v>816</v>
      </c>
      <c r="B866" s="82">
        <f t="shared" si="102"/>
        <v>3.2921237647087764E-4</v>
      </c>
      <c r="C866" s="58">
        <f t="shared" si="106"/>
        <v>42.571232209287942</v>
      </c>
      <c r="D866" s="83">
        <f t="shared" si="103"/>
        <v>180.97606920303699</v>
      </c>
      <c r="E866">
        <f t="shared" si="99"/>
        <v>10.782513022326595</v>
      </c>
      <c r="G866">
        <v>816</v>
      </c>
      <c r="H866" s="13">
        <f t="shared" si="104"/>
        <v>5.1608656820917531E-2</v>
      </c>
      <c r="I866">
        <f t="shared" si="105"/>
        <v>84.415258875953427</v>
      </c>
      <c r="J866">
        <f t="shared" si="100"/>
        <v>202.59177565334085</v>
      </c>
      <c r="K866" s="27">
        <f t="shared" si="101"/>
        <v>2118.1187137035658</v>
      </c>
    </row>
    <row r="867" spans="1:11">
      <c r="A867" s="26">
        <v>817</v>
      </c>
      <c r="B867" s="82">
        <f t="shared" si="102"/>
        <v>3.2921237647087764E-4</v>
      </c>
      <c r="C867" s="58">
        <f t="shared" si="106"/>
        <v>42.571561421664413</v>
      </c>
      <c r="D867" s="83">
        <f t="shared" si="103"/>
        <v>180.97670898699766</v>
      </c>
      <c r="E867">
        <f t="shared" si="99"/>
        <v>10.782589257031844</v>
      </c>
      <c r="G867">
        <v>817</v>
      </c>
      <c r="H867" s="13">
        <f t="shared" si="104"/>
        <v>5.1608656820917531E-2</v>
      </c>
      <c r="I867">
        <f t="shared" si="105"/>
        <v>84.466867532774344</v>
      </c>
      <c r="J867">
        <f t="shared" si="100"/>
        <v>202.58436757724766</v>
      </c>
      <c r="K867" s="27">
        <f t="shared" si="101"/>
        <v>2117.9631018801933</v>
      </c>
    </row>
    <row r="868" spans="1:11">
      <c r="A868" s="26">
        <v>818</v>
      </c>
      <c r="B868" s="82">
        <f t="shared" si="102"/>
        <v>3.2921237647087764E-4</v>
      </c>
      <c r="C868" s="58">
        <f t="shared" si="106"/>
        <v>42.571890634040884</v>
      </c>
      <c r="D868" s="83">
        <f t="shared" si="103"/>
        <v>180.97734874309086</v>
      </c>
      <c r="E868">
        <f t="shared" si="99"/>
        <v>10.782665488686064</v>
      </c>
      <c r="G868">
        <v>818</v>
      </c>
      <c r="H868" s="13">
        <f t="shared" si="104"/>
        <v>5.1608656820917531E-2</v>
      </c>
      <c r="I868">
        <f t="shared" si="105"/>
        <v>84.518476189595262</v>
      </c>
      <c r="J868">
        <f t="shared" si="100"/>
        <v>202.57689184209386</v>
      </c>
      <c r="K868" s="27">
        <f t="shared" si="101"/>
        <v>2117.8060806911776</v>
      </c>
    </row>
    <row r="869" spans="1:11">
      <c r="A869" s="26">
        <v>819</v>
      </c>
      <c r="B869" s="82">
        <f t="shared" si="102"/>
        <v>3.2921237647087764E-4</v>
      </c>
      <c r="C869" s="58">
        <f t="shared" si="106"/>
        <v>42.572219846417354</v>
      </c>
      <c r="D869" s="83">
        <f t="shared" si="103"/>
        <v>180.97798847131941</v>
      </c>
      <c r="E869">
        <f t="shared" si="99"/>
        <v>10.782741717289566</v>
      </c>
      <c r="G869">
        <v>819</v>
      </c>
      <c r="H869" s="13">
        <f t="shared" si="104"/>
        <v>5.1608656820917531E-2</v>
      </c>
      <c r="I869">
        <f t="shared" si="105"/>
        <v>84.570084846416179</v>
      </c>
      <c r="J869">
        <f t="shared" si="100"/>
        <v>202.56934841010423</v>
      </c>
      <c r="K869" s="27">
        <f t="shared" si="101"/>
        <v>2117.647649500208</v>
      </c>
    </row>
    <row r="870" spans="1:11">
      <c r="A870" s="26">
        <v>820</v>
      </c>
      <c r="B870" s="82">
        <f t="shared" si="102"/>
        <v>3.2921237647087764E-4</v>
      </c>
      <c r="C870" s="58">
        <f t="shared" si="106"/>
        <v>42.572549058793825</v>
      </c>
      <c r="D870" s="83">
        <f t="shared" si="103"/>
        <v>180.97862817168624</v>
      </c>
      <c r="E870">
        <f t="shared" si="99"/>
        <v>10.782817942842655</v>
      </c>
      <c r="G870">
        <v>820</v>
      </c>
      <c r="H870" s="13">
        <f t="shared" si="104"/>
        <v>5.1608656820917531E-2</v>
      </c>
      <c r="I870">
        <f t="shared" si="105"/>
        <v>84.621693503237097</v>
      </c>
      <c r="J870">
        <f t="shared" si="100"/>
        <v>202.56173724313308</v>
      </c>
      <c r="K870" s="27">
        <f t="shared" si="101"/>
        <v>2117.4878076647519</v>
      </c>
    </row>
    <row r="871" spans="1:11">
      <c r="A871" s="26">
        <v>821</v>
      </c>
      <c r="B871" s="82">
        <f t="shared" si="102"/>
        <v>3.2921237647087764E-4</v>
      </c>
      <c r="C871" s="58">
        <f t="shared" si="106"/>
        <v>42.572878271170296</v>
      </c>
      <c r="D871" s="83">
        <f t="shared" si="103"/>
        <v>180.9792678441942</v>
      </c>
      <c r="E871">
        <f t="shared" si="99"/>
        <v>10.782894165345638</v>
      </c>
      <c r="G871">
        <v>821</v>
      </c>
      <c r="H871" s="13">
        <f t="shared" si="104"/>
        <v>5.1608656820917531E-2</v>
      </c>
      <c r="I871">
        <f t="shared" si="105"/>
        <v>84.673302160058014</v>
      </c>
      <c r="J871">
        <f t="shared" si="100"/>
        <v>202.55405830266307</v>
      </c>
      <c r="K871" s="27">
        <f t="shared" si="101"/>
        <v>2117.32655453604</v>
      </c>
    </row>
    <row r="872" spans="1:11">
      <c r="A872" s="26">
        <v>822</v>
      </c>
      <c r="B872" s="82">
        <f t="shared" si="102"/>
        <v>3.2921237647087764E-4</v>
      </c>
      <c r="C872" s="58">
        <f t="shared" si="106"/>
        <v>42.573207483546767</v>
      </c>
      <c r="D872" s="83">
        <f t="shared" si="103"/>
        <v>180.97990748884615</v>
      </c>
      <c r="E872">
        <f t="shared" si="99"/>
        <v>10.782970384798823</v>
      </c>
      <c r="G872">
        <v>822</v>
      </c>
      <c r="H872" s="13">
        <f t="shared" si="104"/>
        <v>5.1608656820917531E-2</v>
      </c>
      <c r="I872">
        <f t="shared" si="105"/>
        <v>84.724910816878932</v>
      </c>
      <c r="J872">
        <f t="shared" si="100"/>
        <v>202.54631154980427</v>
      </c>
      <c r="K872" s="27">
        <f t="shared" si="101"/>
        <v>2117.1638894590496</v>
      </c>
    </row>
    <row r="873" spans="1:11">
      <c r="A873" s="26">
        <v>823</v>
      </c>
      <c r="B873" s="82">
        <f t="shared" si="102"/>
        <v>3.2921237647087764E-4</v>
      </c>
      <c r="C873" s="58">
        <f t="shared" si="106"/>
        <v>42.573536695923238</v>
      </c>
      <c r="D873" s="83">
        <f t="shared" si="103"/>
        <v>180.980547105645</v>
      </c>
      <c r="E873">
        <f t="shared" si="99"/>
        <v>10.783046601202521</v>
      </c>
      <c r="G873">
        <v>823</v>
      </c>
      <c r="H873" s="13">
        <f t="shared" si="104"/>
        <v>5.1608656820917531E-2</v>
      </c>
      <c r="I873">
        <f t="shared" si="105"/>
        <v>84.77651947369985</v>
      </c>
      <c r="J873">
        <f t="shared" si="100"/>
        <v>202.53849694529322</v>
      </c>
      <c r="K873" s="27">
        <f t="shared" si="101"/>
        <v>2116.9998117724858</v>
      </c>
    </row>
    <row r="874" spans="1:11">
      <c r="A874" s="26">
        <v>824</v>
      </c>
      <c r="B874" s="82">
        <f t="shared" si="102"/>
        <v>3.2921237647087764E-4</v>
      </c>
      <c r="C874" s="58">
        <f t="shared" si="106"/>
        <v>42.573865908299709</v>
      </c>
      <c r="D874" s="83">
        <f t="shared" si="103"/>
        <v>180.98118669459362</v>
      </c>
      <c r="E874">
        <f t="shared" si="99"/>
        <v>10.783122814557037</v>
      </c>
      <c r="G874">
        <v>824</v>
      </c>
      <c r="H874" s="13">
        <f t="shared" si="104"/>
        <v>5.1608656820917531E-2</v>
      </c>
      <c r="I874">
        <f t="shared" si="105"/>
        <v>84.828128130520767</v>
      </c>
      <c r="J874">
        <f t="shared" si="100"/>
        <v>202.53061444949179</v>
      </c>
      <c r="K874" s="27">
        <f t="shared" si="101"/>
        <v>2116.8343208087686</v>
      </c>
    </row>
    <row r="875" spans="1:11">
      <c r="A875" s="26">
        <v>825</v>
      </c>
      <c r="B875" s="82">
        <f t="shared" si="102"/>
        <v>3.2921237647087764E-4</v>
      </c>
      <c r="C875" s="58">
        <f t="shared" si="106"/>
        <v>42.57419512067618</v>
      </c>
      <c r="D875" s="83">
        <f t="shared" si="103"/>
        <v>180.98182625569487</v>
      </c>
      <c r="E875">
        <f t="shared" si="99"/>
        <v>10.783199024862677</v>
      </c>
      <c r="G875">
        <v>825</v>
      </c>
      <c r="H875" s="13">
        <f t="shared" si="104"/>
        <v>5.1608656820917531E-2</v>
      </c>
      <c r="I875">
        <f t="shared" si="105"/>
        <v>84.879736787341685</v>
      </c>
      <c r="J875">
        <f t="shared" si="100"/>
        <v>202.52266402238627</v>
      </c>
      <c r="K875" s="27">
        <f t="shared" si="101"/>
        <v>2116.6674158940091</v>
      </c>
    </row>
    <row r="876" spans="1:11">
      <c r="A876" s="26">
        <v>826</v>
      </c>
      <c r="B876" s="82">
        <f t="shared" si="102"/>
        <v>3.2921237647087764E-4</v>
      </c>
      <c r="C876" s="58">
        <f t="shared" si="106"/>
        <v>42.574524333052651</v>
      </c>
      <c r="D876" s="83">
        <f t="shared" si="103"/>
        <v>180.98246578895166</v>
      </c>
      <c r="E876">
        <f t="shared" si="99"/>
        <v>10.783275232119751</v>
      </c>
      <c r="G876">
        <v>826</v>
      </c>
      <c r="H876" s="13">
        <f t="shared" si="104"/>
        <v>5.1608656820917531E-2</v>
      </c>
      <c r="I876">
        <f t="shared" si="105"/>
        <v>84.931345444162602</v>
      </c>
      <c r="J876">
        <f t="shared" si="100"/>
        <v>202.5146456235862</v>
      </c>
      <c r="K876" s="27">
        <f t="shared" si="101"/>
        <v>2116.4990963479968</v>
      </c>
    </row>
    <row r="877" spans="1:11">
      <c r="A877" s="26">
        <v>827</v>
      </c>
      <c r="B877" s="82">
        <f t="shared" si="102"/>
        <v>3.2921237647087764E-4</v>
      </c>
      <c r="C877" s="58">
        <f t="shared" si="106"/>
        <v>42.574853545429121</v>
      </c>
      <c r="D877" s="83">
        <f t="shared" si="103"/>
        <v>180.98310529436679</v>
      </c>
      <c r="E877">
        <f t="shared" si="99"/>
        <v>10.783351436328566</v>
      </c>
      <c r="G877">
        <v>827</v>
      </c>
      <c r="H877" s="13">
        <f t="shared" si="104"/>
        <v>5.1608656820917531E-2</v>
      </c>
      <c r="I877">
        <f t="shared" si="105"/>
        <v>84.98295410098352</v>
      </c>
      <c r="J877">
        <f t="shared" si="100"/>
        <v>202.50655921232334</v>
      </c>
      <c r="K877" s="27">
        <f t="shared" si="101"/>
        <v>2116.3293614841791</v>
      </c>
    </row>
    <row r="878" spans="1:11">
      <c r="A878" s="26">
        <v>828</v>
      </c>
      <c r="B878" s="82">
        <f t="shared" si="102"/>
        <v>3.2921237647087764E-4</v>
      </c>
      <c r="C878" s="58">
        <f t="shared" si="106"/>
        <v>42.575182757805592</v>
      </c>
      <c r="D878" s="83">
        <f t="shared" si="103"/>
        <v>180.98374477194324</v>
      </c>
      <c r="E878">
        <f t="shared" si="99"/>
        <v>10.78342763748943</v>
      </c>
      <c r="G878">
        <v>828</v>
      </c>
      <c r="H878" s="13">
        <f t="shared" si="104"/>
        <v>5.1608656820917531E-2</v>
      </c>
      <c r="I878">
        <f t="shared" si="105"/>
        <v>85.034562757804437</v>
      </c>
      <c r="J878">
        <f t="shared" si="100"/>
        <v>202.49840474745068</v>
      </c>
      <c r="K878" s="27">
        <f t="shared" si="101"/>
        <v>2116.1582106096457</v>
      </c>
    </row>
    <row r="879" spans="1:11">
      <c r="A879" s="26">
        <v>829</v>
      </c>
      <c r="B879" s="82">
        <f t="shared" si="102"/>
        <v>3.2921237647087764E-4</v>
      </c>
      <c r="C879" s="58">
        <f t="shared" si="106"/>
        <v>42.575511970182063</v>
      </c>
      <c r="D879" s="83">
        <f t="shared" si="103"/>
        <v>180.9843842216838</v>
      </c>
      <c r="E879">
        <f t="shared" si="99"/>
        <v>10.783503835602643</v>
      </c>
      <c r="G879">
        <v>829</v>
      </c>
      <c r="H879" s="13">
        <f t="shared" si="104"/>
        <v>5.1608656820917531E-2</v>
      </c>
      <c r="I879">
        <f t="shared" si="105"/>
        <v>85.086171414625355</v>
      </c>
      <c r="J879">
        <f t="shared" si="100"/>
        <v>202.49018218744126</v>
      </c>
      <c r="K879" s="27">
        <f t="shared" si="101"/>
        <v>2115.9856430251089</v>
      </c>
    </row>
    <row r="880" spans="1:11">
      <c r="A880" s="26">
        <v>830</v>
      </c>
      <c r="B880" s="82">
        <f t="shared" si="102"/>
        <v>3.2921237647087764E-4</v>
      </c>
      <c r="C880" s="58">
        <f t="shared" si="106"/>
        <v>42.575841182558534</v>
      </c>
      <c r="D880" s="83">
        <f t="shared" si="103"/>
        <v>180.98502364359135</v>
      </c>
      <c r="E880">
        <f t="shared" si="99"/>
        <v>10.783580030668523</v>
      </c>
      <c r="G880">
        <v>830</v>
      </c>
      <c r="H880" s="13">
        <f t="shared" si="104"/>
        <v>5.1608656820917531E-2</v>
      </c>
      <c r="I880">
        <f t="shared" si="105"/>
        <v>85.137780071446272</v>
      </c>
      <c r="J880">
        <f t="shared" si="100"/>
        <v>202.48189149038723</v>
      </c>
      <c r="K880" s="27">
        <f t="shared" si="101"/>
        <v>2115.8116580248829</v>
      </c>
    </row>
    <row r="881" spans="1:11">
      <c r="A881" s="26">
        <v>831</v>
      </c>
      <c r="B881" s="82">
        <f t="shared" si="102"/>
        <v>3.2921237647087764E-4</v>
      </c>
      <c r="C881" s="58">
        <f t="shared" si="106"/>
        <v>42.576170394935005</v>
      </c>
      <c r="D881" s="83">
        <f t="shared" si="103"/>
        <v>180.98566303766881</v>
      </c>
      <c r="E881">
        <f t="shared" si="99"/>
        <v>10.78365622268737</v>
      </c>
      <c r="G881">
        <v>831</v>
      </c>
      <c r="H881" s="13">
        <f t="shared" si="104"/>
        <v>5.1608656820917531E-2</v>
      </c>
      <c r="I881">
        <f t="shared" si="105"/>
        <v>85.18938872826719</v>
      </c>
      <c r="J881">
        <f t="shared" si="100"/>
        <v>202.47353261399846</v>
      </c>
      <c r="K881" s="27">
        <f t="shared" si="101"/>
        <v>2115.6362548968709</v>
      </c>
    </row>
    <row r="882" spans="1:11">
      <c r="A882" s="26">
        <v>832</v>
      </c>
      <c r="B882" s="82">
        <f t="shared" si="102"/>
        <v>3.2921237647087764E-4</v>
      </c>
      <c r="C882" s="58">
        <f t="shared" si="106"/>
        <v>42.576499607311476</v>
      </c>
      <c r="D882" s="83">
        <f t="shared" si="103"/>
        <v>180.98630240391901</v>
      </c>
      <c r="E882">
        <f t="shared" si="99"/>
        <v>10.783732411659493</v>
      </c>
      <c r="G882">
        <v>832</v>
      </c>
      <c r="H882" s="13">
        <f t="shared" si="104"/>
        <v>5.1608656820917531E-2</v>
      </c>
      <c r="I882">
        <f t="shared" si="105"/>
        <v>85.240997385088107</v>
      </c>
      <c r="J882">
        <f t="shared" si="100"/>
        <v>202.46510551560181</v>
      </c>
      <c r="K882" s="27">
        <f t="shared" si="101"/>
        <v>2115.4594329225415</v>
      </c>
    </row>
    <row r="883" spans="1:11">
      <c r="A883" s="26">
        <v>833</v>
      </c>
      <c r="B883" s="82">
        <f t="shared" si="102"/>
        <v>3.2921237647087764E-4</v>
      </c>
      <c r="C883" s="58">
        <f t="shared" si="106"/>
        <v>42.576828819687947</v>
      </c>
      <c r="D883" s="83">
        <f t="shared" si="103"/>
        <v>180.98694174234487</v>
      </c>
      <c r="E883">
        <f t="shared" ref="E883:E946" si="107">((D883^2)+(D883*D884)+(D884^2))*B884/3</f>
        <v>10.783808597585201</v>
      </c>
      <c r="G883">
        <v>833</v>
      </c>
      <c r="H883" s="13">
        <f t="shared" si="104"/>
        <v>5.1608656820917531E-2</v>
      </c>
      <c r="I883">
        <f t="shared" si="105"/>
        <v>85.292606041909025</v>
      </c>
      <c r="J883">
        <f t="shared" ref="J883:J946" si="108">IF($G$28&lt;$C$14,0,((($C$11^2)-((I883-$C$13)^2))^0.5)+$C$16)</f>
        <v>202.4566101521396</v>
      </c>
      <c r="K883" s="27">
        <f t="shared" ref="K883:K946" si="109">((J883^2)+(J883*J884)+(J884^2))*H884/3</f>
        <v>2115.2811913769106</v>
      </c>
    </row>
    <row r="884" spans="1:11">
      <c r="A884" s="26">
        <v>834</v>
      </c>
      <c r="B884" s="82">
        <f t="shared" ref="B884:B947" si="110">C884-C883</f>
        <v>3.2921237647087764E-4</v>
      </c>
      <c r="C884" s="58">
        <f t="shared" si="106"/>
        <v>42.577158032064418</v>
      </c>
      <c r="D884" s="83">
        <f t="shared" ref="D884:D947" si="111">IF($G$28&lt;$C$14,0,((($C$11^2)-((C884-$C$13)^2))^0.5)+$C$16)</f>
        <v>180.9875810529492</v>
      </c>
      <c r="E884">
        <f t="shared" si="107"/>
        <v>10.783884780464803</v>
      </c>
      <c r="G884">
        <v>834</v>
      </c>
      <c r="H884" s="13">
        <f t="shared" ref="H884:H947" si="112">I884-I883</f>
        <v>5.1608656820917531E-2</v>
      </c>
      <c r="I884">
        <f t="shared" ref="I884:I947" si="113">($G$27-$C$14)/2000+I883</f>
        <v>85.344214698729942</v>
      </c>
      <c r="J884">
        <f t="shared" si="108"/>
        <v>202.44804648016884</v>
      </c>
      <c r="K884" s="27">
        <f t="shared" si="109"/>
        <v>2115.1015295285247</v>
      </c>
    </row>
    <row r="885" spans="1:11">
      <c r="A885" s="26">
        <v>835</v>
      </c>
      <c r="B885" s="82">
        <f t="shared" si="110"/>
        <v>3.2921237647087764E-4</v>
      </c>
      <c r="C885" s="58">
        <f t="shared" si="106"/>
        <v>42.577487244440889</v>
      </c>
      <c r="D885" s="83">
        <f t="shared" si="111"/>
        <v>180.98822033573492</v>
      </c>
      <c r="E885">
        <f t="shared" si="107"/>
        <v>10.783960960298598</v>
      </c>
      <c r="G885">
        <v>835</v>
      </c>
      <c r="H885" s="13">
        <f t="shared" si="112"/>
        <v>5.1608656820917531E-2</v>
      </c>
      <c r="I885">
        <f t="shared" si="113"/>
        <v>85.39582335555086</v>
      </c>
      <c r="J885">
        <f t="shared" si="108"/>
        <v>202.43941445585983</v>
      </c>
      <c r="K885" s="27">
        <f t="shared" si="109"/>
        <v>2114.9204466394376</v>
      </c>
    </row>
    <row r="886" spans="1:11">
      <c r="A886" s="26">
        <v>836</v>
      </c>
      <c r="B886" s="82">
        <f t="shared" si="110"/>
        <v>3.2921237647087764E-4</v>
      </c>
      <c r="C886" s="58">
        <f t="shared" si="106"/>
        <v>42.577816456817359</v>
      </c>
      <c r="D886" s="83">
        <f t="shared" si="111"/>
        <v>180.98885959070486</v>
      </c>
      <c r="E886">
        <f t="shared" si="107"/>
        <v>10.784037137086896</v>
      </c>
      <c r="G886">
        <v>836</v>
      </c>
      <c r="H886" s="13">
        <f t="shared" si="112"/>
        <v>5.1608656820917531E-2</v>
      </c>
      <c r="I886">
        <f t="shared" si="113"/>
        <v>85.447432012371777</v>
      </c>
      <c r="J886">
        <f t="shared" si="108"/>
        <v>202.43071403499508</v>
      </c>
      <c r="K886" s="27">
        <f t="shared" si="109"/>
        <v>2114.7379419651948</v>
      </c>
    </row>
    <row r="887" spans="1:11">
      <c r="A887" s="26">
        <v>837</v>
      </c>
      <c r="B887" s="82">
        <f t="shared" si="110"/>
        <v>3.2921237647087764E-4</v>
      </c>
      <c r="C887" s="58">
        <f t="shared" si="106"/>
        <v>42.57814566919383</v>
      </c>
      <c r="D887" s="83">
        <f t="shared" si="111"/>
        <v>180.98949881786191</v>
      </c>
      <c r="E887">
        <f t="shared" si="107"/>
        <v>10.784113310830008</v>
      </c>
      <c r="G887">
        <v>837</v>
      </c>
      <c r="H887" s="13">
        <f t="shared" si="112"/>
        <v>5.1608656820917531E-2</v>
      </c>
      <c r="I887">
        <f t="shared" si="113"/>
        <v>85.499040669192695</v>
      </c>
      <c r="J887">
        <f t="shared" si="108"/>
        <v>202.42194517296815</v>
      </c>
      <c r="K887" s="27">
        <f t="shared" si="109"/>
        <v>2114.5540147548109</v>
      </c>
    </row>
    <row r="888" spans="1:11">
      <c r="A888" s="26">
        <v>838</v>
      </c>
      <c r="B888" s="82">
        <f t="shared" si="110"/>
        <v>3.2921237647087764E-4</v>
      </c>
      <c r="C888" s="58">
        <f t="shared" si="106"/>
        <v>42.578474881570301</v>
      </c>
      <c r="D888" s="83">
        <f t="shared" si="111"/>
        <v>180.99013801720895</v>
      </c>
      <c r="E888">
        <f t="shared" si="107"/>
        <v>10.784189481528236</v>
      </c>
      <c r="G888">
        <v>838</v>
      </c>
      <c r="H888" s="13">
        <f t="shared" si="112"/>
        <v>5.1608656820917531E-2</v>
      </c>
      <c r="I888">
        <f t="shared" si="113"/>
        <v>85.550649326013612</v>
      </c>
      <c r="J888">
        <f t="shared" si="108"/>
        <v>202.41310782478249</v>
      </c>
      <c r="K888" s="27">
        <f t="shared" si="109"/>
        <v>2114.368664250751</v>
      </c>
    </row>
    <row r="889" spans="1:11">
      <c r="A889" s="26">
        <v>839</v>
      </c>
      <c r="B889" s="82">
        <f t="shared" si="110"/>
        <v>3.2921237647087764E-4</v>
      </c>
      <c r="C889" s="58">
        <f t="shared" si="106"/>
        <v>42.578804093946772</v>
      </c>
      <c r="D889" s="83">
        <f t="shared" si="111"/>
        <v>180.99077718874884</v>
      </c>
      <c r="E889">
        <f t="shared" si="107"/>
        <v>10.78426564918189</v>
      </c>
      <c r="G889">
        <v>839</v>
      </c>
      <c r="H889" s="13">
        <f t="shared" si="112"/>
        <v>5.1608656820917531E-2</v>
      </c>
      <c r="I889">
        <f t="shared" si="113"/>
        <v>85.60225798283453</v>
      </c>
      <c r="J889">
        <f t="shared" si="108"/>
        <v>202.40420194505012</v>
      </c>
      <c r="K889" s="27">
        <f t="shared" si="109"/>
        <v>2114.181889688909</v>
      </c>
    </row>
    <row r="890" spans="1:11">
      <c r="A890" s="26">
        <v>840</v>
      </c>
      <c r="B890" s="82">
        <f t="shared" si="110"/>
        <v>3.2921237647087764E-4</v>
      </c>
      <c r="C890" s="58">
        <f t="shared" si="106"/>
        <v>42.579133306323243</v>
      </c>
      <c r="D890" s="83">
        <f t="shared" si="111"/>
        <v>180.99141633248442</v>
      </c>
      <c r="E890">
        <f t="shared" si="107"/>
        <v>10.784341813791272</v>
      </c>
      <c r="G890">
        <v>840</v>
      </c>
      <c r="H890" s="13">
        <f t="shared" si="112"/>
        <v>5.1608656820917531E-2</v>
      </c>
      <c r="I890">
        <f t="shared" si="113"/>
        <v>85.653866639655448</v>
      </c>
      <c r="J890">
        <f t="shared" si="108"/>
        <v>202.39522748799055</v>
      </c>
      <c r="K890" s="27">
        <f t="shared" si="109"/>
        <v>2113.9936902985896</v>
      </c>
    </row>
    <row r="891" spans="1:11">
      <c r="A891" s="26">
        <v>841</v>
      </c>
      <c r="B891" s="82">
        <f t="shared" si="110"/>
        <v>3.2921237647087764E-4</v>
      </c>
      <c r="C891" s="58">
        <f t="shared" si="106"/>
        <v>42.579462518699714</v>
      </c>
      <c r="D891" s="83">
        <f t="shared" si="111"/>
        <v>180.9920554484186</v>
      </c>
      <c r="E891">
        <f t="shared" si="107"/>
        <v>10.784417975356694</v>
      </c>
      <c r="G891">
        <v>841</v>
      </c>
      <c r="H891" s="13">
        <f t="shared" si="112"/>
        <v>5.1608656820917531E-2</v>
      </c>
      <c r="I891">
        <f t="shared" si="113"/>
        <v>85.705475296476365</v>
      </c>
      <c r="J891">
        <f t="shared" si="108"/>
        <v>202.38618440742954</v>
      </c>
      <c r="K891" s="27">
        <f t="shared" si="109"/>
        <v>2113.8040653024868</v>
      </c>
    </row>
    <row r="892" spans="1:11">
      <c r="A892" s="26">
        <v>842</v>
      </c>
      <c r="B892" s="82">
        <f t="shared" si="110"/>
        <v>3.2921237647087764E-4</v>
      </c>
      <c r="C892" s="58">
        <f t="shared" si="106"/>
        <v>42.579791731076185</v>
      </c>
      <c r="D892" s="83">
        <f t="shared" si="111"/>
        <v>180.99269453655421</v>
      </c>
      <c r="E892">
        <f t="shared" si="107"/>
        <v>10.784494133878459</v>
      </c>
      <c r="G892">
        <v>842</v>
      </c>
      <c r="H892" s="13">
        <f t="shared" si="112"/>
        <v>5.1608656820917531E-2</v>
      </c>
      <c r="I892">
        <f t="shared" si="113"/>
        <v>85.757083953297283</v>
      </c>
      <c r="J892">
        <f t="shared" si="108"/>
        <v>202.37707265679782</v>
      </c>
      <c r="K892" s="27">
        <f t="shared" si="109"/>
        <v>2113.6130139166617</v>
      </c>
    </row>
    <row r="893" spans="1:11">
      <c r="A893" s="26">
        <v>843</v>
      </c>
      <c r="B893" s="82">
        <f t="shared" si="110"/>
        <v>3.2921237647087764E-4</v>
      </c>
      <c r="C893" s="58">
        <f t="shared" si="106"/>
        <v>42.580120943452656</v>
      </c>
      <c r="D893" s="83">
        <f t="shared" si="111"/>
        <v>180.99333359689416</v>
      </c>
      <c r="E893">
        <f t="shared" si="107"/>
        <v>10.784570289356877</v>
      </c>
      <c r="G893">
        <v>843</v>
      </c>
      <c r="H893" s="13">
        <f t="shared" si="112"/>
        <v>5.1608656820917531E-2</v>
      </c>
      <c r="I893">
        <f t="shared" si="113"/>
        <v>85.8086926101182</v>
      </c>
      <c r="J893">
        <f t="shared" si="108"/>
        <v>202.3678921891298</v>
      </c>
      <c r="K893" s="27">
        <f t="shared" si="109"/>
        <v>2113.4205353505222</v>
      </c>
    </row>
    <row r="894" spans="1:11">
      <c r="A894" s="26">
        <v>844</v>
      </c>
      <c r="B894" s="82">
        <f t="shared" si="110"/>
        <v>3.2921237647087764E-4</v>
      </c>
      <c r="C894" s="58">
        <f t="shared" si="106"/>
        <v>42.580450155829126</v>
      </c>
      <c r="D894" s="83">
        <f t="shared" si="111"/>
        <v>180.99397262944129</v>
      </c>
      <c r="E894">
        <f t="shared" si="107"/>
        <v>10.784646441792249</v>
      </c>
      <c r="G894">
        <v>844</v>
      </c>
      <c r="H894" s="13">
        <f t="shared" si="112"/>
        <v>5.1608656820917531E-2</v>
      </c>
      <c r="I894">
        <f t="shared" si="113"/>
        <v>85.860301266939118</v>
      </c>
      <c r="J894">
        <f t="shared" si="108"/>
        <v>202.35864295706244</v>
      </c>
      <c r="K894" s="27">
        <f t="shared" si="109"/>
        <v>2113.2266288068035</v>
      </c>
    </row>
    <row r="895" spans="1:11">
      <c r="A895" s="26">
        <v>845</v>
      </c>
      <c r="B895" s="82">
        <f t="shared" si="110"/>
        <v>3.2921237647087764E-4</v>
      </c>
      <c r="C895" s="58">
        <f t="shared" si="106"/>
        <v>42.580779368205597</v>
      </c>
      <c r="D895" s="83">
        <f t="shared" si="111"/>
        <v>180.99461163419846</v>
      </c>
      <c r="E895">
        <f t="shared" si="107"/>
        <v>10.784722591184888</v>
      </c>
      <c r="G895">
        <v>845</v>
      </c>
      <c r="H895" s="13">
        <f t="shared" si="112"/>
        <v>5.1608656820917531E-2</v>
      </c>
      <c r="I895">
        <f t="shared" si="113"/>
        <v>85.911909923760035</v>
      </c>
      <c r="J895">
        <f t="shared" si="108"/>
        <v>202.34932491283391</v>
      </c>
      <c r="K895" s="27">
        <f t="shared" si="109"/>
        <v>2113.0312934815452</v>
      </c>
    </row>
    <row r="896" spans="1:11">
      <c r="A896" s="26">
        <v>846</v>
      </c>
      <c r="B896" s="82">
        <f t="shared" si="110"/>
        <v>3.2921237647087764E-4</v>
      </c>
      <c r="C896" s="58">
        <f t="shared" si="106"/>
        <v>42.581108580582068</v>
      </c>
      <c r="D896" s="83">
        <f t="shared" si="111"/>
        <v>180.99525061116853</v>
      </c>
      <c r="E896">
        <f t="shared" si="107"/>
        <v>10.784798737535091</v>
      </c>
      <c r="G896">
        <v>846</v>
      </c>
      <c r="H896" s="13">
        <f t="shared" si="112"/>
        <v>5.1608656820917531E-2</v>
      </c>
      <c r="I896">
        <f t="shared" si="113"/>
        <v>85.963518580580953</v>
      </c>
      <c r="J896">
        <f t="shared" si="108"/>
        <v>202.33993800828227</v>
      </c>
      <c r="K896" s="27">
        <f t="shared" si="109"/>
        <v>2112.8345285640671</v>
      </c>
    </row>
    <row r="897" spans="1:11">
      <c r="A897" s="26">
        <v>847</v>
      </c>
      <c r="B897" s="82">
        <f t="shared" si="110"/>
        <v>3.2921237647087764E-4</v>
      </c>
      <c r="C897" s="58">
        <f t="shared" si="106"/>
        <v>42.581437792958539</v>
      </c>
      <c r="D897" s="83">
        <f t="shared" si="111"/>
        <v>180.99588956035439</v>
      </c>
      <c r="E897">
        <f t="shared" si="107"/>
        <v>10.784874880843176</v>
      </c>
      <c r="G897">
        <v>847</v>
      </c>
      <c r="H897" s="13">
        <f t="shared" si="112"/>
        <v>5.1608656820917531E-2</v>
      </c>
      <c r="I897">
        <f t="shared" si="113"/>
        <v>86.01512723740187</v>
      </c>
      <c r="J897">
        <f t="shared" si="108"/>
        <v>202.33048219484419</v>
      </c>
      <c r="K897" s="27">
        <f t="shared" si="109"/>
        <v>2112.6363332369542</v>
      </c>
    </row>
    <row r="898" spans="1:11">
      <c r="A898" s="26">
        <v>848</v>
      </c>
      <c r="B898" s="82">
        <f t="shared" si="110"/>
        <v>3.2921237647087764E-4</v>
      </c>
      <c r="C898" s="58">
        <f t="shared" si="106"/>
        <v>42.58176700533501</v>
      </c>
      <c r="D898" s="83">
        <f t="shared" si="111"/>
        <v>180.9965284817589</v>
      </c>
      <c r="E898">
        <f t="shared" si="107"/>
        <v>10.784951021109443</v>
      </c>
      <c r="G898">
        <v>848</v>
      </c>
      <c r="H898" s="13">
        <f t="shared" si="112"/>
        <v>5.1608656820917531E-2</v>
      </c>
      <c r="I898">
        <f t="shared" si="113"/>
        <v>86.066735894222788</v>
      </c>
      <c r="J898">
        <f t="shared" si="108"/>
        <v>202.32095742355378</v>
      </c>
      <c r="K898" s="27">
        <f t="shared" si="109"/>
        <v>2112.4367066760278</v>
      </c>
    </row>
    <row r="899" spans="1:11">
      <c r="A899" s="26">
        <v>849</v>
      </c>
      <c r="B899" s="82">
        <f t="shared" si="110"/>
        <v>3.2921237647087764E-4</v>
      </c>
      <c r="C899" s="58">
        <f t="shared" si="106"/>
        <v>42.582096217711481</v>
      </c>
      <c r="D899" s="83">
        <f t="shared" si="111"/>
        <v>180.99716737538489</v>
      </c>
      <c r="E899">
        <f t="shared" si="107"/>
        <v>10.785027158334195</v>
      </c>
      <c r="G899">
        <v>849</v>
      </c>
      <c r="H899" s="13">
        <f t="shared" si="112"/>
        <v>5.1608656820917531E-2</v>
      </c>
      <c r="I899">
        <f t="shared" si="113"/>
        <v>86.118344551043705</v>
      </c>
      <c r="J899">
        <f t="shared" si="108"/>
        <v>202.31136364504096</v>
      </c>
      <c r="K899" s="27">
        <f t="shared" si="109"/>
        <v>2112.2356480503258</v>
      </c>
    </row>
    <row r="900" spans="1:11">
      <c r="A900" s="26">
        <v>850</v>
      </c>
      <c r="B900" s="82">
        <f t="shared" si="110"/>
        <v>3.2921237647087764E-4</v>
      </c>
      <c r="C900" s="58">
        <f t="shared" si="106"/>
        <v>42.582425430087952</v>
      </c>
      <c r="D900" s="83">
        <f t="shared" si="111"/>
        <v>180.99780624123525</v>
      </c>
      <c r="E900">
        <f t="shared" si="107"/>
        <v>10.785103292517745</v>
      </c>
      <c r="G900">
        <v>850</v>
      </c>
      <c r="H900" s="13">
        <f t="shared" si="112"/>
        <v>5.1608656820917531E-2</v>
      </c>
      <c r="I900">
        <f t="shared" si="113"/>
        <v>86.169953207864623</v>
      </c>
      <c r="J900">
        <f t="shared" si="108"/>
        <v>202.30170080953047</v>
      </c>
      <c r="K900" s="27">
        <f t="shared" si="109"/>
        <v>2112.0331565220818</v>
      </c>
    </row>
    <row r="901" spans="1:11">
      <c r="A901" s="26">
        <v>851</v>
      </c>
      <c r="B901" s="82">
        <f t="shared" si="110"/>
        <v>3.2921237647087764E-4</v>
      </c>
      <c r="C901" s="58">
        <f t="shared" si="106"/>
        <v>42.582754642464423</v>
      </c>
      <c r="D901" s="83">
        <f t="shared" si="111"/>
        <v>180.99844507931286</v>
      </c>
      <c r="E901">
        <f t="shared" si="107"/>
        <v>10.785179423660393</v>
      </c>
      <c r="G901">
        <v>851</v>
      </c>
      <c r="H901" s="13">
        <f t="shared" si="112"/>
        <v>5.1608656820917531E-2</v>
      </c>
      <c r="I901">
        <f t="shared" si="113"/>
        <v>86.22156186468554</v>
      </c>
      <c r="J901">
        <f t="shared" si="108"/>
        <v>202.29196886684028</v>
      </c>
      <c r="K901" s="27">
        <f t="shared" si="109"/>
        <v>2111.8292312467001</v>
      </c>
    </row>
    <row r="902" spans="1:11">
      <c r="A902" s="26">
        <v>852</v>
      </c>
      <c r="B902" s="82">
        <f t="shared" si="110"/>
        <v>3.2921237647087764E-4</v>
      </c>
      <c r="C902" s="58">
        <f t="shared" si="106"/>
        <v>42.583083854840893</v>
      </c>
      <c r="D902" s="83">
        <f t="shared" si="111"/>
        <v>180.99908388962055</v>
      </c>
      <c r="E902">
        <f t="shared" si="107"/>
        <v>10.785255551762447</v>
      </c>
      <c r="G902">
        <v>852</v>
      </c>
      <c r="H902" s="13">
        <f t="shared" si="112"/>
        <v>5.1608656820917531E-2</v>
      </c>
      <c r="I902">
        <f t="shared" si="113"/>
        <v>86.273170521506458</v>
      </c>
      <c r="J902">
        <f t="shared" si="108"/>
        <v>202.28216776638033</v>
      </c>
      <c r="K902" s="27">
        <f t="shared" si="109"/>
        <v>2111.6238713727325</v>
      </c>
    </row>
    <row r="903" spans="1:11">
      <c r="A903" s="26">
        <v>853</v>
      </c>
      <c r="B903" s="82">
        <f t="shared" si="110"/>
        <v>3.2921237647087764E-4</v>
      </c>
      <c r="C903" s="58">
        <f t="shared" si="106"/>
        <v>42.583413067217364</v>
      </c>
      <c r="D903" s="83">
        <f t="shared" si="111"/>
        <v>180.99972267216117</v>
      </c>
      <c r="E903">
        <f t="shared" si="107"/>
        <v>10.785331676824214</v>
      </c>
      <c r="G903">
        <v>853</v>
      </c>
      <c r="H903" s="13">
        <f t="shared" si="112"/>
        <v>5.1608656820917531E-2</v>
      </c>
      <c r="I903">
        <f t="shared" si="113"/>
        <v>86.324779178327375</v>
      </c>
      <c r="J903">
        <f t="shared" si="108"/>
        <v>202.27229745715113</v>
      </c>
      <c r="K903" s="27">
        <f t="shared" si="109"/>
        <v>2111.4170760418583</v>
      </c>
    </row>
    <row r="904" spans="1:11">
      <c r="A904" s="26">
        <v>854</v>
      </c>
      <c r="B904" s="82">
        <f t="shared" si="110"/>
        <v>3.2921237647087764E-4</v>
      </c>
      <c r="C904" s="58">
        <f t="shared" si="106"/>
        <v>42.583742279593835</v>
      </c>
      <c r="D904" s="83">
        <f t="shared" si="111"/>
        <v>181.00036142693764</v>
      </c>
      <c r="E904">
        <f t="shared" si="107"/>
        <v>10.785407798846</v>
      </c>
      <c r="G904">
        <v>854</v>
      </c>
      <c r="H904" s="13">
        <f t="shared" si="112"/>
        <v>5.1608656820917531E-2</v>
      </c>
      <c r="I904">
        <f t="shared" si="113"/>
        <v>86.376387835148293</v>
      </c>
      <c r="J904">
        <f t="shared" si="108"/>
        <v>202.26235788774238</v>
      </c>
      <c r="K904" s="27">
        <f t="shared" si="109"/>
        <v>2111.208844388857</v>
      </c>
    </row>
    <row r="905" spans="1:11">
      <c r="A905" s="26">
        <v>855</v>
      </c>
      <c r="B905" s="82">
        <f t="shared" si="110"/>
        <v>3.2921237647087764E-4</v>
      </c>
      <c r="C905" s="58">
        <f t="shared" si="106"/>
        <v>42.584071491970306</v>
      </c>
      <c r="D905" s="83">
        <f t="shared" si="111"/>
        <v>181.00100015395276</v>
      </c>
      <c r="E905">
        <f t="shared" si="107"/>
        <v>10.785483917828111</v>
      </c>
      <c r="G905">
        <v>855</v>
      </c>
      <c r="H905" s="13">
        <f t="shared" si="112"/>
        <v>5.1608656820917531E-2</v>
      </c>
      <c r="I905">
        <f t="shared" si="113"/>
        <v>86.427996491969211</v>
      </c>
      <c r="J905">
        <f t="shared" si="108"/>
        <v>202.25234900633154</v>
      </c>
      <c r="K905" s="27">
        <f t="shared" si="109"/>
        <v>2110.9991755415867</v>
      </c>
    </row>
    <row r="906" spans="1:11">
      <c r="A906" s="26">
        <v>856</v>
      </c>
      <c r="B906" s="82">
        <f t="shared" si="110"/>
        <v>3.2921237647087764E-4</v>
      </c>
      <c r="C906" s="58">
        <f t="shared" si="106"/>
        <v>42.584400704346777</v>
      </c>
      <c r="D906" s="83">
        <f t="shared" si="111"/>
        <v>181.00163885320941</v>
      </c>
      <c r="E906">
        <f t="shared" si="107"/>
        <v>10.785560033770849</v>
      </c>
      <c r="G906">
        <v>856</v>
      </c>
      <c r="H906" s="13">
        <f t="shared" si="112"/>
        <v>5.1608656820917531E-2</v>
      </c>
      <c r="I906">
        <f t="shared" si="113"/>
        <v>86.479605148790128</v>
      </c>
      <c r="J906">
        <f t="shared" si="108"/>
        <v>202.24227076068252</v>
      </c>
      <c r="K906" s="27">
        <f t="shared" si="109"/>
        <v>2110.788068620961</v>
      </c>
    </row>
    <row r="907" spans="1:11">
      <c r="A907" s="26">
        <v>857</v>
      </c>
      <c r="B907" s="82">
        <f t="shared" si="110"/>
        <v>3.2921237647087764E-4</v>
      </c>
      <c r="C907" s="58">
        <f t="shared" si="106"/>
        <v>42.584729916723248</v>
      </c>
      <c r="D907" s="83">
        <f t="shared" si="111"/>
        <v>181.00227752471045</v>
      </c>
      <c r="E907">
        <f t="shared" si="107"/>
        <v>10.785636146674525</v>
      </c>
      <c r="G907">
        <v>857</v>
      </c>
      <c r="H907" s="13">
        <f t="shared" si="112"/>
        <v>5.1608656820917531E-2</v>
      </c>
      <c r="I907">
        <f t="shared" si="113"/>
        <v>86.531213805611046</v>
      </c>
      <c r="J907">
        <f t="shared" si="108"/>
        <v>202.23212309814403</v>
      </c>
      <c r="K907" s="27">
        <f t="shared" si="109"/>
        <v>2110.5755227409231</v>
      </c>
    </row>
    <row r="908" spans="1:11">
      <c r="A908" s="26">
        <v>858</v>
      </c>
      <c r="B908" s="82">
        <f t="shared" si="110"/>
        <v>3.2921237647087764E-4</v>
      </c>
      <c r="C908" s="58">
        <f t="shared" si="106"/>
        <v>42.585059129099719</v>
      </c>
      <c r="D908" s="83">
        <f t="shared" si="111"/>
        <v>181.00291616845877</v>
      </c>
      <c r="E908">
        <f t="shared" si="107"/>
        <v>10.785712256539442</v>
      </c>
      <c r="G908">
        <v>858</v>
      </c>
      <c r="H908" s="13">
        <f t="shared" si="112"/>
        <v>5.1608656820917531E-2</v>
      </c>
      <c r="I908">
        <f t="shared" si="113"/>
        <v>86.582822462431963</v>
      </c>
      <c r="J908">
        <f t="shared" si="108"/>
        <v>202.2219059656484</v>
      </c>
      <c r="K908" s="27">
        <f t="shared" si="109"/>
        <v>2110.3615370084221</v>
      </c>
    </row>
    <row r="909" spans="1:11">
      <c r="A909" s="26">
        <v>859</v>
      </c>
      <c r="B909" s="82">
        <f t="shared" si="110"/>
        <v>3.2921237647087764E-4</v>
      </c>
      <c r="C909" s="58">
        <f t="shared" si="106"/>
        <v>42.58538834147619</v>
      </c>
      <c r="D909" s="83">
        <f t="shared" si="111"/>
        <v>181.00355478445718</v>
      </c>
      <c r="E909">
        <f t="shared" si="107"/>
        <v>10.785788363365905</v>
      </c>
      <c r="G909">
        <v>859</v>
      </c>
      <c r="H909" s="13">
        <f t="shared" si="112"/>
        <v>5.1608656820917531E-2</v>
      </c>
      <c r="I909">
        <f t="shared" si="113"/>
        <v>86.634431119252881</v>
      </c>
      <c r="J909">
        <f t="shared" si="108"/>
        <v>202.21161930970999</v>
      </c>
      <c r="K909" s="27">
        <f t="shared" si="109"/>
        <v>2110.1461105233907</v>
      </c>
    </row>
    <row r="910" spans="1:11">
      <c r="A910" s="26">
        <v>860</v>
      </c>
      <c r="B910" s="82">
        <f t="shared" si="110"/>
        <v>3.2921237647087764E-4</v>
      </c>
      <c r="C910" s="58">
        <f t="shared" si="106"/>
        <v>42.58571755385266</v>
      </c>
      <c r="D910" s="83">
        <f t="shared" si="111"/>
        <v>181.00419337270853</v>
      </c>
      <c r="E910">
        <f t="shared" si="107"/>
        <v>10.785864467154221</v>
      </c>
      <c r="G910">
        <v>860</v>
      </c>
      <c r="H910" s="13">
        <f t="shared" si="112"/>
        <v>5.1608656820917531E-2</v>
      </c>
      <c r="I910">
        <f t="shared" si="113"/>
        <v>86.686039776073798</v>
      </c>
      <c r="J910">
        <f t="shared" si="108"/>
        <v>202.20126307642363</v>
      </c>
      <c r="K910" s="27">
        <f t="shared" si="109"/>
        <v>2109.9292423787156</v>
      </c>
    </row>
    <row r="911" spans="1:11">
      <c r="A911" s="26">
        <v>861</v>
      </c>
      <c r="B911" s="82">
        <f t="shared" si="110"/>
        <v>3.2921237647087764E-4</v>
      </c>
      <c r="C911" s="58">
        <f t="shared" si="106"/>
        <v>42.586046766229131</v>
      </c>
      <c r="D911" s="83">
        <f t="shared" si="111"/>
        <v>181.00483193321574</v>
      </c>
      <c r="E911">
        <f t="shared" si="107"/>
        <v>10.785940567904694</v>
      </c>
      <c r="G911">
        <v>861</v>
      </c>
      <c r="H911" s="13">
        <f t="shared" si="112"/>
        <v>5.1608656820917531E-2</v>
      </c>
      <c r="I911">
        <f t="shared" si="113"/>
        <v>86.737648432894716</v>
      </c>
      <c r="J911">
        <f t="shared" si="108"/>
        <v>202.19083721146333</v>
      </c>
      <c r="K911" s="27">
        <f t="shared" si="109"/>
        <v>2109.7109316602168</v>
      </c>
    </row>
    <row r="912" spans="1:11">
      <c r="A912" s="26">
        <v>862</v>
      </c>
      <c r="B912" s="82">
        <f t="shared" si="110"/>
        <v>3.2921237647087764E-4</v>
      </c>
      <c r="C912" s="58">
        <f t="shared" ref="C912:C975" si="114">($C$37-$C$36)/2000+C911</f>
        <v>42.586375978605602</v>
      </c>
      <c r="D912" s="83">
        <f t="shared" si="111"/>
        <v>181.0054704659816</v>
      </c>
      <c r="E912">
        <f t="shared" si="107"/>
        <v>10.78601666561763</v>
      </c>
      <c r="G912">
        <v>862</v>
      </c>
      <c r="H912" s="13">
        <f t="shared" si="112"/>
        <v>5.1608656820917531E-2</v>
      </c>
      <c r="I912">
        <f t="shared" si="113"/>
        <v>86.789257089715633</v>
      </c>
      <c r="J912">
        <f t="shared" si="108"/>
        <v>202.18034166008067</v>
      </c>
      <c r="K912" s="27">
        <f t="shared" si="109"/>
        <v>2109.4911774466223</v>
      </c>
    </row>
    <row r="913" spans="1:11">
      <c r="A913" s="26">
        <v>863</v>
      </c>
      <c r="B913" s="82">
        <f t="shared" si="110"/>
        <v>3.2921237647087764E-4</v>
      </c>
      <c r="C913" s="58">
        <f t="shared" si="114"/>
        <v>42.586705190982073</v>
      </c>
      <c r="D913" s="83">
        <f t="shared" si="111"/>
        <v>181.00610897100901</v>
      </c>
      <c r="E913">
        <f t="shared" si="107"/>
        <v>10.786092760293336</v>
      </c>
      <c r="G913">
        <v>863</v>
      </c>
      <c r="H913" s="13">
        <f t="shared" si="112"/>
        <v>5.1608656820917531E-2</v>
      </c>
      <c r="I913">
        <f t="shared" si="113"/>
        <v>86.840865746536551</v>
      </c>
      <c r="J913">
        <f t="shared" si="108"/>
        <v>202.16977636710328</v>
      </c>
      <c r="K913" s="27">
        <f t="shared" si="109"/>
        <v>2109.2699788095383</v>
      </c>
    </row>
    <row r="914" spans="1:11">
      <c r="A914" s="26">
        <v>864</v>
      </c>
      <c r="B914" s="82">
        <f t="shared" si="110"/>
        <v>3.2921237647087764E-4</v>
      </c>
      <c r="C914" s="58">
        <f t="shared" si="114"/>
        <v>42.587034403358544</v>
      </c>
      <c r="D914" s="83">
        <f t="shared" si="111"/>
        <v>181.00674744830081</v>
      </c>
      <c r="E914">
        <f t="shared" si="107"/>
        <v>10.786168851932116</v>
      </c>
      <c r="G914">
        <v>864</v>
      </c>
      <c r="H914" s="13">
        <f t="shared" si="112"/>
        <v>5.1608656820917531E-2</v>
      </c>
      <c r="I914">
        <f t="shared" si="113"/>
        <v>86.892474403357468</v>
      </c>
      <c r="J914">
        <f t="shared" si="108"/>
        <v>202.15914127693335</v>
      </c>
      <c r="K914" s="27">
        <f t="shared" si="109"/>
        <v>2109.0473348134278</v>
      </c>
    </row>
    <row r="915" spans="1:11">
      <c r="A915" s="26">
        <v>865</v>
      </c>
      <c r="B915" s="82">
        <f t="shared" si="110"/>
        <v>3.2921237647087764E-4</v>
      </c>
      <c r="C915" s="58">
        <f t="shared" si="114"/>
        <v>42.587363615735015</v>
      </c>
      <c r="D915" s="83">
        <f t="shared" si="111"/>
        <v>181.00738589785988</v>
      </c>
      <c r="E915">
        <f t="shared" si="107"/>
        <v>10.786244940534273</v>
      </c>
      <c r="G915">
        <v>865</v>
      </c>
      <c r="H915" s="13">
        <f t="shared" si="112"/>
        <v>5.1608656820917531E-2</v>
      </c>
      <c r="I915">
        <f t="shared" si="113"/>
        <v>86.944083060178386</v>
      </c>
      <c r="J915">
        <f t="shared" si="108"/>
        <v>202.14843633354607</v>
      </c>
      <c r="K915" s="27">
        <f t="shared" si="109"/>
        <v>2108.8232445155841</v>
      </c>
    </row>
    <row r="916" spans="1:11">
      <c r="A916" s="26">
        <v>866</v>
      </c>
      <c r="B916" s="82">
        <f t="shared" si="110"/>
        <v>3.2921237647087764E-4</v>
      </c>
      <c r="C916" s="58">
        <f t="shared" si="114"/>
        <v>42.587692828111486</v>
      </c>
      <c r="D916" s="83">
        <f t="shared" si="111"/>
        <v>181.00802431968901</v>
      </c>
      <c r="E916">
        <f t="shared" si="107"/>
        <v>10.786321026100113</v>
      </c>
      <c r="G916">
        <v>866</v>
      </c>
      <c r="H916" s="13">
        <f t="shared" si="112"/>
        <v>5.1608656820917531E-2</v>
      </c>
      <c r="I916">
        <f t="shared" si="113"/>
        <v>86.995691716999303</v>
      </c>
      <c r="J916">
        <f t="shared" si="108"/>
        <v>202.13766148048813</v>
      </c>
      <c r="K916" s="27">
        <f t="shared" si="109"/>
        <v>2108.5977069661044</v>
      </c>
    </row>
    <row r="917" spans="1:11">
      <c r="A917" s="26">
        <v>867</v>
      </c>
      <c r="B917" s="82">
        <f t="shared" si="110"/>
        <v>3.2921237647087764E-4</v>
      </c>
      <c r="C917" s="58">
        <f t="shared" si="114"/>
        <v>42.588022040487957</v>
      </c>
      <c r="D917" s="83">
        <f t="shared" si="111"/>
        <v>181.00866271379113</v>
      </c>
      <c r="E917">
        <f t="shared" si="107"/>
        <v>10.786397108629949</v>
      </c>
      <c r="G917">
        <v>867</v>
      </c>
      <c r="H917" s="13">
        <f t="shared" si="112"/>
        <v>5.1608656820917531E-2</v>
      </c>
      <c r="I917">
        <f t="shared" si="113"/>
        <v>87.047300373820221</v>
      </c>
      <c r="J917">
        <f t="shared" si="108"/>
        <v>202.12681666087602</v>
      </c>
      <c r="K917" s="27">
        <f t="shared" si="109"/>
        <v>2108.3707212078589</v>
      </c>
    </row>
    <row r="918" spans="1:11">
      <c r="A918" s="26">
        <v>868</v>
      </c>
      <c r="B918" s="82">
        <f t="shared" si="110"/>
        <v>3.2921237647087764E-4</v>
      </c>
      <c r="C918" s="58">
        <f t="shared" si="114"/>
        <v>42.588351252864427</v>
      </c>
      <c r="D918" s="83">
        <f t="shared" si="111"/>
        <v>181.00930108016905</v>
      </c>
      <c r="E918">
        <f t="shared" si="107"/>
        <v>10.786473188124077</v>
      </c>
      <c r="G918">
        <v>868</v>
      </c>
      <c r="H918" s="13">
        <f t="shared" si="112"/>
        <v>5.1608656820917531E-2</v>
      </c>
      <c r="I918">
        <f t="shared" si="113"/>
        <v>87.098909030641138</v>
      </c>
      <c r="J918">
        <f t="shared" si="108"/>
        <v>202.11590181739456</v>
      </c>
      <c r="K918" s="27">
        <f t="shared" si="109"/>
        <v>2108.1422862764725</v>
      </c>
    </row>
    <row r="919" spans="1:11">
      <c r="A919" s="26">
        <v>869</v>
      </c>
      <c r="B919" s="82">
        <f t="shared" si="110"/>
        <v>3.2921237647087764E-4</v>
      </c>
      <c r="C919" s="58">
        <f t="shared" si="114"/>
        <v>42.588680465240898</v>
      </c>
      <c r="D919" s="83">
        <f t="shared" si="111"/>
        <v>181.00993941882564</v>
      </c>
      <c r="E919">
        <f t="shared" si="107"/>
        <v>10.786549264582803</v>
      </c>
      <c r="G919">
        <v>869</v>
      </c>
      <c r="H919" s="13">
        <f t="shared" si="112"/>
        <v>5.1608656820917531E-2</v>
      </c>
      <c r="I919">
        <f t="shared" si="113"/>
        <v>87.150517687462056</v>
      </c>
      <c r="J919">
        <f t="shared" si="108"/>
        <v>202.10491689229528</v>
      </c>
      <c r="K919" s="27">
        <f t="shared" si="109"/>
        <v>2107.9124012002908</v>
      </c>
    </row>
    <row r="920" spans="1:11">
      <c r="A920" s="26">
        <v>870</v>
      </c>
      <c r="B920" s="82">
        <f t="shared" si="110"/>
        <v>3.2921237647087764E-4</v>
      </c>
      <c r="C920" s="58">
        <f t="shared" si="114"/>
        <v>42.589009677617369</v>
      </c>
      <c r="D920" s="83">
        <f t="shared" si="111"/>
        <v>181.01057772976372</v>
      </c>
      <c r="E920">
        <f t="shared" si="107"/>
        <v>10.786625338006436</v>
      </c>
      <c r="G920">
        <v>870</v>
      </c>
      <c r="H920" s="13">
        <f t="shared" si="112"/>
        <v>5.1608656820917531E-2</v>
      </c>
      <c r="I920">
        <f t="shared" si="113"/>
        <v>87.202126344282973</v>
      </c>
      <c r="J920">
        <f t="shared" si="108"/>
        <v>202.09386182739476</v>
      </c>
      <c r="K920" s="27">
        <f t="shared" si="109"/>
        <v>2107.6810650003545</v>
      </c>
    </row>
    <row r="921" spans="1:11">
      <c r="A921" s="26">
        <v>871</v>
      </c>
      <c r="B921" s="82">
        <f t="shared" si="110"/>
        <v>3.2921237647087764E-4</v>
      </c>
      <c r="C921" s="58">
        <f t="shared" si="114"/>
        <v>42.58933888999384</v>
      </c>
      <c r="D921" s="83">
        <f t="shared" si="111"/>
        <v>181.01121601298618</v>
      </c>
      <c r="E921">
        <f t="shared" si="107"/>
        <v>10.786701408395276</v>
      </c>
      <c r="G921">
        <v>871</v>
      </c>
      <c r="H921" s="13">
        <f t="shared" si="112"/>
        <v>5.1608656820917531E-2</v>
      </c>
      <c r="I921">
        <f t="shared" si="113"/>
        <v>87.253735001103891</v>
      </c>
      <c r="J921">
        <f t="shared" si="108"/>
        <v>202.08273656407309</v>
      </c>
      <c r="K921" s="27">
        <f t="shared" si="109"/>
        <v>2107.4482766903761</v>
      </c>
    </row>
    <row r="922" spans="1:11">
      <c r="A922" s="26">
        <v>872</v>
      </c>
      <c r="B922" s="82">
        <f t="shared" si="110"/>
        <v>3.2921237647087764E-4</v>
      </c>
      <c r="C922" s="58">
        <f t="shared" si="114"/>
        <v>42.589668102370311</v>
      </c>
      <c r="D922" s="83">
        <f t="shared" si="111"/>
        <v>181.01185426849588</v>
      </c>
      <c r="E922">
        <f t="shared" si="107"/>
        <v>10.786777475749632</v>
      </c>
      <c r="G922">
        <v>872</v>
      </c>
      <c r="H922" s="13">
        <f t="shared" si="112"/>
        <v>5.1608656820917531E-2</v>
      </c>
      <c r="I922">
        <f t="shared" si="113"/>
        <v>87.305343657924809</v>
      </c>
      <c r="J922">
        <f t="shared" si="108"/>
        <v>202.07154104327208</v>
      </c>
      <c r="K922" s="27">
        <f t="shared" si="109"/>
        <v>2107.214035276706</v>
      </c>
    </row>
    <row r="923" spans="1:11">
      <c r="A923" s="26">
        <v>873</v>
      </c>
      <c r="B923" s="82">
        <f t="shared" si="110"/>
        <v>3.2921237647087764E-4</v>
      </c>
      <c r="C923" s="58">
        <f t="shared" si="114"/>
        <v>42.589997314746782</v>
      </c>
      <c r="D923" s="83">
        <f t="shared" si="111"/>
        <v>181.01249249629561</v>
      </c>
      <c r="E923">
        <f t="shared" si="107"/>
        <v>10.786853540069808</v>
      </c>
      <c r="G923">
        <v>873</v>
      </c>
      <c r="H923" s="13">
        <f t="shared" si="112"/>
        <v>5.1608656820917531E-2</v>
      </c>
      <c r="I923">
        <f t="shared" si="113"/>
        <v>87.356952314745726</v>
      </c>
      <c r="J923">
        <f t="shared" si="108"/>
        <v>202.06027520549372</v>
      </c>
      <c r="K923" s="27">
        <f t="shared" si="109"/>
        <v>2106.9783397583087</v>
      </c>
    </row>
    <row r="924" spans="1:11">
      <c r="A924" s="26">
        <v>874</v>
      </c>
      <c r="B924" s="82">
        <f t="shared" si="110"/>
        <v>3.2921237647087764E-4</v>
      </c>
      <c r="C924" s="58">
        <f t="shared" si="114"/>
        <v>42.590326527123253</v>
      </c>
      <c r="D924" s="83">
        <f t="shared" si="111"/>
        <v>181.01313069638829</v>
      </c>
      <c r="E924">
        <f t="shared" si="107"/>
        <v>10.786929601356107</v>
      </c>
      <c r="G924">
        <v>874</v>
      </c>
      <c r="H924" s="13">
        <f t="shared" si="112"/>
        <v>5.1608656820917531E-2</v>
      </c>
      <c r="I924">
        <f t="shared" si="113"/>
        <v>87.408560971566644</v>
      </c>
      <c r="J924">
        <f t="shared" si="108"/>
        <v>202.04893899079849</v>
      </c>
      <c r="K924" s="27">
        <f t="shared" si="109"/>
        <v>2106.7411891267329</v>
      </c>
    </row>
    <row r="925" spans="1:11">
      <c r="A925" s="26">
        <v>875</v>
      </c>
      <c r="B925" s="82">
        <f t="shared" si="110"/>
        <v>3.2921237647087764E-4</v>
      </c>
      <c r="C925" s="58">
        <f t="shared" si="114"/>
        <v>42.590655739499724</v>
      </c>
      <c r="D925" s="83">
        <f t="shared" si="111"/>
        <v>181.01376886877671</v>
      </c>
      <c r="E925">
        <f t="shared" si="107"/>
        <v>10.787005659608836</v>
      </c>
      <c r="G925">
        <v>875</v>
      </c>
      <c r="H925" s="13">
        <f t="shared" si="112"/>
        <v>5.1608656820917531E-2</v>
      </c>
      <c r="I925">
        <f t="shared" si="113"/>
        <v>87.460169628387561</v>
      </c>
      <c r="J925">
        <f t="shared" si="108"/>
        <v>202.03753233880366</v>
      </c>
      <c r="K925" s="27">
        <f t="shared" si="109"/>
        <v>2106.5025823660849</v>
      </c>
    </row>
    <row r="926" spans="1:11">
      <c r="A926" s="26">
        <v>876</v>
      </c>
      <c r="B926" s="82">
        <f t="shared" si="110"/>
        <v>3.2921237647087764E-4</v>
      </c>
      <c r="C926" s="58">
        <f t="shared" si="114"/>
        <v>42.590984951876194</v>
      </c>
      <c r="D926" s="83">
        <f t="shared" si="111"/>
        <v>181.01440701346377</v>
      </c>
      <c r="E926">
        <f t="shared" si="107"/>
        <v>10.787081714828295</v>
      </c>
      <c r="G926">
        <v>876</v>
      </c>
      <c r="H926" s="13">
        <f t="shared" si="112"/>
        <v>5.1608656820917531E-2</v>
      </c>
      <c r="I926">
        <f t="shared" si="113"/>
        <v>87.511778285208479</v>
      </c>
      <c r="J926">
        <f t="shared" si="108"/>
        <v>202.02605518868151</v>
      </c>
      <c r="K926" s="27">
        <f t="shared" si="109"/>
        <v>2106.2625184529961</v>
      </c>
    </row>
    <row r="927" spans="1:11">
      <c r="A927" s="26">
        <v>877</v>
      </c>
      <c r="B927" s="82">
        <f t="shared" si="110"/>
        <v>3.2921237647087764E-4</v>
      </c>
      <c r="C927" s="58">
        <f t="shared" si="114"/>
        <v>42.591314164252665</v>
      </c>
      <c r="D927" s="83">
        <f t="shared" si="111"/>
        <v>181.01504513045228</v>
      </c>
      <c r="E927">
        <f t="shared" si="107"/>
        <v>10.787157767014795</v>
      </c>
      <c r="G927">
        <v>877</v>
      </c>
      <c r="H927" s="13">
        <f t="shared" si="112"/>
        <v>5.1608656820917531E-2</v>
      </c>
      <c r="I927">
        <f t="shared" si="113"/>
        <v>87.563386942029396</v>
      </c>
      <c r="J927">
        <f t="shared" si="108"/>
        <v>202.01450747915769</v>
      </c>
      <c r="K927" s="27">
        <f t="shared" si="109"/>
        <v>2106.0209963565972</v>
      </c>
    </row>
    <row r="928" spans="1:11">
      <c r="A928" s="26">
        <v>878</v>
      </c>
      <c r="B928" s="82">
        <f t="shared" si="110"/>
        <v>3.2921237647087764E-4</v>
      </c>
      <c r="C928" s="58">
        <f t="shared" si="114"/>
        <v>42.591643376629136</v>
      </c>
      <c r="D928" s="83">
        <f t="shared" si="111"/>
        <v>181.01568321974511</v>
      </c>
      <c r="E928">
        <f t="shared" si="107"/>
        <v>10.787233816168637</v>
      </c>
      <c r="G928">
        <v>878</v>
      </c>
      <c r="H928" s="13">
        <f t="shared" si="112"/>
        <v>5.1608656820917531E-2</v>
      </c>
      <c r="I928">
        <f t="shared" si="113"/>
        <v>87.614995598850314</v>
      </c>
      <c r="J928">
        <f t="shared" si="108"/>
        <v>202.0028891485095</v>
      </c>
      <c r="K928" s="27">
        <f t="shared" si="109"/>
        <v>2105.7780150384897</v>
      </c>
    </row>
    <row r="929" spans="1:11">
      <c r="A929" s="26">
        <v>879</v>
      </c>
      <c r="B929" s="82">
        <f t="shared" si="110"/>
        <v>3.2921237647087764E-4</v>
      </c>
      <c r="C929" s="58">
        <f t="shared" si="114"/>
        <v>42.591972589005607</v>
      </c>
      <c r="D929" s="83">
        <f t="shared" si="111"/>
        <v>181.01632128134514</v>
      </c>
      <c r="E929">
        <f t="shared" si="107"/>
        <v>10.787309862290128</v>
      </c>
      <c r="G929">
        <v>879</v>
      </c>
      <c r="H929" s="13">
        <f t="shared" si="112"/>
        <v>5.1608656820917531E-2</v>
      </c>
      <c r="I929">
        <f t="shared" si="113"/>
        <v>87.666604255671231</v>
      </c>
      <c r="J929">
        <f t="shared" si="108"/>
        <v>201.99120013456405</v>
      </c>
      <c r="K929" s="27">
        <f t="shared" si="109"/>
        <v>2105.5335734527125</v>
      </c>
    </row>
    <row r="930" spans="1:11">
      <c r="A930" s="26">
        <v>880</v>
      </c>
      <c r="B930" s="82">
        <f t="shared" si="110"/>
        <v>3.2921237647087764E-4</v>
      </c>
      <c r="C930" s="58">
        <f t="shared" si="114"/>
        <v>42.592301801382078</v>
      </c>
      <c r="D930" s="83">
        <f t="shared" si="111"/>
        <v>181.01695931525515</v>
      </c>
      <c r="E930">
        <f t="shared" si="107"/>
        <v>10.787385905379566</v>
      </c>
      <c r="G930">
        <v>880</v>
      </c>
      <c r="H930" s="13">
        <f t="shared" si="112"/>
        <v>5.1608656820917531E-2</v>
      </c>
      <c r="I930">
        <f t="shared" si="113"/>
        <v>87.718212912492149</v>
      </c>
      <c r="J930">
        <f t="shared" si="108"/>
        <v>201.97944037469657</v>
      </c>
      <c r="K930" s="27">
        <f t="shared" si="109"/>
        <v>2105.2876705457152</v>
      </c>
    </row>
    <row r="931" spans="1:11">
      <c r="A931" s="26">
        <v>881</v>
      </c>
      <c r="B931" s="82">
        <f t="shared" si="110"/>
        <v>3.2921237647087764E-4</v>
      </c>
      <c r="C931" s="58">
        <f t="shared" si="114"/>
        <v>42.592631013758549</v>
      </c>
      <c r="D931" s="83">
        <f t="shared" si="111"/>
        <v>181.01759732147801</v>
      </c>
      <c r="E931">
        <f t="shared" si="107"/>
        <v>10.787461945437263</v>
      </c>
      <c r="G931">
        <v>881</v>
      </c>
      <c r="H931" s="13">
        <f t="shared" si="112"/>
        <v>5.1608656820917531E-2</v>
      </c>
      <c r="I931">
        <f t="shared" si="113"/>
        <v>87.769821569313066</v>
      </c>
      <c r="J931">
        <f t="shared" si="108"/>
        <v>201.96760980582854</v>
      </c>
      <c r="K931" s="27">
        <f t="shared" si="109"/>
        <v>2105.0403052563274</v>
      </c>
    </row>
    <row r="932" spans="1:11">
      <c r="A932" s="26">
        <v>882</v>
      </c>
      <c r="B932" s="82">
        <f t="shared" si="110"/>
        <v>3.2921237647087764E-4</v>
      </c>
      <c r="C932" s="58">
        <f t="shared" si="114"/>
        <v>42.59296022613502</v>
      </c>
      <c r="D932" s="83">
        <f t="shared" si="111"/>
        <v>181.01823530001658</v>
      </c>
      <c r="E932">
        <f t="shared" si="107"/>
        <v>10.787537982463519</v>
      </c>
      <c r="G932">
        <v>882</v>
      </c>
      <c r="H932" s="13">
        <f t="shared" si="112"/>
        <v>5.1608656820917531E-2</v>
      </c>
      <c r="I932">
        <f t="shared" si="113"/>
        <v>87.821430226133984</v>
      </c>
      <c r="J932">
        <f t="shared" si="108"/>
        <v>201.95570836442596</v>
      </c>
      <c r="K932" s="27">
        <f t="shared" si="109"/>
        <v>2104.7914765157279</v>
      </c>
    </row>
    <row r="933" spans="1:11">
      <c r="A933" s="26">
        <v>883</v>
      </c>
      <c r="B933" s="82">
        <f t="shared" si="110"/>
        <v>3.2921237647087764E-4</v>
      </c>
      <c r="C933" s="58">
        <f t="shared" si="114"/>
        <v>42.593289438511491</v>
      </c>
      <c r="D933" s="83">
        <f t="shared" si="111"/>
        <v>181.0188732508737</v>
      </c>
      <c r="E933">
        <f t="shared" si="107"/>
        <v>10.787614016458638</v>
      </c>
      <c r="G933">
        <v>883</v>
      </c>
      <c r="H933" s="13">
        <f t="shared" si="112"/>
        <v>5.1608656820917531E-2</v>
      </c>
      <c r="I933">
        <f t="shared" si="113"/>
        <v>87.873038882954901</v>
      </c>
      <c r="J933">
        <f t="shared" si="108"/>
        <v>201.94373598649756</v>
      </c>
      <c r="K933" s="27">
        <f t="shared" si="109"/>
        <v>2104.5411832474133</v>
      </c>
    </row>
    <row r="934" spans="1:11">
      <c r="A934" s="26">
        <v>884</v>
      </c>
      <c r="B934" s="82">
        <f t="shared" si="110"/>
        <v>3.2921237647087764E-4</v>
      </c>
      <c r="C934" s="58">
        <f t="shared" si="114"/>
        <v>42.593618650887962</v>
      </c>
      <c r="D934" s="83">
        <f t="shared" si="111"/>
        <v>181.01951117405224</v>
      </c>
      <c r="E934">
        <f t="shared" si="107"/>
        <v>10.787690047422929</v>
      </c>
      <c r="G934">
        <v>884</v>
      </c>
      <c r="H934" s="13">
        <f t="shared" si="112"/>
        <v>5.1608656820917531E-2</v>
      </c>
      <c r="I934">
        <f t="shared" si="113"/>
        <v>87.924647539775819</v>
      </c>
      <c r="J934">
        <f t="shared" si="108"/>
        <v>201.93169260759279</v>
      </c>
      <c r="K934" s="27">
        <f t="shared" si="109"/>
        <v>2104.2894243671694</v>
      </c>
    </row>
    <row r="935" spans="1:11">
      <c r="A935" s="26">
        <v>885</v>
      </c>
      <c r="B935" s="82">
        <f t="shared" si="110"/>
        <v>3.2921237647087764E-4</v>
      </c>
      <c r="C935" s="58">
        <f t="shared" si="114"/>
        <v>42.593947863264432</v>
      </c>
      <c r="D935" s="83">
        <f t="shared" si="111"/>
        <v>181.020149069555</v>
      </c>
      <c r="E935">
        <f t="shared" si="107"/>
        <v>10.787766075356691</v>
      </c>
      <c r="G935">
        <v>885</v>
      </c>
      <c r="H935" s="13">
        <f t="shared" si="112"/>
        <v>5.1608656820917531E-2</v>
      </c>
      <c r="I935">
        <f t="shared" si="113"/>
        <v>87.976256196596736</v>
      </c>
      <c r="J935">
        <f t="shared" si="108"/>
        <v>201.91957816280018</v>
      </c>
      <c r="K935" s="27">
        <f t="shared" si="109"/>
        <v>2104.036198783037</v>
      </c>
    </row>
    <row r="936" spans="1:11">
      <c r="A936" s="26">
        <v>886</v>
      </c>
      <c r="B936" s="82">
        <f t="shared" si="110"/>
        <v>3.2921237647087764E-4</v>
      </c>
      <c r="C936" s="58">
        <f t="shared" si="114"/>
        <v>42.594277075640903</v>
      </c>
      <c r="D936" s="83">
        <f t="shared" si="111"/>
        <v>181.02078693738483</v>
      </c>
      <c r="E936">
        <f t="shared" si="107"/>
        <v>10.78784210026023</v>
      </c>
      <c r="G936">
        <v>886</v>
      </c>
      <c r="H936" s="13">
        <f t="shared" si="112"/>
        <v>5.1608656820917531E-2</v>
      </c>
      <c r="I936">
        <f t="shared" si="113"/>
        <v>88.027864853417654</v>
      </c>
      <c r="J936">
        <f t="shared" si="108"/>
        <v>201.90739258674535</v>
      </c>
      <c r="K936" s="27">
        <f t="shared" si="109"/>
        <v>2103.7815053952841</v>
      </c>
    </row>
    <row r="937" spans="1:11">
      <c r="A937" s="26">
        <v>887</v>
      </c>
      <c r="B937" s="82">
        <f t="shared" si="110"/>
        <v>3.2921237647087764E-4</v>
      </c>
      <c r="C937" s="58">
        <f t="shared" si="114"/>
        <v>42.594606288017374</v>
      </c>
      <c r="D937" s="83">
        <f t="shared" si="111"/>
        <v>181.02142477754461</v>
      </c>
      <c r="E937">
        <f t="shared" si="107"/>
        <v>10.787918122133853</v>
      </c>
      <c r="G937">
        <v>887</v>
      </c>
      <c r="H937" s="13">
        <f t="shared" si="112"/>
        <v>5.1608656820917531E-2</v>
      </c>
      <c r="I937">
        <f t="shared" si="113"/>
        <v>88.079473510238572</v>
      </c>
      <c r="J937">
        <f t="shared" si="108"/>
        <v>201.89513581358918</v>
      </c>
      <c r="K937" s="27">
        <f t="shared" si="109"/>
        <v>2103.5253430963699</v>
      </c>
    </row>
    <row r="938" spans="1:11">
      <c r="A938" s="26">
        <v>888</v>
      </c>
      <c r="B938" s="82">
        <f t="shared" si="110"/>
        <v>3.2921237647087764E-4</v>
      </c>
      <c r="C938" s="58">
        <f t="shared" si="114"/>
        <v>42.594935500393845</v>
      </c>
      <c r="D938" s="83">
        <f t="shared" si="111"/>
        <v>181.02206259003717</v>
      </c>
      <c r="E938">
        <f t="shared" si="107"/>
        <v>10.787994140977858</v>
      </c>
      <c r="G938">
        <v>888</v>
      </c>
      <c r="H938" s="13">
        <f t="shared" si="112"/>
        <v>5.1608656820917531E-2</v>
      </c>
      <c r="I938">
        <f t="shared" si="113"/>
        <v>88.131082167059489</v>
      </c>
      <c r="J938">
        <f t="shared" si="108"/>
        <v>201.88280777702579</v>
      </c>
      <c r="K938" s="27">
        <f t="shared" si="109"/>
        <v>2103.2677107709164</v>
      </c>
    </row>
    <row r="939" spans="1:11">
      <c r="A939" s="26">
        <v>889</v>
      </c>
      <c r="B939" s="82">
        <f t="shared" si="110"/>
        <v>3.2921237647087764E-4</v>
      </c>
      <c r="C939" s="58">
        <f t="shared" si="114"/>
        <v>42.595264712770316</v>
      </c>
      <c r="D939" s="83">
        <f t="shared" si="111"/>
        <v>181.02270037486531</v>
      </c>
      <c r="E939">
        <f t="shared" si="107"/>
        <v>10.788070156792552</v>
      </c>
      <c r="G939">
        <v>889</v>
      </c>
      <c r="H939" s="13">
        <f t="shared" si="112"/>
        <v>5.1608656820917531E-2</v>
      </c>
      <c r="I939">
        <f t="shared" si="113"/>
        <v>88.182690823880407</v>
      </c>
      <c r="J939">
        <f t="shared" si="108"/>
        <v>201.87040841028079</v>
      </c>
      <c r="K939" s="27">
        <f t="shared" si="109"/>
        <v>2103.0086072956724</v>
      </c>
    </row>
    <row r="940" spans="1:11">
      <c r="A940" s="26">
        <v>890</v>
      </c>
      <c r="B940" s="82">
        <f t="shared" si="110"/>
        <v>3.2921237647087764E-4</v>
      </c>
      <c r="C940" s="58">
        <f t="shared" si="114"/>
        <v>42.595593925146787</v>
      </c>
      <c r="D940" s="83">
        <f t="shared" si="111"/>
        <v>181.02333813203194</v>
      </c>
      <c r="E940">
        <f t="shared" si="107"/>
        <v>10.788146169578239</v>
      </c>
      <c r="G940">
        <v>890</v>
      </c>
      <c r="H940" s="13">
        <f t="shared" si="112"/>
        <v>5.1608656820917531E-2</v>
      </c>
      <c r="I940">
        <f t="shared" si="113"/>
        <v>88.234299480701324</v>
      </c>
      <c r="J940">
        <f t="shared" si="108"/>
        <v>201.85793764610921</v>
      </c>
      <c r="K940" s="27">
        <f t="shared" si="109"/>
        <v>2102.7480315394864</v>
      </c>
    </row>
    <row r="941" spans="1:11">
      <c r="A941" s="26">
        <v>891</v>
      </c>
      <c r="B941" s="82">
        <f t="shared" si="110"/>
        <v>3.2921237647087764E-4</v>
      </c>
      <c r="C941" s="58">
        <f t="shared" si="114"/>
        <v>42.595923137523258</v>
      </c>
      <c r="D941" s="83">
        <f t="shared" si="111"/>
        <v>181.02397586153984</v>
      </c>
      <c r="E941">
        <f t="shared" si="107"/>
        <v>10.788222179335222</v>
      </c>
      <c r="G941">
        <v>891</v>
      </c>
      <c r="H941" s="13">
        <f t="shared" si="112"/>
        <v>5.1608656820917531E-2</v>
      </c>
      <c r="I941">
        <f t="shared" si="113"/>
        <v>88.285908137522242</v>
      </c>
      <c r="J941">
        <f t="shared" si="108"/>
        <v>201.84539541679362</v>
      </c>
      <c r="K941" s="27">
        <f t="shared" si="109"/>
        <v>2102.4859823632682</v>
      </c>
    </row>
    <row r="942" spans="1:11">
      <c r="A942" s="26">
        <v>892</v>
      </c>
      <c r="B942" s="82">
        <f t="shared" si="110"/>
        <v>3.2921237647087764E-4</v>
      </c>
      <c r="C942" s="58">
        <f t="shared" si="114"/>
        <v>42.596252349899729</v>
      </c>
      <c r="D942" s="83">
        <f t="shared" si="111"/>
        <v>181.02461356339191</v>
      </c>
      <c r="E942">
        <f t="shared" si="107"/>
        <v>10.788298186063807</v>
      </c>
      <c r="G942">
        <v>892</v>
      </c>
      <c r="H942" s="13">
        <f t="shared" si="112"/>
        <v>5.1608656820917531E-2</v>
      </c>
      <c r="I942">
        <f t="shared" si="113"/>
        <v>88.337516794343159</v>
      </c>
      <c r="J942">
        <f t="shared" si="108"/>
        <v>201.83278165414211</v>
      </c>
      <c r="K942" s="27">
        <f t="shared" si="109"/>
        <v>2102.2224586199563</v>
      </c>
    </row>
    <row r="943" spans="1:11">
      <c r="A943" s="26">
        <v>893</v>
      </c>
      <c r="B943" s="82">
        <f t="shared" si="110"/>
        <v>3.2921237647087764E-4</v>
      </c>
      <c r="C943" s="58">
        <f t="shared" si="114"/>
        <v>42.596581562276199</v>
      </c>
      <c r="D943" s="83">
        <f t="shared" si="111"/>
        <v>181.02525123759094</v>
      </c>
      <c r="E943">
        <f t="shared" si="107"/>
        <v>10.788374189764296</v>
      </c>
      <c r="G943">
        <v>893</v>
      </c>
      <c r="H943" s="13">
        <f t="shared" si="112"/>
        <v>5.1608656820917531E-2</v>
      </c>
      <c r="I943">
        <f t="shared" si="113"/>
        <v>88.389125451164077</v>
      </c>
      <c r="J943">
        <f t="shared" si="108"/>
        <v>201.82009628948629</v>
      </c>
      <c r="K943" s="27">
        <f t="shared" si="109"/>
        <v>2101.9574591544888</v>
      </c>
    </row>
    <row r="944" spans="1:11">
      <c r="A944" s="26">
        <v>894</v>
      </c>
      <c r="B944" s="82">
        <f t="shared" si="110"/>
        <v>3.2921237647087764E-4</v>
      </c>
      <c r="C944" s="58">
        <f t="shared" si="114"/>
        <v>42.59691077465267</v>
      </c>
      <c r="D944" s="83">
        <f t="shared" si="111"/>
        <v>181.02588888413979</v>
      </c>
      <c r="E944">
        <f t="shared" si="107"/>
        <v>10.788450190436992</v>
      </c>
      <c r="G944">
        <v>894</v>
      </c>
      <c r="H944" s="13">
        <f t="shared" si="112"/>
        <v>5.1608656820917531E-2</v>
      </c>
      <c r="I944">
        <f t="shared" si="113"/>
        <v>88.440734107984994</v>
      </c>
      <c r="J944">
        <f t="shared" si="108"/>
        <v>201.80733925367937</v>
      </c>
      <c r="K944" s="27">
        <f t="shared" si="109"/>
        <v>2101.6909828037642</v>
      </c>
    </row>
    <row r="945" spans="1:11">
      <c r="A945" s="26">
        <v>895</v>
      </c>
      <c r="B945" s="82">
        <f t="shared" si="110"/>
        <v>3.2921237647087764E-4</v>
      </c>
      <c r="C945" s="58">
        <f t="shared" si="114"/>
        <v>42.597239987029141</v>
      </c>
      <c r="D945" s="83">
        <f t="shared" si="111"/>
        <v>181.02652650304131</v>
      </c>
      <c r="E945">
        <f t="shared" si="107"/>
        <v>10.788526188082201</v>
      </c>
      <c r="G945">
        <v>895</v>
      </c>
      <c r="H945" s="13">
        <f t="shared" si="112"/>
        <v>5.1608656820917531E-2</v>
      </c>
      <c r="I945">
        <f t="shared" si="113"/>
        <v>88.492342764805912</v>
      </c>
      <c r="J945">
        <f t="shared" si="108"/>
        <v>201.79451047709401</v>
      </c>
      <c r="K945" s="27">
        <f t="shared" si="109"/>
        <v>2101.4230283966112</v>
      </c>
    </row>
    <row r="946" spans="1:11">
      <c r="A946" s="26">
        <v>896</v>
      </c>
      <c r="B946" s="82">
        <f t="shared" si="110"/>
        <v>3.2921237647087764E-4</v>
      </c>
      <c r="C946" s="58">
        <f t="shared" si="114"/>
        <v>42.597569199405612</v>
      </c>
      <c r="D946" s="83">
        <f t="shared" si="111"/>
        <v>181.02716409429834</v>
      </c>
      <c r="E946">
        <f t="shared" si="107"/>
        <v>10.788602182700226</v>
      </c>
      <c r="G946">
        <v>896</v>
      </c>
      <c r="H946" s="13">
        <f t="shared" si="112"/>
        <v>5.1608656820917531E-2</v>
      </c>
      <c r="I946">
        <f t="shared" si="113"/>
        <v>88.543951421626829</v>
      </c>
      <c r="J946">
        <f t="shared" si="108"/>
        <v>201.78160988962031</v>
      </c>
      <c r="K946" s="27">
        <f t="shared" si="109"/>
        <v>2101.1535947537509</v>
      </c>
    </row>
    <row r="947" spans="1:11">
      <c r="A947" s="26">
        <v>897</v>
      </c>
      <c r="B947" s="82">
        <f t="shared" si="110"/>
        <v>3.2921237647087764E-4</v>
      </c>
      <c r="C947" s="58">
        <f t="shared" si="114"/>
        <v>42.597898411782083</v>
      </c>
      <c r="D947" s="83">
        <f t="shared" si="111"/>
        <v>181.02780165791367</v>
      </c>
      <c r="E947">
        <f t="shared" ref="E947:E1010" si="115">((D947^2)+(D947*D948)+(D948^2))*B948/3</f>
        <v>10.788678174291364</v>
      </c>
      <c r="G947">
        <v>897</v>
      </c>
      <c r="H947" s="13">
        <f t="shared" si="112"/>
        <v>5.1608656820917531E-2</v>
      </c>
      <c r="I947">
        <f t="shared" si="113"/>
        <v>88.595560078447747</v>
      </c>
      <c r="J947">
        <f t="shared" ref="J947:J1010" si="116">IF($G$28&lt;$C$14,0,((($C$11^2)-((I947-$C$13)^2))^0.5)+$C$16)</f>
        <v>201.76863742066388</v>
      </c>
      <c r="K947" s="27">
        <f t="shared" ref="K947:K1010" si="117">((J947^2)+(J947*J948)+(J948^2))*H948/3</f>
        <v>2100.8826806877655</v>
      </c>
    </row>
    <row r="948" spans="1:11">
      <c r="A948" s="26">
        <v>898</v>
      </c>
      <c r="B948" s="82">
        <f t="shared" ref="B948:B1011" si="118">C948-C947</f>
        <v>3.2921237647087764E-4</v>
      </c>
      <c r="C948" s="58">
        <f t="shared" si="114"/>
        <v>42.598227624158554</v>
      </c>
      <c r="D948" s="83">
        <f t="shared" ref="D948:D1011" si="119">IF($G$28&lt;$C$14,0,((($C$11^2)-((C948-$C$13)^2))^0.5)+$C$16)</f>
        <v>181.02843919389022</v>
      </c>
      <c r="E948">
        <f t="shared" si="115"/>
        <v>10.78875416285593</v>
      </c>
      <c r="G948">
        <v>898</v>
      </c>
      <c r="H948" s="13">
        <f t="shared" ref="H948:H1011" si="120">I948-I947</f>
        <v>5.1608656820917531E-2</v>
      </c>
      <c r="I948">
        <f t="shared" ref="I948:I1011" si="121">($G$27-$C$14)/2000+I947</f>
        <v>88.647168735268664</v>
      </c>
      <c r="J948">
        <f t="shared" si="116"/>
        <v>201.75559299914349</v>
      </c>
      <c r="K948" s="27">
        <f t="shared" si="117"/>
        <v>2100.6102850030597</v>
      </c>
    </row>
    <row r="949" spans="1:11">
      <c r="A949" s="26">
        <v>899</v>
      </c>
      <c r="B949" s="82">
        <f t="shared" si="118"/>
        <v>3.2921237647087764E-4</v>
      </c>
      <c r="C949" s="58">
        <f t="shared" si="114"/>
        <v>42.598556836535025</v>
      </c>
      <c r="D949" s="83">
        <f t="shared" si="119"/>
        <v>181.02907670223075</v>
      </c>
      <c r="E949">
        <f t="shared" si="115"/>
        <v>10.788830148394217</v>
      </c>
      <c r="G949">
        <v>899</v>
      </c>
      <c r="H949" s="13">
        <f t="shared" si="120"/>
        <v>5.1608656820917531E-2</v>
      </c>
      <c r="I949">
        <f t="shared" si="121"/>
        <v>88.698777392089582</v>
      </c>
      <c r="J949">
        <f t="shared" si="116"/>
        <v>201.74247655348924</v>
      </c>
      <c r="K949" s="27">
        <f t="shared" si="117"/>
        <v>2100.33640649583</v>
      </c>
    </row>
    <row r="950" spans="1:11">
      <c r="A950" s="26">
        <v>900</v>
      </c>
      <c r="B950" s="82">
        <f t="shared" si="118"/>
        <v>3.2921237647087764E-4</v>
      </c>
      <c r="C950" s="58">
        <f t="shared" si="114"/>
        <v>42.598886048911496</v>
      </c>
      <c r="D950" s="83">
        <f t="shared" si="119"/>
        <v>181.02971418293816</v>
      </c>
      <c r="E950">
        <f t="shared" si="115"/>
        <v>10.788906130906538</v>
      </c>
      <c r="G950">
        <v>900</v>
      </c>
      <c r="H950" s="13">
        <f t="shared" si="120"/>
        <v>5.1608656820917531E-2</v>
      </c>
      <c r="I950">
        <f t="shared" si="121"/>
        <v>88.750386048910499</v>
      </c>
      <c r="J950">
        <f t="shared" si="116"/>
        <v>201.72928801164028</v>
      </c>
      <c r="K950" s="27">
        <f t="shared" si="117"/>
        <v>2100.0610439540224</v>
      </c>
    </row>
    <row r="951" spans="1:11">
      <c r="A951" s="26">
        <v>901</v>
      </c>
      <c r="B951" s="82">
        <f t="shared" si="118"/>
        <v>3.2921237647087764E-4</v>
      </c>
      <c r="C951" s="58">
        <f t="shared" si="114"/>
        <v>42.599215261287966</v>
      </c>
      <c r="D951" s="83">
        <f t="shared" si="119"/>
        <v>181.03035163601524</v>
      </c>
      <c r="E951">
        <f t="shared" si="115"/>
        <v>10.788982110393185</v>
      </c>
      <c r="G951">
        <v>901</v>
      </c>
      <c r="H951" s="13">
        <f t="shared" si="120"/>
        <v>5.1608656820917531E-2</v>
      </c>
      <c r="I951">
        <f t="shared" si="121"/>
        <v>88.801994705731417</v>
      </c>
      <c r="J951">
        <f t="shared" si="116"/>
        <v>201.71602730104271</v>
      </c>
      <c r="K951" s="27">
        <f t="shared" si="117"/>
        <v>2099.7841961573026</v>
      </c>
    </row>
    <row r="952" spans="1:11">
      <c r="A952" s="26">
        <v>902</v>
      </c>
      <c r="B952" s="82">
        <f t="shared" si="118"/>
        <v>3.2921237647087764E-4</v>
      </c>
      <c r="C952" s="58">
        <f t="shared" si="114"/>
        <v>42.599544473664437</v>
      </c>
      <c r="D952" s="83">
        <f t="shared" si="119"/>
        <v>181.03098906146482</v>
      </c>
      <c r="E952">
        <f t="shared" si="115"/>
        <v>10.789058086854469</v>
      </c>
      <c r="G952">
        <v>902</v>
      </c>
      <c r="H952" s="13">
        <f t="shared" si="120"/>
        <v>5.1608656820917531E-2</v>
      </c>
      <c r="I952">
        <f t="shared" si="121"/>
        <v>88.853603362552334</v>
      </c>
      <c r="J952">
        <f t="shared" si="116"/>
        <v>201.70269434864741</v>
      </c>
      <c r="K952" s="27">
        <f t="shared" si="117"/>
        <v>2099.5058618770177</v>
      </c>
    </row>
    <row r="953" spans="1:11">
      <c r="A953" s="26">
        <v>903</v>
      </c>
      <c r="B953" s="82">
        <f t="shared" si="118"/>
        <v>3.2921237647087764E-4</v>
      </c>
      <c r="C953" s="58">
        <f t="shared" si="114"/>
        <v>42.599873686040908</v>
      </c>
      <c r="D953" s="83">
        <f t="shared" si="119"/>
        <v>181.03162645928981</v>
      </c>
      <c r="E953">
        <f t="shared" si="115"/>
        <v>10.789134060290694</v>
      </c>
      <c r="G953">
        <v>903</v>
      </c>
      <c r="H953" s="13">
        <f t="shared" si="120"/>
        <v>5.1608656820917531E-2</v>
      </c>
      <c r="I953">
        <f t="shared" si="121"/>
        <v>88.905212019373252</v>
      </c>
      <c r="J953">
        <f t="shared" si="116"/>
        <v>201.68928908090791</v>
      </c>
      <c r="K953" s="27">
        <f t="shared" si="117"/>
        <v>2099.2260398761555</v>
      </c>
    </row>
    <row r="954" spans="1:11">
      <c r="A954" s="26">
        <v>904</v>
      </c>
      <c r="B954" s="82">
        <f t="shared" si="118"/>
        <v>3.2921237647087764E-4</v>
      </c>
      <c r="C954" s="58">
        <f t="shared" si="114"/>
        <v>42.600202898417379</v>
      </c>
      <c r="D954" s="83">
        <f t="shared" si="119"/>
        <v>181.03226382949296</v>
      </c>
      <c r="E954">
        <f t="shared" si="115"/>
        <v>10.78921003070216</v>
      </c>
      <c r="G954">
        <v>904</v>
      </c>
      <c r="H954" s="13">
        <f t="shared" si="120"/>
        <v>5.1608656820917531E-2</v>
      </c>
      <c r="I954">
        <f t="shared" si="121"/>
        <v>88.95682067619417</v>
      </c>
      <c r="J954">
        <f t="shared" si="116"/>
        <v>201.67581142377813</v>
      </c>
      <c r="K954" s="27">
        <f t="shared" si="117"/>
        <v>2098.9447289093146</v>
      </c>
    </row>
    <row r="955" spans="1:11">
      <c r="A955" s="26">
        <v>905</v>
      </c>
      <c r="B955" s="82">
        <f t="shared" si="118"/>
        <v>3.2921237647087764E-4</v>
      </c>
      <c r="C955" s="58">
        <f t="shared" si="114"/>
        <v>42.60053211079385</v>
      </c>
      <c r="D955" s="83">
        <f t="shared" si="119"/>
        <v>181.03290117207715</v>
      </c>
      <c r="E955">
        <f t="shared" si="115"/>
        <v>10.78928599808917</v>
      </c>
      <c r="G955">
        <v>905</v>
      </c>
      <c r="H955" s="13">
        <f t="shared" si="120"/>
        <v>5.1608656820917531E-2</v>
      </c>
      <c r="I955">
        <f t="shared" si="121"/>
        <v>89.008429333015087</v>
      </c>
      <c r="J955">
        <f t="shared" si="116"/>
        <v>201.66226130271016</v>
      </c>
      <c r="K955" s="27">
        <f t="shared" si="117"/>
        <v>2098.6619277226614</v>
      </c>
    </row>
    <row r="956" spans="1:11">
      <c r="A956" s="26">
        <v>906</v>
      </c>
      <c r="B956" s="82">
        <f t="shared" si="118"/>
        <v>3.2921237647087764E-4</v>
      </c>
      <c r="C956" s="58">
        <f t="shared" si="114"/>
        <v>42.600861323170321</v>
      </c>
      <c r="D956" s="83">
        <f t="shared" si="119"/>
        <v>181.03353848704518</v>
      </c>
      <c r="E956">
        <f t="shared" si="115"/>
        <v>10.789361962452025</v>
      </c>
      <c r="G956">
        <v>906</v>
      </c>
      <c r="H956" s="13">
        <f t="shared" si="120"/>
        <v>5.1608656820917531E-2</v>
      </c>
      <c r="I956">
        <f t="shared" si="121"/>
        <v>89.060037989836005</v>
      </c>
      <c r="J956">
        <f t="shared" si="116"/>
        <v>201.64863864265214</v>
      </c>
      <c r="K956" s="27">
        <f t="shared" si="117"/>
        <v>2098.3776350538951</v>
      </c>
    </row>
    <row r="957" spans="1:11">
      <c r="A957" s="26">
        <v>907</v>
      </c>
      <c r="B957" s="82">
        <f t="shared" si="118"/>
        <v>3.2921237647087764E-4</v>
      </c>
      <c r="C957" s="58">
        <f t="shared" si="114"/>
        <v>42.601190535546792</v>
      </c>
      <c r="D957" s="83">
        <f t="shared" si="119"/>
        <v>181.03417577439993</v>
      </c>
      <c r="E957">
        <f t="shared" si="115"/>
        <v>10.789437923791033</v>
      </c>
      <c r="G957">
        <v>907</v>
      </c>
      <c r="H957" s="13">
        <f t="shared" si="120"/>
        <v>5.1608656820917531E-2</v>
      </c>
      <c r="I957">
        <f t="shared" si="121"/>
        <v>89.111646646656922</v>
      </c>
      <c r="J957">
        <f t="shared" si="116"/>
        <v>201.63494336804584</v>
      </c>
      <c r="K957" s="27">
        <f t="shared" si="117"/>
        <v>2098.0918496322101</v>
      </c>
    </row>
    <row r="958" spans="1:11">
      <c r="A958" s="26">
        <v>908</v>
      </c>
      <c r="B958" s="82">
        <f t="shared" si="118"/>
        <v>3.2921237647087764E-4</v>
      </c>
      <c r="C958" s="58">
        <f t="shared" si="114"/>
        <v>42.601519747923263</v>
      </c>
      <c r="D958" s="83">
        <f t="shared" si="119"/>
        <v>181.03481303414421</v>
      </c>
      <c r="E958">
        <f t="shared" si="115"/>
        <v>10.789513882106492</v>
      </c>
      <c r="G958">
        <v>908</v>
      </c>
      <c r="H958" s="13">
        <f t="shared" si="120"/>
        <v>5.1608656820917531E-2</v>
      </c>
      <c r="I958">
        <f t="shared" si="121"/>
        <v>89.16325530347784</v>
      </c>
      <c r="J958">
        <f t="shared" si="116"/>
        <v>201.62117540282449</v>
      </c>
      <c r="K958" s="27">
        <f t="shared" si="117"/>
        <v>2097.8045701782544</v>
      </c>
    </row>
    <row r="959" spans="1:11">
      <c r="A959" s="26">
        <v>909</v>
      </c>
      <c r="B959" s="82">
        <f t="shared" si="118"/>
        <v>3.2921237647087764E-4</v>
      </c>
      <c r="C959" s="58">
        <f t="shared" si="114"/>
        <v>42.601848960299733</v>
      </c>
      <c r="D959" s="83">
        <f t="shared" si="119"/>
        <v>181.03545026628083</v>
      </c>
      <c r="E959">
        <f t="shared" si="115"/>
        <v>10.789589837398713</v>
      </c>
      <c r="G959">
        <v>909</v>
      </c>
      <c r="H959" s="13">
        <f t="shared" si="120"/>
        <v>5.1608656820917531E-2</v>
      </c>
      <c r="I959">
        <f t="shared" si="121"/>
        <v>89.214863960298757</v>
      </c>
      <c r="J959">
        <f t="shared" si="116"/>
        <v>201.60733467041041</v>
      </c>
      <c r="K959" s="27">
        <f t="shared" si="117"/>
        <v>2097.5157954040942</v>
      </c>
    </row>
    <row r="960" spans="1:11">
      <c r="A960" s="26">
        <v>910</v>
      </c>
      <c r="B960" s="82">
        <f t="shared" si="118"/>
        <v>3.2921237647087764E-4</v>
      </c>
      <c r="C960" s="58">
        <f t="shared" si="114"/>
        <v>42.602178172676204</v>
      </c>
      <c r="D960" s="83">
        <f t="shared" si="119"/>
        <v>181.03608747081267</v>
      </c>
      <c r="E960">
        <f t="shared" si="115"/>
        <v>10.789665789667987</v>
      </c>
      <c r="G960">
        <v>910</v>
      </c>
      <c r="H960" s="13">
        <f t="shared" si="120"/>
        <v>5.1608656820917531E-2</v>
      </c>
      <c r="I960">
        <f t="shared" si="121"/>
        <v>89.266472617119675</v>
      </c>
      <c r="J960">
        <f t="shared" si="116"/>
        <v>201.59342109371278</v>
      </c>
      <c r="K960" s="27">
        <f t="shared" si="117"/>
        <v>2097.225524013174</v>
      </c>
    </row>
    <row r="961" spans="1:11">
      <c r="A961" s="26">
        <v>911</v>
      </c>
      <c r="B961" s="82">
        <f t="shared" si="118"/>
        <v>3.2921237647087764E-4</v>
      </c>
      <c r="C961" s="58">
        <f t="shared" si="114"/>
        <v>42.602507385052675</v>
      </c>
      <c r="D961" s="83">
        <f t="shared" si="119"/>
        <v>181.03672464774252</v>
      </c>
      <c r="E961">
        <f t="shared" si="115"/>
        <v>10.789741738914627</v>
      </c>
      <c r="G961">
        <v>911</v>
      </c>
      <c r="H961" s="13">
        <f t="shared" si="120"/>
        <v>5.1608656820917531E-2</v>
      </c>
      <c r="I961">
        <f t="shared" si="121"/>
        <v>89.318081273940592</v>
      </c>
      <c r="J961">
        <f t="shared" si="116"/>
        <v>201.57943459512524</v>
      </c>
      <c r="K961" s="27">
        <f t="shared" si="117"/>
        <v>2096.9337547002769</v>
      </c>
    </row>
    <row r="962" spans="1:11">
      <c r="A962" s="26">
        <v>912</v>
      </c>
      <c r="B962" s="82">
        <f t="shared" si="118"/>
        <v>3.2921237647087764E-4</v>
      </c>
      <c r="C962" s="58">
        <f t="shared" si="114"/>
        <v>42.602836597429146</v>
      </c>
      <c r="D962" s="83">
        <f t="shared" si="119"/>
        <v>181.03736179707323</v>
      </c>
      <c r="E962">
        <f t="shared" si="115"/>
        <v>10.789817685138928</v>
      </c>
      <c r="G962">
        <v>912</v>
      </c>
      <c r="H962" s="13">
        <f t="shared" si="120"/>
        <v>5.1608656820917531E-2</v>
      </c>
      <c r="I962">
        <f t="shared" si="121"/>
        <v>89.36968993076151</v>
      </c>
      <c r="J962">
        <f t="shared" si="116"/>
        <v>201.56537509652352</v>
      </c>
      <c r="K962" s="27">
        <f t="shared" si="117"/>
        <v>2096.6404861514843</v>
      </c>
    </row>
    <row r="963" spans="1:11">
      <c r="A963" s="26">
        <v>913</v>
      </c>
      <c r="B963" s="82">
        <f t="shared" si="118"/>
        <v>3.2921237647087764E-4</v>
      </c>
      <c r="C963" s="58">
        <f t="shared" si="114"/>
        <v>42.603165809805617</v>
      </c>
      <c r="D963" s="83">
        <f t="shared" si="119"/>
        <v>181.03799891880763</v>
      </c>
      <c r="E963">
        <f t="shared" si="115"/>
        <v>10.789893628341197</v>
      </c>
      <c r="G963">
        <v>913</v>
      </c>
      <c r="H963" s="13">
        <f t="shared" si="120"/>
        <v>5.1608656820917531E-2</v>
      </c>
      <c r="I963">
        <f t="shared" si="121"/>
        <v>89.421298587582427</v>
      </c>
      <c r="J963">
        <f t="shared" si="116"/>
        <v>201.5512425192631</v>
      </c>
      <c r="K963" s="27">
        <f t="shared" si="117"/>
        <v>2096.3457170441375</v>
      </c>
    </row>
    <row r="964" spans="1:11">
      <c r="A964" s="26">
        <v>914</v>
      </c>
      <c r="B964" s="82">
        <f t="shared" si="118"/>
        <v>3.2921237647087764E-4</v>
      </c>
      <c r="C964" s="58">
        <f t="shared" si="114"/>
        <v>42.603495022182088</v>
      </c>
      <c r="D964" s="83">
        <f t="shared" si="119"/>
        <v>181.03863601294856</v>
      </c>
      <c r="E964">
        <f t="shared" si="115"/>
        <v>10.789969568521739</v>
      </c>
      <c r="G964">
        <v>914</v>
      </c>
      <c r="H964" s="13">
        <f t="shared" si="120"/>
        <v>5.1608656820917531E-2</v>
      </c>
      <c r="I964">
        <f t="shared" si="121"/>
        <v>89.472907244403345</v>
      </c>
      <c r="J964">
        <f t="shared" si="116"/>
        <v>201.53703678417682</v>
      </c>
      <c r="K964" s="27">
        <f t="shared" si="117"/>
        <v>2096.0494460467958</v>
      </c>
    </row>
    <row r="965" spans="1:11">
      <c r="A965" s="26">
        <v>915</v>
      </c>
      <c r="B965" s="82">
        <f t="shared" si="118"/>
        <v>3.2921237647087764E-4</v>
      </c>
      <c r="C965" s="58">
        <f t="shared" si="114"/>
        <v>42.603824234558559</v>
      </c>
      <c r="D965" s="83">
        <f t="shared" si="119"/>
        <v>181.0392730794988</v>
      </c>
      <c r="E965">
        <f t="shared" si="115"/>
        <v>10.790045505680851</v>
      </c>
      <c r="G965">
        <v>915</v>
      </c>
      <c r="H965" s="13">
        <f t="shared" si="120"/>
        <v>5.1608656820917531E-2</v>
      </c>
      <c r="I965">
        <f t="shared" si="121"/>
        <v>89.524515901224262</v>
      </c>
      <c r="J965">
        <f t="shared" si="116"/>
        <v>201.52275781157235</v>
      </c>
      <c r="K965" s="27">
        <f t="shared" si="117"/>
        <v>2095.7516718191955</v>
      </c>
    </row>
    <row r="966" spans="1:11">
      <c r="A966" s="26">
        <v>916</v>
      </c>
      <c r="B966" s="82">
        <f t="shared" si="118"/>
        <v>3.2921237647087764E-4</v>
      </c>
      <c r="C966" s="58">
        <f t="shared" si="114"/>
        <v>42.60415344693503</v>
      </c>
      <c r="D966" s="83">
        <f t="shared" si="119"/>
        <v>181.03991011846125</v>
      </c>
      <c r="E966">
        <f t="shared" si="115"/>
        <v>10.790121439818835</v>
      </c>
      <c r="G966">
        <v>916</v>
      </c>
      <c r="H966" s="13">
        <f t="shared" si="120"/>
        <v>5.1608656820917531E-2</v>
      </c>
      <c r="I966">
        <f t="shared" si="121"/>
        <v>89.57612455804518</v>
      </c>
      <c r="J966">
        <f t="shared" si="116"/>
        <v>201.50840552122986</v>
      </c>
      <c r="K966" s="27">
        <f t="shared" si="117"/>
        <v>2095.45239301221</v>
      </c>
    </row>
    <row r="967" spans="1:11">
      <c r="A967" s="26">
        <v>917</v>
      </c>
      <c r="B967" s="82">
        <f t="shared" si="118"/>
        <v>3.2921237647087764E-4</v>
      </c>
      <c r="C967" s="58">
        <f t="shared" si="114"/>
        <v>42.6044826593115</v>
      </c>
      <c r="D967" s="83">
        <f t="shared" si="119"/>
        <v>181.04054712983867</v>
      </c>
      <c r="E967">
        <f t="shared" si="115"/>
        <v>10.790197370935999</v>
      </c>
      <c r="G967">
        <v>917</v>
      </c>
      <c r="H967" s="13">
        <f t="shared" si="120"/>
        <v>5.1608656820917531E-2</v>
      </c>
      <c r="I967">
        <f t="shared" si="121"/>
        <v>89.627733214866097</v>
      </c>
      <c r="J967">
        <f t="shared" si="116"/>
        <v>201.49397983239953</v>
      </c>
      <c r="K967" s="27">
        <f t="shared" si="117"/>
        <v>2095.1516082678072</v>
      </c>
    </row>
    <row r="968" spans="1:11">
      <c r="A968" s="26">
        <v>918</v>
      </c>
      <c r="B968" s="82">
        <f t="shared" si="118"/>
        <v>3.2921237647087764E-4</v>
      </c>
      <c r="C968" s="58">
        <f t="shared" si="114"/>
        <v>42.604811871687971</v>
      </c>
      <c r="D968" s="83">
        <f t="shared" si="119"/>
        <v>181.04118411363396</v>
      </c>
      <c r="E968">
        <f t="shared" si="115"/>
        <v>10.790273299032643</v>
      </c>
      <c r="G968">
        <v>918</v>
      </c>
      <c r="H968" s="13">
        <f t="shared" si="120"/>
        <v>5.1608656820917531E-2</v>
      </c>
      <c r="I968">
        <f t="shared" si="121"/>
        <v>89.679341871687015</v>
      </c>
      <c r="J968">
        <f t="shared" si="116"/>
        <v>201.47948066379905</v>
      </c>
      <c r="K968" s="27">
        <f t="shared" si="117"/>
        <v>2094.8493162190093</v>
      </c>
    </row>
    <row r="969" spans="1:11">
      <c r="A969" s="26">
        <v>919</v>
      </c>
      <c r="B969" s="82">
        <f t="shared" si="118"/>
        <v>3.2921237647087764E-4</v>
      </c>
      <c r="C969" s="58">
        <f t="shared" si="114"/>
        <v>42.605141084064442</v>
      </c>
      <c r="D969" s="83">
        <f t="shared" si="119"/>
        <v>181.04182106984987</v>
      </c>
      <c r="E969">
        <f t="shared" si="115"/>
        <v>10.79034922410907</v>
      </c>
      <c r="G969">
        <v>919</v>
      </c>
      <c r="H969" s="13">
        <f t="shared" si="120"/>
        <v>5.1608656820917531E-2</v>
      </c>
      <c r="I969">
        <f t="shared" si="121"/>
        <v>89.730950528507933</v>
      </c>
      <c r="J969">
        <f t="shared" si="116"/>
        <v>201.46490793361107</v>
      </c>
      <c r="K969" s="27">
        <f t="shared" si="117"/>
        <v>2094.5455154898477</v>
      </c>
    </row>
    <row r="970" spans="1:11">
      <c r="A970" s="26">
        <v>920</v>
      </c>
      <c r="B970" s="82">
        <f t="shared" si="118"/>
        <v>3.2921237647087764E-4</v>
      </c>
      <c r="C970" s="58">
        <f t="shared" si="114"/>
        <v>42.605470296440913</v>
      </c>
      <c r="D970" s="83">
        <f t="shared" si="119"/>
        <v>181.04245799848928</v>
      </c>
      <c r="E970">
        <f t="shared" si="115"/>
        <v>10.790425146165576</v>
      </c>
      <c r="G970">
        <v>920</v>
      </c>
      <c r="H970" s="13">
        <f t="shared" si="120"/>
        <v>5.1608656820917531E-2</v>
      </c>
      <c r="I970">
        <f t="shared" si="121"/>
        <v>89.78255918532885</v>
      </c>
      <c r="J970">
        <f t="shared" si="116"/>
        <v>201.45026155948071</v>
      </c>
      <c r="K970" s="27">
        <f t="shared" si="117"/>
        <v>2094.2402046953212</v>
      </c>
    </row>
    <row r="971" spans="1:11">
      <c r="A971" s="26">
        <v>921</v>
      </c>
      <c r="B971" s="82">
        <f t="shared" si="118"/>
        <v>3.2921237647087764E-4</v>
      </c>
      <c r="C971" s="58">
        <f t="shared" si="114"/>
        <v>42.605799508817384</v>
      </c>
      <c r="D971" s="83">
        <f t="shared" si="119"/>
        <v>181.04309489955503</v>
      </c>
      <c r="E971">
        <f t="shared" si="115"/>
        <v>10.790501065202472</v>
      </c>
      <c r="G971">
        <v>921</v>
      </c>
      <c r="H971" s="13">
        <f t="shared" si="120"/>
        <v>5.1608656820917531E-2</v>
      </c>
      <c r="I971">
        <f t="shared" si="121"/>
        <v>89.834167842149768</v>
      </c>
      <c r="J971">
        <f t="shared" si="116"/>
        <v>201.43554145851297</v>
      </c>
      <c r="K971" s="27">
        <f t="shared" si="117"/>
        <v>2093.9333824413557</v>
      </c>
    </row>
    <row r="972" spans="1:11">
      <c r="A972" s="26">
        <v>922</v>
      </c>
      <c r="B972" s="82">
        <f t="shared" si="118"/>
        <v>3.2921237647087764E-4</v>
      </c>
      <c r="C972" s="58">
        <f t="shared" si="114"/>
        <v>42.606128721193855</v>
      </c>
      <c r="D972" s="83">
        <f t="shared" si="119"/>
        <v>181.04373177304987</v>
      </c>
      <c r="E972">
        <f t="shared" si="115"/>
        <v>10.790576981220056</v>
      </c>
      <c r="G972">
        <v>922</v>
      </c>
      <c r="H972" s="13">
        <f t="shared" si="120"/>
        <v>5.1608656820917531E-2</v>
      </c>
      <c r="I972">
        <f t="shared" si="121"/>
        <v>89.885776498970685</v>
      </c>
      <c r="J972">
        <f t="shared" si="116"/>
        <v>201.42074754727025</v>
      </c>
      <c r="K972" s="27">
        <f t="shared" si="117"/>
        <v>2093.6250473247583</v>
      </c>
    </row>
    <row r="973" spans="1:11">
      <c r="A973" s="26">
        <v>923</v>
      </c>
      <c r="B973" s="82">
        <f t="shared" si="118"/>
        <v>3.2921237647087764E-4</v>
      </c>
      <c r="C973" s="58">
        <f t="shared" si="114"/>
        <v>42.606457933570326</v>
      </c>
      <c r="D973" s="83">
        <f t="shared" si="119"/>
        <v>181.0443686189767</v>
      </c>
      <c r="E973">
        <f t="shared" si="115"/>
        <v>10.790652894218631</v>
      </c>
      <c r="G973">
        <v>923</v>
      </c>
      <c r="H973" s="13">
        <f t="shared" si="120"/>
        <v>5.1608656820917531E-2</v>
      </c>
      <c r="I973">
        <f t="shared" si="121"/>
        <v>89.937385155791603</v>
      </c>
      <c r="J973">
        <f t="shared" si="116"/>
        <v>201.40587974176958</v>
      </c>
      <c r="K973" s="27">
        <f t="shared" si="117"/>
        <v>2093.3151979331719</v>
      </c>
    </row>
    <row r="974" spans="1:11">
      <c r="A974" s="26">
        <v>924</v>
      </c>
      <c r="B974" s="82">
        <f t="shared" si="118"/>
        <v>3.2921237647087764E-4</v>
      </c>
      <c r="C974" s="58">
        <f t="shared" si="114"/>
        <v>42.606787145946797</v>
      </c>
      <c r="D974" s="83">
        <f t="shared" si="119"/>
        <v>181.04500543733832</v>
      </c>
      <c r="E974">
        <f t="shared" si="115"/>
        <v>10.790728804198494</v>
      </c>
      <c r="G974">
        <v>924</v>
      </c>
      <c r="H974" s="13">
        <f t="shared" si="120"/>
        <v>5.1608656820917531E-2</v>
      </c>
      <c r="I974">
        <f t="shared" si="121"/>
        <v>89.98899381261252</v>
      </c>
      <c r="J974">
        <f t="shared" si="116"/>
        <v>201.39093795748016</v>
      </c>
      <c r="K974" s="27">
        <f t="shared" si="117"/>
        <v>2093.003832845036</v>
      </c>
    </row>
    <row r="975" spans="1:11">
      <c r="A975" s="26">
        <v>925</v>
      </c>
      <c r="B975" s="82">
        <f t="shared" si="118"/>
        <v>3.2921237647087764E-4</v>
      </c>
      <c r="C975" s="58">
        <f t="shared" si="114"/>
        <v>42.607116358323267</v>
      </c>
      <c r="D975" s="83">
        <f t="shared" si="119"/>
        <v>181.04564222813755</v>
      </c>
      <c r="E975">
        <f t="shared" si="115"/>
        <v>10.790804711159957</v>
      </c>
      <c r="G975">
        <v>925</v>
      </c>
      <c r="H975" s="13">
        <f t="shared" si="120"/>
        <v>5.1608656820917531E-2</v>
      </c>
      <c r="I975">
        <f t="shared" si="121"/>
        <v>90.040602469433438</v>
      </c>
      <c r="J975">
        <f t="shared" si="116"/>
        <v>201.37592210932058</v>
      </c>
      <c r="K975" s="27">
        <f t="shared" si="117"/>
        <v>2092.6909506295356</v>
      </c>
    </row>
    <row r="976" spans="1:11">
      <c r="A976" s="26">
        <v>926</v>
      </c>
      <c r="B976" s="82">
        <f t="shared" si="118"/>
        <v>3.2921237647087764E-4</v>
      </c>
      <c r="C976" s="58">
        <f t="shared" ref="C976:C1039" si="122">($C$37-$C$36)/2000+C975</f>
        <v>42.607445570699738</v>
      </c>
      <c r="D976" s="83">
        <f t="shared" si="119"/>
        <v>181.04627899137722</v>
      </c>
      <c r="E976">
        <f t="shared" si="115"/>
        <v>10.790880615103317</v>
      </c>
      <c r="G976">
        <v>926</v>
      </c>
      <c r="H976" s="13">
        <f t="shared" si="120"/>
        <v>5.1608656820917531E-2</v>
      </c>
      <c r="I976">
        <f t="shared" si="121"/>
        <v>90.092211126254355</v>
      </c>
      <c r="J976">
        <f t="shared" si="116"/>
        <v>201.36083211165626</v>
      </c>
      <c r="K976" s="27">
        <f t="shared" si="117"/>
        <v>2092.3765498465632</v>
      </c>
    </row>
    <row r="977" spans="1:11">
      <c r="A977" s="26">
        <v>927</v>
      </c>
      <c r="B977" s="82">
        <f t="shared" si="118"/>
        <v>3.2921237647087764E-4</v>
      </c>
      <c r="C977" s="58">
        <f t="shared" si="122"/>
        <v>42.607774783076209</v>
      </c>
      <c r="D977" s="83">
        <f t="shared" si="119"/>
        <v>181.04691572706014</v>
      </c>
      <c r="E977">
        <f t="shared" si="115"/>
        <v>10.790956516028869</v>
      </c>
      <c r="G977">
        <v>927</v>
      </c>
      <c r="H977" s="13">
        <f t="shared" si="120"/>
        <v>5.1608656820917531E-2</v>
      </c>
      <c r="I977">
        <f t="shared" si="121"/>
        <v>90.143819783075273</v>
      </c>
      <c r="J977">
        <f t="shared" si="116"/>
        <v>201.34566787829667</v>
      </c>
      <c r="K977" s="27">
        <f t="shared" si="117"/>
        <v>2092.0606290466676</v>
      </c>
    </row>
    <row r="978" spans="1:11">
      <c r="A978" s="26">
        <v>928</v>
      </c>
      <c r="B978" s="82">
        <f t="shared" si="118"/>
        <v>3.2921237647087764E-4</v>
      </c>
      <c r="C978" s="58">
        <f t="shared" si="122"/>
        <v>42.60810399545268</v>
      </c>
      <c r="D978" s="83">
        <f t="shared" si="119"/>
        <v>181.04755243518915</v>
      </c>
      <c r="E978">
        <f t="shared" si="115"/>
        <v>10.791032413936927</v>
      </c>
      <c r="G978">
        <v>928</v>
      </c>
      <c r="H978" s="13">
        <f t="shared" si="120"/>
        <v>5.1608656820917531E-2</v>
      </c>
      <c r="I978">
        <f t="shared" si="121"/>
        <v>90.19542843989619</v>
      </c>
      <c r="J978">
        <f t="shared" si="116"/>
        <v>201.33042932249262</v>
      </c>
      <c r="K978" s="27">
        <f t="shared" si="117"/>
        <v>2091.7431867710106</v>
      </c>
    </row>
    <row r="979" spans="1:11">
      <c r="A979" s="26">
        <v>929</v>
      </c>
      <c r="B979" s="82">
        <f t="shared" si="118"/>
        <v>3.2921237647087764E-4</v>
      </c>
      <c r="C979" s="58">
        <f t="shared" si="122"/>
        <v>42.608433207829151</v>
      </c>
      <c r="D979" s="83">
        <f t="shared" si="119"/>
        <v>181.04818911576706</v>
      </c>
      <c r="E979">
        <f t="shared" si="115"/>
        <v>10.791108308827782</v>
      </c>
      <c r="G979">
        <v>929</v>
      </c>
      <c r="H979" s="13">
        <f t="shared" si="120"/>
        <v>5.1608656820917531E-2</v>
      </c>
      <c r="I979">
        <f t="shared" si="121"/>
        <v>90.247037096717108</v>
      </c>
      <c r="J979">
        <f t="shared" si="116"/>
        <v>201.3151163569336</v>
      </c>
      <c r="K979" s="27">
        <f t="shared" si="117"/>
        <v>2091.4242215513218</v>
      </c>
    </row>
    <row r="980" spans="1:11">
      <c r="A980" s="26">
        <v>930</v>
      </c>
      <c r="B980" s="82">
        <f t="shared" si="118"/>
        <v>3.2921237647087764E-4</v>
      </c>
      <c r="C980" s="58">
        <f t="shared" si="122"/>
        <v>42.608762420205622</v>
      </c>
      <c r="D980" s="83">
        <f t="shared" si="119"/>
        <v>181.04882576879672</v>
      </c>
      <c r="E980">
        <f t="shared" si="115"/>
        <v>10.791184200701744</v>
      </c>
      <c r="G980">
        <v>930</v>
      </c>
      <c r="H980" s="13">
        <f t="shared" si="120"/>
        <v>5.1608656820917531E-2</v>
      </c>
      <c r="I980">
        <f t="shared" si="121"/>
        <v>90.298645753538025</v>
      </c>
      <c r="J980">
        <f t="shared" si="116"/>
        <v>201.29972889374488</v>
      </c>
      <c r="K980" s="27">
        <f t="shared" si="117"/>
        <v>2091.1037319098496</v>
      </c>
    </row>
    <row r="981" spans="1:11">
      <c r="A981" s="26">
        <v>931</v>
      </c>
      <c r="B981" s="82">
        <f t="shared" si="118"/>
        <v>3.2921237647087764E-4</v>
      </c>
      <c r="C981" s="58">
        <f t="shared" si="122"/>
        <v>42.609091632582093</v>
      </c>
      <c r="D981" s="83">
        <f t="shared" si="119"/>
        <v>181.04946239428091</v>
      </c>
      <c r="E981">
        <f t="shared" si="115"/>
        <v>10.791260089559112</v>
      </c>
      <c r="G981">
        <v>931</v>
      </c>
      <c r="H981" s="13">
        <f t="shared" si="120"/>
        <v>5.1608656820917531E-2</v>
      </c>
      <c r="I981">
        <f t="shared" si="121"/>
        <v>90.350254410358943</v>
      </c>
      <c r="J981">
        <f t="shared" si="116"/>
        <v>201.28426684448482</v>
      </c>
      <c r="K981" s="27">
        <f t="shared" si="117"/>
        <v>2090.7817163593168</v>
      </c>
    </row>
    <row r="982" spans="1:11">
      <c r="A982" s="26">
        <v>932</v>
      </c>
      <c r="B982" s="82">
        <f t="shared" si="118"/>
        <v>3.2921237647087764E-4</v>
      </c>
      <c r="C982" s="58">
        <f t="shared" si="122"/>
        <v>42.609420844958564</v>
      </c>
      <c r="D982" s="83">
        <f t="shared" si="119"/>
        <v>181.05009899222244</v>
      </c>
      <c r="E982">
        <f t="shared" si="115"/>
        <v>10.791335975400182</v>
      </c>
      <c r="G982">
        <v>932</v>
      </c>
      <c r="H982" s="13">
        <f t="shared" si="120"/>
        <v>5.1608656820917531E-2</v>
      </c>
      <c r="I982">
        <f t="shared" si="121"/>
        <v>90.40186306717986</v>
      </c>
      <c r="J982">
        <f t="shared" si="116"/>
        <v>201.26873012014204</v>
      </c>
      <c r="K982" s="27">
        <f t="shared" si="117"/>
        <v>2090.4581734028693</v>
      </c>
    </row>
    <row r="983" spans="1:11">
      <c r="A983" s="26">
        <v>933</v>
      </c>
      <c r="B983" s="82">
        <f t="shared" si="118"/>
        <v>3.2921237647087764E-4</v>
      </c>
      <c r="C983" s="58">
        <f t="shared" si="122"/>
        <v>42.609750057335035</v>
      </c>
      <c r="D983" s="83">
        <f t="shared" si="119"/>
        <v>181.0507355626242</v>
      </c>
      <c r="E983">
        <f t="shared" si="115"/>
        <v>10.791411858225265</v>
      </c>
      <c r="G983">
        <v>933</v>
      </c>
      <c r="H983" s="13">
        <f t="shared" si="120"/>
        <v>5.1608656820917531E-2</v>
      </c>
      <c r="I983">
        <f t="shared" si="121"/>
        <v>90.453471724000778</v>
      </c>
      <c r="J983">
        <f t="shared" si="116"/>
        <v>201.25311863113248</v>
      </c>
      <c r="K983" s="27">
        <f t="shared" si="117"/>
        <v>2090.1331015340324</v>
      </c>
    </row>
    <row r="984" spans="1:11">
      <c r="A984" s="26">
        <v>934</v>
      </c>
      <c r="B984" s="82">
        <f t="shared" si="118"/>
        <v>3.2921237647087764E-4</v>
      </c>
      <c r="C984" s="58">
        <f t="shared" si="122"/>
        <v>42.610079269711505</v>
      </c>
      <c r="D984" s="83">
        <f t="shared" si="119"/>
        <v>181.05137210548895</v>
      </c>
      <c r="E984">
        <f t="shared" si="115"/>
        <v>10.791487738034659</v>
      </c>
      <c r="G984">
        <v>934</v>
      </c>
      <c r="H984" s="13">
        <f t="shared" si="120"/>
        <v>5.1608656820917531E-2</v>
      </c>
      <c r="I984">
        <f t="shared" si="121"/>
        <v>90.505080380821695</v>
      </c>
      <c r="J984">
        <f t="shared" si="116"/>
        <v>201.23743228729666</v>
      </c>
      <c r="K984" s="27">
        <f t="shared" si="117"/>
        <v>2089.8064992366612</v>
      </c>
    </row>
    <row r="985" spans="1:11">
      <c r="A985" s="26">
        <v>935</v>
      </c>
      <c r="B985" s="82">
        <f t="shared" si="118"/>
        <v>3.2921237647087764E-4</v>
      </c>
      <c r="C985" s="58">
        <f t="shared" si="122"/>
        <v>42.610408482087976</v>
      </c>
      <c r="D985" s="83">
        <f t="shared" si="119"/>
        <v>181.05200862081955</v>
      </c>
      <c r="E985">
        <f t="shared" si="115"/>
        <v>10.791563614828661</v>
      </c>
      <c r="G985">
        <v>935</v>
      </c>
      <c r="H985" s="13">
        <f t="shared" si="120"/>
        <v>5.1608656820917531E-2</v>
      </c>
      <c r="I985">
        <f t="shared" si="121"/>
        <v>90.556689037642613</v>
      </c>
      <c r="J985">
        <f t="shared" si="116"/>
        <v>201.22167099789669</v>
      </c>
      <c r="K985" s="27">
        <f t="shared" si="117"/>
        <v>2089.4783649848891</v>
      </c>
    </row>
    <row r="986" spans="1:11">
      <c r="A986" s="26">
        <v>936</v>
      </c>
      <c r="B986" s="82">
        <f t="shared" si="118"/>
        <v>3.2921237647087764E-4</v>
      </c>
      <c r="C986" s="58">
        <f t="shared" si="122"/>
        <v>42.610737694464447</v>
      </c>
      <c r="D986" s="83">
        <f t="shared" si="119"/>
        <v>181.05264510861878</v>
      </c>
      <c r="E986">
        <f t="shared" si="115"/>
        <v>10.791639488607574</v>
      </c>
      <c r="G986">
        <v>936</v>
      </c>
      <c r="H986" s="13">
        <f t="shared" si="120"/>
        <v>5.1608656820917531E-2</v>
      </c>
      <c r="I986">
        <f t="shared" si="121"/>
        <v>90.608297694463531</v>
      </c>
      <c r="J986">
        <f t="shared" si="116"/>
        <v>201.20583467161345</v>
      </c>
      <c r="K986" s="27">
        <f t="shared" si="117"/>
        <v>2089.1486972430839</v>
      </c>
    </row>
    <row r="987" spans="1:11">
      <c r="A987" s="26">
        <v>937</v>
      </c>
      <c r="B987" s="82">
        <f t="shared" si="118"/>
        <v>3.2921237647087764E-4</v>
      </c>
      <c r="C987" s="58">
        <f t="shared" si="122"/>
        <v>42.611066906840918</v>
      </c>
      <c r="D987" s="83">
        <f t="shared" si="119"/>
        <v>181.05328156888947</v>
      </c>
      <c r="E987">
        <f t="shared" si="115"/>
        <v>10.791715359371706</v>
      </c>
      <c r="G987">
        <v>937</v>
      </c>
      <c r="H987" s="13">
        <f t="shared" si="120"/>
        <v>5.1608656820917531E-2</v>
      </c>
      <c r="I987">
        <f t="shared" si="121"/>
        <v>90.659906351284448</v>
      </c>
      <c r="J987">
        <f t="shared" si="116"/>
        <v>201.18992321654352</v>
      </c>
      <c r="K987" s="27">
        <f t="shared" si="117"/>
        <v>2088.8174944657922</v>
      </c>
    </row>
    <row r="988" spans="1:11">
      <c r="A988" s="26">
        <v>938</v>
      </c>
      <c r="B988" s="82">
        <f t="shared" si="118"/>
        <v>3.2921237647087764E-4</v>
      </c>
      <c r="C988" s="58">
        <f t="shared" si="122"/>
        <v>42.611396119217389</v>
      </c>
      <c r="D988" s="83">
        <f t="shared" si="119"/>
        <v>181.05391800163443</v>
      </c>
      <c r="E988">
        <f t="shared" si="115"/>
        <v>10.791791227121346</v>
      </c>
      <c r="G988">
        <v>938</v>
      </c>
      <c r="H988" s="13">
        <f t="shared" si="120"/>
        <v>5.1608656820917531E-2</v>
      </c>
      <c r="I988">
        <f t="shared" si="121"/>
        <v>90.711515008105366</v>
      </c>
      <c r="J988">
        <f t="shared" si="116"/>
        <v>201.17393654019631</v>
      </c>
      <c r="K988" s="27">
        <f t="shared" si="117"/>
        <v>2088.4847550976942</v>
      </c>
    </row>
    <row r="989" spans="1:11">
      <c r="A989" s="26">
        <v>939</v>
      </c>
      <c r="B989" s="82">
        <f t="shared" si="118"/>
        <v>3.2921237647087764E-4</v>
      </c>
      <c r="C989" s="58">
        <f t="shared" si="122"/>
        <v>42.61172533159386</v>
      </c>
      <c r="D989" s="83">
        <f t="shared" si="119"/>
        <v>181.05455440685651</v>
      </c>
      <c r="E989">
        <f t="shared" si="115"/>
        <v>10.79186709185681</v>
      </c>
      <c r="G989">
        <v>939</v>
      </c>
      <c r="H989" s="13">
        <f t="shared" si="120"/>
        <v>5.1608656820917531E-2</v>
      </c>
      <c r="I989">
        <f t="shared" si="121"/>
        <v>90.763123664926283</v>
      </c>
      <c r="J989">
        <f t="shared" si="116"/>
        <v>201.15787454949097</v>
      </c>
      <c r="K989" s="27">
        <f t="shared" si="117"/>
        <v>2088.1504775735511</v>
      </c>
    </row>
    <row r="990" spans="1:11">
      <c r="A990" s="26">
        <v>940</v>
      </c>
      <c r="B990" s="82">
        <f t="shared" si="118"/>
        <v>3.2921237647087764E-4</v>
      </c>
      <c r="C990" s="58">
        <f t="shared" si="122"/>
        <v>42.612054543970331</v>
      </c>
      <c r="D990" s="83">
        <f t="shared" si="119"/>
        <v>181.05519078455853</v>
      </c>
      <c r="E990">
        <f t="shared" si="115"/>
        <v>10.79194295357839</v>
      </c>
      <c r="G990">
        <v>940</v>
      </c>
      <c r="H990" s="13">
        <f t="shared" si="120"/>
        <v>5.1608656820917531E-2</v>
      </c>
      <c r="I990">
        <f t="shared" si="121"/>
        <v>90.814732321747201</v>
      </c>
      <c r="J990">
        <f t="shared" si="116"/>
        <v>201.1417371507535</v>
      </c>
      <c r="K990" s="27">
        <f t="shared" si="117"/>
        <v>2087.8146603181535</v>
      </c>
    </row>
    <row r="991" spans="1:11">
      <c r="A991" s="26">
        <v>941</v>
      </c>
      <c r="B991" s="82">
        <f t="shared" si="118"/>
        <v>3.2921237647087764E-4</v>
      </c>
      <c r="C991" s="58">
        <f t="shared" si="122"/>
        <v>42.612383756346802</v>
      </c>
      <c r="D991" s="83">
        <f t="shared" si="119"/>
        <v>181.05582713474325</v>
      </c>
      <c r="E991">
        <f t="shared" si="115"/>
        <v>10.792018812286386</v>
      </c>
      <c r="G991">
        <v>941</v>
      </c>
      <c r="H991" s="13">
        <f t="shared" si="120"/>
        <v>5.1608656820917531E-2</v>
      </c>
      <c r="I991">
        <f t="shared" si="121"/>
        <v>90.866340978568118</v>
      </c>
      <c r="J991">
        <f t="shared" si="116"/>
        <v>201.12552424971349</v>
      </c>
      <c r="K991" s="27">
        <f t="shared" si="117"/>
        <v>2087.4773017462726</v>
      </c>
    </row>
    <row r="992" spans="1:11">
      <c r="A992" s="26">
        <v>942</v>
      </c>
      <c r="B992" s="82">
        <f t="shared" si="118"/>
        <v>3.2921237647087764E-4</v>
      </c>
      <c r="C992" s="58">
        <f t="shared" si="122"/>
        <v>42.612712968723272</v>
      </c>
      <c r="D992" s="83">
        <f t="shared" si="119"/>
        <v>181.05646345741354</v>
      </c>
      <c r="E992">
        <f t="shared" si="115"/>
        <v>10.792094667981102</v>
      </c>
      <c r="G992">
        <v>942</v>
      </c>
      <c r="H992" s="13">
        <f t="shared" si="120"/>
        <v>5.1608656820917531E-2</v>
      </c>
      <c r="I992">
        <f t="shared" si="121"/>
        <v>90.917949635389036</v>
      </c>
      <c r="J992">
        <f t="shared" si="116"/>
        <v>201.10923575150127</v>
      </c>
      <c r="K992" s="27">
        <f t="shared" si="117"/>
        <v>2087.138400262605</v>
      </c>
    </row>
    <row r="993" spans="1:11">
      <c r="A993" s="26">
        <v>943</v>
      </c>
      <c r="B993" s="82">
        <f t="shared" si="118"/>
        <v>3.2921237647087764E-4</v>
      </c>
      <c r="C993" s="58">
        <f t="shared" si="122"/>
        <v>42.613042181099743</v>
      </c>
      <c r="D993" s="83">
        <f t="shared" si="119"/>
        <v>181.05709975257219</v>
      </c>
      <c r="E993">
        <f t="shared" si="115"/>
        <v>10.792170520662838</v>
      </c>
      <c r="G993">
        <v>943</v>
      </c>
      <c r="H993" s="13">
        <f t="shared" si="120"/>
        <v>5.1608656820917531E-2</v>
      </c>
      <c r="I993">
        <f t="shared" si="121"/>
        <v>90.969558292209953</v>
      </c>
      <c r="J993">
        <f t="shared" si="116"/>
        <v>201.09287156064465</v>
      </c>
      <c r="K993" s="27">
        <f t="shared" si="117"/>
        <v>2086.7979542617227</v>
      </c>
    </row>
    <row r="994" spans="1:11">
      <c r="A994" s="26">
        <v>944</v>
      </c>
      <c r="B994" s="82">
        <f t="shared" si="118"/>
        <v>3.2921237647087764E-4</v>
      </c>
      <c r="C994" s="58">
        <f t="shared" si="122"/>
        <v>42.613371393476214</v>
      </c>
      <c r="D994" s="83">
        <f t="shared" si="119"/>
        <v>181.05773602022199</v>
      </c>
      <c r="E994">
        <f t="shared" si="115"/>
        <v>10.792246370331895</v>
      </c>
      <c r="G994">
        <v>944</v>
      </c>
      <c r="H994" s="13">
        <f t="shared" si="120"/>
        <v>5.1608656820917531E-2</v>
      </c>
      <c r="I994">
        <f t="shared" si="121"/>
        <v>91.021166949030871</v>
      </c>
      <c r="J994">
        <f t="shared" si="116"/>
        <v>201.07643158106583</v>
      </c>
      <c r="K994" s="27">
        <f t="shared" si="117"/>
        <v>2086.4559621280191</v>
      </c>
    </row>
    <row r="995" spans="1:11">
      <c r="A995" s="26">
        <v>945</v>
      </c>
      <c r="B995" s="82">
        <f t="shared" si="118"/>
        <v>3.2921237647087764E-4</v>
      </c>
      <c r="C995" s="58">
        <f t="shared" si="122"/>
        <v>42.613700605852685</v>
      </c>
      <c r="D995" s="83">
        <f t="shared" si="119"/>
        <v>181.05837226036581</v>
      </c>
      <c r="E995">
        <f t="shared" si="115"/>
        <v>10.79232221698858</v>
      </c>
      <c r="G995">
        <v>945</v>
      </c>
      <c r="H995" s="13">
        <f t="shared" si="120"/>
        <v>5.1608656820917531E-2</v>
      </c>
      <c r="I995">
        <f t="shared" si="121"/>
        <v>91.072775605851788</v>
      </c>
      <c r="J995">
        <f t="shared" si="116"/>
        <v>201.05991571607819</v>
      </c>
      <c r="K995" s="27">
        <f t="shared" si="117"/>
        <v>2086.1124222356566</v>
      </c>
    </row>
    <row r="996" spans="1:11">
      <c r="A996" s="26">
        <v>946</v>
      </c>
      <c r="B996" s="82">
        <f t="shared" si="118"/>
        <v>3.2921237647087764E-4</v>
      </c>
      <c r="C996" s="58">
        <f t="shared" si="122"/>
        <v>42.614029818229156</v>
      </c>
      <c r="D996" s="83">
        <f t="shared" si="119"/>
        <v>181.05900847300643</v>
      </c>
      <c r="E996">
        <f t="shared" si="115"/>
        <v>10.792398060633188</v>
      </c>
      <c r="G996">
        <v>946</v>
      </c>
      <c r="H996" s="13">
        <f t="shared" si="120"/>
        <v>5.1608656820917531E-2</v>
      </c>
      <c r="I996">
        <f t="shared" si="121"/>
        <v>91.124384262672706</v>
      </c>
      <c r="J996">
        <f t="shared" si="116"/>
        <v>201.0433238683832</v>
      </c>
      <c r="K996" s="27">
        <f t="shared" si="117"/>
        <v>2085.7673329485124</v>
      </c>
    </row>
    <row r="997" spans="1:11">
      <c r="A997" s="26">
        <v>947</v>
      </c>
      <c r="B997" s="82">
        <f t="shared" si="118"/>
        <v>3.2921237647087764E-4</v>
      </c>
      <c r="C997" s="58">
        <f t="shared" si="122"/>
        <v>42.614359030605627</v>
      </c>
      <c r="D997" s="83">
        <f t="shared" si="119"/>
        <v>181.05964465814668</v>
      </c>
      <c r="E997">
        <f t="shared" si="115"/>
        <v>10.792473901266014</v>
      </c>
      <c r="G997">
        <v>947</v>
      </c>
      <c r="H997" s="13">
        <f t="shared" si="120"/>
        <v>5.1608656820917531E-2</v>
      </c>
      <c r="I997">
        <f t="shared" si="121"/>
        <v>91.175992919493623</v>
      </c>
      <c r="J997">
        <f t="shared" si="116"/>
        <v>201.02665594006714</v>
      </c>
      <c r="K997" s="27">
        <f t="shared" si="117"/>
        <v>2085.4206926201255</v>
      </c>
    </row>
    <row r="998" spans="1:11">
      <c r="A998" s="26">
        <v>948</v>
      </c>
      <c r="B998" s="82">
        <f t="shared" si="118"/>
        <v>3.2921237647087764E-4</v>
      </c>
      <c r="C998" s="58">
        <f t="shared" si="122"/>
        <v>42.614688242982098</v>
      </c>
      <c r="D998" s="83">
        <f t="shared" si="119"/>
        <v>181.06028081578935</v>
      </c>
      <c r="E998">
        <f t="shared" si="115"/>
        <v>10.792549738887372</v>
      </c>
      <c r="G998">
        <v>948</v>
      </c>
      <c r="H998" s="13">
        <f t="shared" si="120"/>
        <v>5.1608656820917531E-2</v>
      </c>
      <c r="I998">
        <f t="shared" si="121"/>
        <v>91.227601576314541</v>
      </c>
      <c r="J998">
        <f t="shared" si="116"/>
        <v>201.00991183259779</v>
      </c>
      <c r="K998" s="27">
        <f t="shared" si="117"/>
        <v>2085.0724995936375</v>
      </c>
    </row>
    <row r="999" spans="1:11">
      <c r="A999" s="26">
        <v>949</v>
      </c>
      <c r="B999" s="82">
        <f t="shared" si="118"/>
        <v>3.2921237647087764E-4</v>
      </c>
      <c r="C999" s="58">
        <f t="shared" si="122"/>
        <v>42.615017455358569</v>
      </c>
      <c r="D999" s="83">
        <f t="shared" si="119"/>
        <v>181.06091694593727</v>
      </c>
      <c r="E999">
        <f t="shared" si="115"/>
        <v>10.792625573497547</v>
      </c>
      <c r="G999">
        <v>949</v>
      </c>
      <c r="H999" s="13">
        <f t="shared" si="120"/>
        <v>5.1608656820917531E-2</v>
      </c>
      <c r="I999">
        <f t="shared" si="121"/>
        <v>91.279210233135458</v>
      </c>
      <c r="J999">
        <f t="shared" si="116"/>
        <v>200.99309144682127</v>
      </c>
      <c r="K999" s="27">
        <f t="shared" si="117"/>
        <v>2084.7227522017442</v>
      </c>
    </row>
    <row r="1000" spans="1:11">
      <c r="A1000" s="26">
        <v>950</v>
      </c>
      <c r="B1000" s="82">
        <f t="shared" si="118"/>
        <v>3.2921237647087764E-4</v>
      </c>
      <c r="C1000" s="58">
        <f t="shared" si="122"/>
        <v>42.615346667735039</v>
      </c>
      <c r="D1000" s="83">
        <f t="shared" si="119"/>
        <v>181.06155304859325</v>
      </c>
      <c r="E1000">
        <f t="shared" si="115"/>
        <v>10.792701405096857</v>
      </c>
      <c r="G1000">
        <v>950</v>
      </c>
      <c r="H1000" s="13">
        <f t="shared" si="120"/>
        <v>5.1608656820917531E-2</v>
      </c>
      <c r="I1000">
        <f t="shared" si="121"/>
        <v>91.330818889956376</v>
      </c>
      <c r="J1000">
        <f t="shared" si="116"/>
        <v>200.97619468295858</v>
      </c>
      <c r="K1000" s="27">
        <f t="shared" si="117"/>
        <v>2084.3714487666343</v>
      </c>
    </row>
    <row r="1001" spans="1:11">
      <c r="A1001" s="26">
        <v>951</v>
      </c>
      <c r="B1001" s="82">
        <f t="shared" si="118"/>
        <v>3.2921237647087764E-4</v>
      </c>
      <c r="C1001" s="58">
        <f t="shared" si="122"/>
        <v>42.61567588011151</v>
      </c>
      <c r="D1001" s="83">
        <f t="shared" si="119"/>
        <v>181.06218912376011</v>
      </c>
      <c r="E1001">
        <f t="shared" si="115"/>
        <v>10.792777233685591</v>
      </c>
      <c r="G1001">
        <v>951</v>
      </c>
      <c r="H1001" s="13">
        <f t="shared" si="120"/>
        <v>5.1608656820917531E-2</v>
      </c>
      <c r="I1001">
        <f t="shared" si="121"/>
        <v>91.382427546777294</v>
      </c>
      <c r="J1001">
        <f t="shared" si="116"/>
        <v>200.95922144060251</v>
      </c>
      <c r="K1001" s="27">
        <f t="shared" si="117"/>
        <v>2084.0185875999373</v>
      </c>
    </row>
    <row r="1002" spans="1:11">
      <c r="A1002" s="26">
        <v>952</v>
      </c>
      <c r="B1002" s="82">
        <f t="shared" si="118"/>
        <v>3.2921237647087764E-4</v>
      </c>
      <c r="C1002" s="58">
        <f t="shared" si="122"/>
        <v>42.616005092487981</v>
      </c>
      <c r="D1002" s="83">
        <f t="shared" si="119"/>
        <v>181.06282517144064</v>
      </c>
      <c r="E1002">
        <f t="shared" si="115"/>
        <v>10.792853059264052</v>
      </c>
      <c r="G1002">
        <v>952</v>
      </c>
      <c r="H1002" s="13">
        <f t="shared" si="120"/>
        <v>5.1608656820917531E-2</v>
      </c>
      <c r="I1002">
        <f t="shared" si="121"/>
        <v>91.434036203598211</v>
      </c>
      <c r="J1002">
        <f t="shared" si="116"/>
        <v>200.94217161871399</v>
      </c>
      <c r="K1002" s="27">
        <f t="shared" si="117"/>
        <v>2083.6641670026606</v>
      </c>
    </row>
    <row r="1003" spans="1:11">
      <c r="A1003" s="26">
        <v>953</v>
      </c>
      <c r="B1003" s="82">
        <f t="shared" si="118"/>
        <v>3.2921237647087764E-4</v>
      </c>
      <c r="C1003" s="58">
        <f t="shared" si="122"/>
        <v>42.616334304864452</v>
      </c>
      <c r="D1003" s="83">
        <f t="shared" si="119"/>
        <v>181.06346119163766</v>
      </c>
      <c r="E1003">
        <f t="shared" si="115"/>
        <v>10.792928881832538</v>
      </c>
      <c r="G1003">
        <v>953</v>
      </c>
      <c r="H1003" s="13">
        <f t="shared" si="120"/>
        <v>5.1608656820917531E-2</v>
      </c>
      <c r="I1003">
        <f t="shared" si="121"/>
        <v>91.485644860419129</v>
      </c>
      <c r="J1003">
        <f t="shared" si="116"/>
        <v>200.92504511561879</v>
      </c>
      <c r="K1003" s="27">
        <f t="shared" si="117"/>
        <v>2083.3081852651408</v>
      </c>
    </row>
    <row r="1004" spans="1:11">
      <c r="A1004" s="26">
        <v>954</v>
      </c>
      <c r="B1004" s="82">
        <f t="shared" si="118"/>
        <v>3.2921237647087764E-4</v>
      </c>
      <c r="C1004" s="58">
        <f t="shared" si="122"/>
        <v>42.616663517240923</v>
      </c>
      <c r="D1004" s="83">
        <f t="shared" si="119"/>
        <v>181.06409718435395</v>
      </c>
      <c r="E1004">
        <f t="shared" si="115"/>
        <v>10.793004701391355</v>
      </c>
      <c r="G1004">
        <v>954</v>
      </c>
      <c r="H1004" s="13">
        <f t="shared" si="120"/>
        <v>5.1608656820917531E-2</v>
      </c>
      <c r="I1004">
        <f t="shared" si="121"/>
        <v>91.537253517240046</v>
      </c>
      <c r="J1004">
        <f t="shared" si="116"/>
        <v>200.90784182900421</v>
      </c>
      <c r="K1004" s="27">
        <f t="shared" si="117"/>
        <v>2082.9506406669802</v>
      </c>
    </row>
    <row r="1005" spans="1:11">
      <c r="A1005" s="26">
        <v>955</v>
      </c>
      <c r="B1005" s="82">
        <f t="shared" si="118"/>
        <v>3.2921237647087764E-4</v>
      </c>
      <c r="C1005" s="58">
        <f t="shared" si="122"/>
        <v>42.616992729617394</v>
      </c>
      <c r="D1005" s="83">
        <f t="shared" si="119"/>
        <v>181.06473314959237</v>
      </c>
      <c r="E1005">
        <f t="shared" si="115"/>
        <v>10.793080517940801</v>
      </c>
      <c r="G1005">
        <v>955</v>
      </c>
      <c r="H1005" s="13">
        <f t="shared" si="120"/>
        <v>5.1608656820917531E-2</v>
      </c>
      <c r="I1005">
        <f t="shared" si="121"/>
        <v>91.588862174060964</v>
      </c>
      <c r="J1005">
        <f t="shared" si="116"/>
        <v>200.89056165591552</v>
      </c>
      <c r="K1005" s="27">
        <f t="shared" si="117"/>
        <v>2082.5915314769891</v>
      </c>
    </row>
    <row r="1006" spans="1:11">
      <c r="A1006" s="26">
        <v>956</v>
      </c>
      <c r="B1006" s="82">
        <f t="shared" si="118"/>
        <v>3.2921237647087764E-4</v>
      </c>
      <c r="C1006" s="58">
        <f t="shared" si="122"/>
        <v>42.617321941993865</v>
      </c>
      <c r="D1006" s="83">
        <f t="shared" si="119"/>
        <v>181.06536908735572</v>
      </c>
      <c r="E1006">
        <f t="shared" si="115"/>
        <v>10.793156331481178</v>
      </c>
      <c r="G1006">
        <v>956</v>
      </c>
      <c r="H1006" s="13">
        <f t="shared" si="120"/>
        <v>5.1608656820917531E-2</v>
      </c>
      <c r="I1006">
        <f t="shared" si="121"/>
        <v>91.640470830881881</v>
      </c>
      <c r="J1006">
        <f t="shared" si="116"/>
        <v>200.87320449275239</v>
      </c>
      <c r="K1006" s="27">
        <f t="shared" si="117"/>
        <v>2082.2308559531284</v>
      </c>
    </row>
    <row r="1007" spans="1:11">
      <c r="A1007" s="26">
        <v>957</v>
      </c>
      <c r="B1007" s="82">
        <f t="shared" si="118"/>
        <v>3.2921237647087764E-4</v>
      </c>
      <c r="C1007" s="58">
        <f t="shared" si="122"/>
        <v>42.617651154370336</v>
      </c>
      <c r="D1007" s="83">
        <f t="shared" si="119"/>
        <v>181.06600499764679</v>
      </c>
      <c r="E1007">
        <f t="shared" si="115"/>
        <v>10.793232142012778</v>
      </c>
      <c r="G1007">
        <v>957</v>
      </c>
      <c r="H1007" s="13">
        <f t="shared" si="120"/>
        <v>5.1608656820917531E-2</v>
      </c>
      <c r="I1007">
        <f t="shared" si="121"/>
        <v>91.692079487702799</v>
      </c>
      <c r="J1007">
        <f t="shared" si="116"/>
        <v>200.85577023526554</v>
      </c>
      <c r="K1007" s="27">
        <f t="shared" si="117"/>
        <v>2081.86861234245</v>
      </c>
    </row>
    <row r="1008" spans="1:11">
      <c r="A1008" s="26">
        <v>958</v>
      </c>
      <c r="B1008" s="82">
        <f t="shared" si="118"/>
        <v>3.2921237647087764E-4</v>
      </c>
      <c r="C1008" s="58">
        <f t="shared" si="122"/>
        <v>42.617980366746806</v>
      </c>
      <c r="D1008" s="83">
        <f t="shared" si="119"/>
        <v>181.06664088046838</v>
      </c>
      <c r="E1008">
        <f t="shared" si="115"/>
        <v>10.793307949535913</v>
      </c>
      <c r="G1008">
        <v>958</v>
      </c>
      <c r="H1008" s="13">
        <f t="shared" si="120"/>
        <v>5.1608656820917531E-2</v>
      </c>
      <c r="I1008">
        <f t="shared" si="121"/>
        <v>91.743688144523716</v>
      </c>
      <c r="J1008">
        <f t="shared" si="116"/>
        <v>200.83825877855301</v>
      </c>
      <c r="K1008" s="27">
        <f t="shared" si="117"/>
        <v>2081.5047988810352</v>
      </c>
    </row>
    <row r="1009" spans="1:11">
      <c r="A1009" s="26">
        <v>959</v>
      </c>
      <c r="B1009" s="82">
        <f t="shared" si="118"/>
        <v>3.2921237647087764E-4</v>
      </c>
      <c r="C1009" s="58">
        <f t="shared" si="122"/>
        <v>42.618309579123277</v>
      </c>
      <c r="D1009" s="83">
        <f t="shared" si="119"/>
        <v>181.0672767358233</v>
      </c>
      <c r="E1009">
        <f t="shared" si="115"/>
        <v>10.793383754050874</v>
      </c>
      <c r="G1009">
        <v>959</v>
      </c>
      <c r="H1009" s="13">
        <f t="shared" si="120"/>
        <v>5.1608656820917531E-2</v>
      </c>
      <c r="I1009">
        <f t="shared" si="121"/>
        <v>91.795296801344634</v>
      </c>
      <c r="J1009">
        <f t="shared" si="116"/>
        <v>200.82067001705676</v>
      </c>
      <c r="K1009" s="27">
        <f t="shared" si="117"/>
        <v>2081.1394137939374</v>
      </c>
    </row>
    <row r="1010" spans="1:11">
      <c r="A1010" s="26">
        <v>960</v>
      </c>
      <c r="B1010" s="82">
        <f t="shared" si="118"/>
        <v>3.2921237647087764E-4</v>
      </c>
      <c r="C1010" s="58">
        <f t="shared" si="122"/>
        <v>42.618638791499748</v>
      </c>
      <c r="D1010" s="83">
        <f t="shared" si="119"/>
        <v>181.0679125637144</v>
      </c>
      <c r="E1010">
        <f t="shared" si="115"/>
        <v>10.793459555557966</v>
      </c>
      <c r="G1010">
        <v>960</v>
      </c>
      <c r="H1010" s="13">
        <f t="shared" si="120"/>
        <v>5.1608656820917531E-2</v>
      </c>
      <c r="I1010">
        <f t="shared" si="121"/>
        <v>91.846905458165551</v>
      </c>
      <c r="J1010">
        <f t="shared" si="116"/>
        <v>200.80300384455884</v>
      </c>
      <c r="K1010" s="27">
        <f t="shared" si="117"/>
        <v>2080.772455295119</v>
      </c>
    </row>
    <row r="1011" spans="1:11">
      <c r="A1011" s="26">
        <v>961</v>
      </c>
      <c r="B1011" s="82">
        <f t="shared" si="118"/>
        <v>3.2921237647087764E-4</v>
      </c>
      <c r="C1011" s="58">
        <f t="shared" si="122"/>
        <v>42.618968003876219</v>
      </c>
      <c r="D1011" s="83">
        <f t="shared" si="119"/>
        <v>181.06854836414442</v>
      </c>
      <c r="E1011">
        <f t="shared" ref="E1011:E1074" si="123">((D1011^2)+(D1011*D1012)+(D1012^2))*B1012/3</f>
        <v>10.793535354057488</v>
      </c>
      <c r="G1011">
        <v>961</v>
      </c>
      <c r="H1011" s="13">
        <f t="shared" si="120"/>
        <v>5.1608656820917531E-2</v>
      </c>
      <c r="I1011">
        <f t="shared" si="121"/>
        <v>91.898514114986469</v>
      </c>
      <c r="J1011">
        <f t="shared" ref="J1011:J1074" si="124">IF($G$28&lt;$C$14,0,((($C$11^2)-((I1011-$C$13)^2))^0.5)+$C$16)</f>
        <v>200.78526015417796</v>
      </c>
      <c r="K1011" s="27">
        <f t="shared" ref="K1011:K1074" si="125">((J1011^2)+(J1011*J1012)+(J1012^2))*H1012/3</f>
        <v>2080.4039215873895</v>
      </c>
    </row>
    <row r="1012" spans="1:11">
      <c r="A1012" s="26">
        <v>962</v>
      </c>
      <c r="B1012" s="82">
        <f t="shared" ref="B1012:B1075" si="126">C1012-C1011</f>
        <v>3.2921237647087764E-4</v>
      </c>
      <c r="C1012" s="58">
        <f t="shared" si="122"/>
        <v>42.61929721625269</v>
      </c>
      <c r="D1012" s="83">
        <f t="shared" ref="D1012:D1075" si="127">IF($G$28&lt;$C$14,0,((($C$11^2)-((C1012-$C$13)^2))^0.5)+$C$16)</f>
        <v>181.06918413711622</v>
      </c>
      <c r="E1012">
        <f t="shared" si="123"/>
        <v>10.79361114954974</v>
      </c>
      <c r="G1012">
        <v>962</v>
      </c>
      <c r="H1012" s="13">
        <f t="shared" ref="H1012:H1075" si="128">I1012-I1011</f>
        <v>5.1608656820917531E-2</v>
      </c>
      <c r="I1012">
        <f t="shared" ref="I1012:I1075" si="129">($G$27-$C$14)/2000+I1011</f>
        <v>91.950122771807386</v>
      </c>
      <c r="J1012">
        <f t="shared" si="124"/>
        <v>200.76743883836559</v>
      </c>
      <c r="K1012" s="27">
        <f t="shared" si="125"/>
        <v>2080.0338108623459</v>
      </c>
    </row>
    <row r="1013" spans="1:11">
      <c r="A1013" s="26">
        <v>963</v>
      </c>
      <c r="B1013" s="82">
        <f t="shared" si="126"/>
        <v>3.2921237647087764E-4</v>
      </c>
      <c r="C1013" s="58">
        <f t="shared" si="122"/>
        <v>42.619626428629161</v>
      </c>
      <c r="D1013" s="83">
        <f t="shared" si="127"/>
        <v>181.06981988263257</v>
      </c>
      <c r="E1013">
        <f t="shared" si="123"/>
        <v>10.793686942035018</v>
      </c>
      <c r="G1013">
        <v>963</v>
      </c>
      <c r="H1013" s="13">
        <f t="shared" si="128"/>
        <v>5.1608656820917531E-2</v>
      </c>
      <c r="I1013">
        <f t="shared" si="129"/>
        <v>92.001731428628304</v>
      </c>
      <c r="J1013">
        <f t="shared" si="124"/>
        <v>200.74953978890241</v>
      </c>
      <c r="K1013" s="27">
        <f t="shared" si="125"/>
        <v>2079.6621213003073</v>
      </c>
    </row>
    <row r="1014" spans="1:11">
      <c r="A1014" s="26">
        <v>964</v>
      </c>
      <c r="B1014" s="82">
        <f t="shared" si="126"/>
        <v>3.2921237647087764E-4</v>
      </c>
      <c r="C1014" s="58">
        <f t="shared" si="122"/>
        <v>42.619955641005632</v>
      </c>
      <c r="D1014" s="83">
        <f t="shared" si="127"/>
        <v>181.07045560069631</v>
      </c>
      <c r="E1014">
        <f t="shared" si="123"/>
        <v>10.793762731513629</v>
      </c>
      <c r="G1014">
        <v>964</v>
      </c>
      <c r="H1014" s="13">
        <f t="shared" si="128"/>
        <v>5.1608656820917531E-2</v>
      </c>
      <c r="I1014">
        <f t="shared" si="129"/>
        <v>92.053340085449221</v>
      </c>
      <c r="J1014">
        <f t="shared" si="124"/>
        <v>200.73156289689447</v>
      </c>
      <c r="K1014" s="27">
        <f t="shared" si="125"/>
        <v>2079.2888510702533</v>
      </c>
    </row>
    <row r="1015" spans="1:11">
      <c r="A1015" s="26">
        <v>965</v>
      </c>
      <c r="B1015" s="82">
        <f t="shared" si="126"/>
        <v>3.2921237647087764E-4</v>
      </c>
      <c r="C1015" s="58">
        <f t="shared" si="122"/>
        <v>42.620284853382103</v>
      </c>
      <c r="D1015" s="83">
        <f t="shared" si="127"/>
        <v>181.07109129131018</v>
      </c>
      <c r="E1015">
        <f t="shared" si="123"/>
        <v>10.793838517985867</v>
      </c>
      <c r="G1015">
        <v>965</v>
      </c>
      <c r="H1015" s="13">
        <f t="shared" si="128"/>
        <v>5.1608656820917531E-2</v>
      </c>
      <c r="I1015">
        <f t="shared" si="129"/>
        <v>92.104948742270139</v>
      </c>
      <c r="J1015">
        <f t="shared" si="124"/>
        <v>200.71350805276941</v>
      </c>
      <c r="K1015" s="27">
        <f t="shared" si="125"/>
        <v>2078.9139983297596</v>
      </c>
    </row>
    <row r="1016" spans="1:11">
      <c r="A1016" s="26">
        <v>966</v>
      </c>
      <c r="B1016" s="82">
        <f t="shared" si="126"/>
        <v>3.2921237647087764E-4</v>
      </c>
      <c r="C1016" s="58">
        <f t="shared" si="122"/>
        <v>42.620614065758573</v>
      </c>
      <c r="D1016" s="83">
        <f t="shared" si="127"/>
        <v>181.07172695447707</v>
      </c>
      <c r="E1016">
        <f t="shared" si="123"/>
        <v>10.793914301452034</v>
      </c>
      <c r="G1016">
        <v>966</v>
      </c>
      <c r="H1016" s="13">
        <f t="shared" si="128"/>
        <v>5.1608656820917531E-2</v>
      </c>
      <c r="I1016">
        <f t="shared" si="129"/>
        <v>92.156557399091056</v>
      </c>
      <c r="J1016">
        <f t="shared" si="124"/>
        <v>200.69537514627268</v>
      </c>
      <c r="K1016" s="27">
        <f t="shared" si="125"/>
        <v>2078.537561224935</v>
      </c>
    </row>
    <row r="1017" spans="1:11">
      <c r="A1017" s="26">
        <v>967</v>
      </c>
      <c r="B1017" s="82">
        <f t="shared" si="126"/>
        <v>3.2921237647087764E-4</v>
      </c>
      <c r="C1017" s="58">
        <f t="shared" si="122"/>
        <v>42.620943278135044</v>
      </c>
      <c r="D1017" s="83">
        <f t="shared" si="127"/>
        <v>181.0723625901997</v>
      </c>
      <c r="E1017">
        <f t="shared" si="123"/>
        <v>10.793990081912428</v>
      </c>
      <c r="G1017">
        <v>967</v>
      </c>
      <c r="H1017" s="13">
        <f t="shared" si="128"/>
        <v>5.1608656820917531E-2</v>
      </c>
      <c r="I1017">
        <f t="shared" si="129"/>
        <v>92.208166055911974</v>
      </c>
      <c r="J1017">
        <f t="shared" si="124"/>
        <v>200.6771640664636</v>
      </c>
      <c r="K1017" s="27">
        <f t="shared" si="125"/>
        <v>2078.159537890353</v>
      </c>
    </row>
    <row r="1018" spans="1:11">
      <c r="A1018" s="26">
        <v>968</v>
      </c>
      <c r="B1018" s="82">
        <f t="shared" si="126"/>
        <v>3.2921237647087764E-4</v>
      </c>
      <c r="C1018" s="58">
        <f t="shared" si="122"/>
        <v>42.621272490511515</v>
      </c>
      <c r="D1018" s="83">
        <f t="shared" si="127"/>
        <v>181.07299819848095</v>
      </c>
      <c r="E1018">
        <f t="shared" si="123"/>
        <v>10.794065859367356</v>
      </c>
      <c r="G1018">
        <v>968</v>
      </c>
      <c r="H1018" s="13">
        <f t="shared" si="128"/>
        <v>5.1608656820917531E-2</v>
      </c>
      <c r="I1018">
        <f t="shared" si="129"/>
        <v>92.259774712732892</v>
      </c>
      <c r="J1018">
        <f t="shared" si="124"/>
        <v>200.65887470171162</v>
      </c>
      <c r="K1018" s="27">
        <f t="shared" si="125"/>
        <v>2077.7799264489913</v>
      </c>
    </row>
    <row r="1019" spans="1:11">
      <c r="A1019" s="26">
        <v>969</v>
      </c>
      <c r="B1019" s="82">
        <f t="shared" si="126"/>
        <v>3.2921237647087764E-4</v>
      </c>
      <c r="C1019" s="58">
        <f t="shared" si="122"/>
        <v>42.621601702887986</v>
      </c>
      <c r="D1019" s="83">
        <f t="shared" si="127"/>
        <v>181.07363377932356</v>
      </c>
      <c r="E1019">
        <f t="shared" si="123"/>
        <v>10.794141633817107</v>
      </c>
      <c r="G1019">
        <v>969</v>
      </c>
      <c r="H1019" s="13">
        <f t="shared" si="128"/>
        <v>5.1608656820917531E-2</v>
      </c>
      <c r="I1019">
        <f t="shared" si="129"/>
        <v>92.311383369553809</v>
      </c>
      <c r="J1019">
        <f t="shared" si="124"/>
        <v>200.64050693969222</v>
      </c>
      <c r="K1019" s="27">
        <f t="shared" si="125"/>
        <v>2077.3987250121618</v>
      </c>
    </row>
    <row r="1020" spans="1:11">
      <c r="A1020" s="26">
        <v>970</v>
      </c>
      <c r="B1020" s="82">
        <f t="shared" si="126"/>
        <v>3.2921237647087764E-4</v>
      </c>
      <c r="C1020" s="58">
        <f t="shared" si="122"/>
        <v>42.621930915264457</v>
      </c>
      <c r="D1020" s="83">
        <f t="shared" si="127"/>
        <v>181.07426933273035</v>
      </c>
      <c r="E1020">
        <f t="shared" si="123"/>
        <v>10.794217405261987</v>
      </c>
      <c r="G1020">
        <v>970</v>
      </c>
      <c r="H1020" s="13">
        <f t="shared" si="128"/>
        <v>5.1608656820917531E-2</v>
      </c>
      <c r="I1020">
        <f t="shared" si="129"/>
        <v>92.362992026374727</v>
      </c>
      <c r="J1020">
        <f t="shared" si="124"/>
        <v>200.62206066738304</v>
      </c>
      <c r="K1020" s="27">
        <f t="shared" si="125"/>
        <v>2077.0159316794452</v>
      </c>
    </row>
    <row r="1021" spans="1:11">
      <c r="A1021" s="26">
        <v>971</v>
      </c>
      <c r="B1021" s="82">
        <f t="shared" si="126"/>
        <v>3.2921237647087764E-4</v>
      </c>
      <c r="C1021" s="58">
        <f t="shared" si="122"/>
        <v>42.622260127640928</v>
      </c>
      <c r="D1021" s="83">
        <f t="shared" si="127"/>
        <v>181.07490485870414</v>
      </c>
      <c r="E1021">
        <f t="shared" si="123"/>
        <v>10.794293173702295</v>
      </c>
      <c r="G1021">
        <v>971</v>
      </c>
      <c r="H1021" s="13">
        <f t="shared" si="128"/>
        <v>5.1608656820917531E-2</v>
      </c>
      <c r="I1021">
        <f t="shared" si="129"/>
        <v>92.414600683195644</v>
      </c>
      <c r="J1021">
        <f t="shared" si="124"/>
        <v>200.60353577105988</v>
      </c>
      <c r="K1021" s="27">
        <f t="shared" si="125"/>
        <v>2076.6315445386231</v>
      </c>
    </row>
    <row r="1022" spans="1:11">
      <c r="A1022" s="26">
        <v>972</v>
      </c>
      <c r="B1022" s="82">
        <f t="shared" si="126"/>
        <v>3.2921237647087764E-4</v>
      </c>
      <c r="C1022" s="58">
        <f t="shared" si="122"/>
        <v>42.622589340017399</v>
      </c>
      <c r="D1022" s="83">
        <f t="shared" si="127"/>
        <v>181.07554035724772</v>
      </c>
      <c r="E1022">
        <f t="shared" si="123"/>
        <v>10.794368939138328</v>
      </c>
      <c r="G1022">
        <v>972</v>
      </c>
      <c r="H1022" s="13">
        <f t="shared" si="128"/>
        <v>5.1608656820917531E-2</v>
      </c>
      <c r="I1022">
        <f t="shared" si="129"/>
        <v>92.466209340016562</v>
      </c>
      <c r="J1022">
        <f t="shared" si="124"/>
        <v>200.58493213629268</v>
      </c>
      <c r="K1022" s="27">
        <f t="shared" si="125"/>
        <v>2076.2455616656121</v>
      </c>
    </row>
    <row r="1023" spans="1:11">
      <c r="A1023" s="26">
        <v>973</v>
      </c>
      <c r="B1023" s="82">
        <f t="shared" si="126"/>
        <v>3.2921237647087764E-4</v>
      </c>
      <c r="C1023" s="58">
        <f t="shared" si="122"/>
        <v>42.62291855239387</v>
      </c>
      <c r="D1023" s="83">
        <f t="shared" si="127"/>
        <v>181.07617582836386</v>
      </c>
      <c r="E1023">
        <f t="shared" si="123"/>
        <v>10.794444701570384</v>
      </c>
      <c r="G1023">
        <v>973</v>
      </c>
      <c r="H1023" s="13">
        <f t="shared" si="128"/>
        <v>5.1608656820917531E-2</v>
      </c>
      <c r="I1023">
        <f t="shared" si="129"/>
        <v>92.517817996837479</v>
      </c>
      <c r="J1023">
        <f t="shared" si="124"/>
        <v>200.56624964794139</v>
      </c>
      <c r="K1023" s="27">
        <f t="shared" si="125"/>
        <v>2075.8579811243917</v>
      </c>
    </row>
    <row r="1024" spans="1:11">
      <c r="A1024" s="26">
        <v>974</v>
      </c>
      <c r="B1024" s="82">
        <f t="shared" si="126"/>
        <v>3.2921237647087764E-4</v>
      </c>
      <c r="C1024" s="58">
        <f t="shared" si="122"/>
        <v>42.62324776477034</v>
      </c>
      <c r="D1024" s="83">
        <f t="shared" si="127"/>
        <v>181.07681127205541</v>
      </c>
      <c r="E1024">
        <f t="shared" si="123"/>
        <v>10.794520460998768</v>
      </c>
      <c r="G1024">
        <v>974</v>
      </c>
      <c r="H1024" s="13">
        <f t="shared" si="128"/>
        <v>5.1608656820917531E-2</v>
      </c>
      <c r="I1024">
        <f t="shared" si="129"/>
        <v>92.569426653658397</v>
      </c>
      <c r="J1024">
        <f t="shared" si="124"/>
        <v>200.54748819015185</v>
      </c>
      <c r="K1024" s="27">
        <f t="shared" si="125"/>
        <v>2075.4688009669385</v>
      </c>
    </row>
    <row r="1025" spans="1:11">
      <c r="A1025" s="26">
        <v>975</v>
      </c>
      <c r="B1025" s="82">
        <f t="shared" si="126"/>
        <v>3.2921237647087764E-4</v>
      </c>
      <c r="C1025" s="58">
        <f t="shared" si="122"/>
        <v>42.623576977146811</v>
      </c>
      <c r="D1025" s="83">
        <f t="shared" si="127"/>
        <v>181.07744668832515</v>
      </c>
      <c r="E1025">
        <f t="shared" si="123"/>
        <v>10.794596217423775</v>
      </c>
      <c r="G1025">
        <v>975</v>
      </c>
      <c r="H1025" s="13">
        <f t="shared" si="128"/>
        <v>5.1608656820917531E-2</v>
      </c>
      <c r="I1025">
        <f t="shared" si="129"/>
        <v>92.621035310479314</v>
      </c>
      <c r="J1025">
        <f t="shared" si="124"/>
        <v>200.52864764635177</v>
      </c>
      <c r="K1025" s="27">
        <f t="shared" si="125"/>
        <v>2075.078019233154</v>
      </c>
    </row>
    <row r="1026" spans="1:11">
      <c r="A1026" s="26">
        <v>976</v>
      </c>
      <c r="B1026" s="82">
        <f t="shared" si="126"/>
        <v>3.2921237647087764E-4</v>
      </c>
      <c r="C1026" s="58">
        <f t="shared" si="122"/>
        <v>42.623906189523282</v>
      </c>
      <c r="D1026" s="83">
        <f t="shared" si="127"/>
        <v>181.07808207717585</v>
      </c>
      <c r="E1026">
        <f t="shared" si="123"/>
        <v>10.794671970845707</v>
      </c>
      <c r="G1026">
        <v>976</v>
      </c>
      <c r="H1026" s="13">
        <f t="shared" si="128"/>
        <v>5.1608656820917531E-2</v>
      </c>
      <c r="I1026">
        <f t="shared" si="129"/>
        <v>92.672643967300232</v>
      </c>
      <c r="J1026">
        <f t="shared" si="124"/>
        <v>200.50972789924643</v>
      </c>
      <c r="K1026" s="27">
        <f t="shared" si="125"/>
        <v>2074.6856339507963</v>
      </c>
    </row>
    <row r="1027" spans="1:11">
      <c r="A1027" s="26">
        <v>977</v>
      </c>
      <c r="B1027" s="82">
        <f t="shared" si="126"/>
        <v>3.2921237647087764E-4</v>
      </c>
      <c r="C1027" s="58">
        <f t="shared" si="122"/>
        <v>42.624235401899753</v>
      </c>
      <c r="D1027" s="83">
        <f t="shared" si="127"/>
        <v>181.07871743861037</v>
      </c>
      <c r="E1027">
        <f t="shared" si="123"/>
        <v>10.794747721264867</v>
      </c>
      <c r="G1027">
        <v>977</v>
      </c>
      <c r="H1027" s="13">
        <f t="shared" si="128"/>
        <v>5.1608656820917531E-2</v>
      </c>
      <c r="I1027">
        <f t="shared" si="129"/>
        <v>92.724252624121149</v>
      </c>
      <c r="J1027">
        <f t="shared" si="124"/>
        <v>200.49072883081445</v>
      </c>
      <c r="K1027" s="27">
        <f t="shared" si="125"/>
        <v>2074.2916431354065</v>
      </c>
    </row>
    <row r="1028" spans="1:11">
      <c r="A1028" s="26">
        <v>978</v>
      </c>
      <c r="B1028" s="82">
        <f t="shared" si="126"/>
        <v>3.2921237647087764E-4</v>
      </c>
      <c r="C1028" s="58">
        <f t="shared" si="122"/>
        <v>42.624564614276224</v>
      </c>
      <c r="D1028" s="83">
        <f t="shared" si="127"/>
        <v>181.07935277263144</v>
      </c>
      <c r="E1028">
        <f t="shared" si="123"/>
        <v>10.794823468681543</v>
      </c>
      <c r="G1028">
        <v>978</v>
      </c>
      <c r="H1028" s="13">
        <f t="shared" si="128"/>
        <v>5.1608656820917531E-2</v>
      </c>
      <c r="I1028">
        <f t="shared" si="129"/>
        <v>92.775861280942067</v>
      </c>
      <c r="J1028">
        <f t="shared" si="124"/>
        <v>200.47165032230359</v>
      </c>
      <c r="K1028" s="27">
        <f t="shared" si="125"/>
        <v>2073.8960447902377</v>
      </c>
    </row>
    <row r="1029" spans="1:11">
      <c r="A1029" s="26">
        <v>979</v>
      </c>
      <c r="B1029" s="82">
        <f t="shared" si="126"/>
        <v>3.2921237647087764E-4</v>
      </c>
      <c r="C1029" s="58">
        <f t="shared" si="122"/>
        <v>42.624893826652695</v>
      </c>
      <c r="D1029" s="83">
        <f t="shared" si="127"/>
        <v>181.0799880792419</v>
      </c>
      <c r="E1029">
        <f t="shared" si="123"/>
        <v>10.794899213096036</v>
      </c>
      <c r="G1029">
        <v>979</v>
      </c>
      <c r="H1029" s="13">
        <f t="shared" si="128"/>
        <v>5.1608656820917531E-2</v>
      </c>
      <c r="I1029">
        <f t="shared" si="129"/>
        <v>92.827469937762984</v>
      </c>
      <c r="J1029">
        <f t="shared" si="124"/>
        <v>200.4524922542264</v>
      </c>
      <c r="K1029" s="27">
        <f t="shared" si="125"/>
        <v>2073.4988369061853</v>
      </c>
    </row>
    <row r="1030" spans="1:11">
      <c r="A1030" s="26">
        <v>980</v>
      </c>
      <c r="B1030" s="82">
        <f t="shared" si="126"/>
        <v>3.2921237647087764E-4</v>
      </c>
      <c r="C1030" s="58">
        <f t="shared" si="122"/>
        <v>42.625223039029166</v>
      </c>
      <c r="D1030" s="83">
        <f t="shared" si="127"/>
        <v>181.08062335844451</v>
      </c>
      <c r="E1030">
        <f t="shared" si="123"/>
        <v>10.794974954508653</v>
      </c>
      <c r="G1030">
        <v>980</v>
      </c>
      <c r="H1030" s="13">
        <f t="shared" si="128"/>
        <v>5.1608656820917531E-2</v>
      </c>
      <c r="I1030">
        <f t="shared" si="129"/>
        <v>92.879078594583902</v>
      </c>
      <c r="J1030">
        <f t="shared" si="124"/>
        <v>200.43325450635592</v>
      </c>
      <c r="K1030" s="27">
        <f t="shared" si="125"/>
        <v>2073.1000174617093</v>
      </c>
    </row>
    <row r="1031" spans="1:11">
      <c r="A1031" s="26">
        <v>981</v>
      </c>
      <c r="B1031" s="82">
        <f t="shared" si="126"/>
        <v>3.2921237647087764E-4</v>
      </c>
      <c r="C1031" s="58">
        <f t="shared" si="122"/>
        <v>42.625552251405637</v>
      </c>
      <c r="D1031" s="83">
        <f t="shared" si="127"/>
        <v>181.08125861024212</v>
      </c>
      <c r="E1031">
        <f t="shared" si="123"/>
        <v>10.795050692919689</v>
      </c>
      <c r="G1031">
        <v>981</v>
      </c>
      <c r="H1031" s="13">
        <f t="shared" si="128"/>
        <v>5.1608656820917531E-2</v>
      </c>
      <c r="I1031">
        <f t="shared" si="129"/>
        <v>92.930687251404819</v>
      </c>
      <c r="J1031">
        <f t="shared" si="124"/>
        <v>200.41393695772132</v>
      </c>
      <c r="K1031" s="27">
        <f t="shared" si="125"/>
        <v>2072.6995844227636</v>
      </c>
    </row>
    <row r="1032" spans="1:11">
      <c r="A1032" s="26">
        <v>982</v>
      </c>
      <c r="B1032" s="82">
        <f t="shared" si="126"/>
        <v>3.2921237647087764E-4</v>
      </c>
      <c r="C1032" s="58">
        <f t="shared" si="122"/>
        <v>42.625881463782108</v>
      </c>
      <c r="D1032" s="83">
        <f t="shared" si="127"/>
        <v>181.0818938346375</v>
      </c>
      <c r="E1032">
        <f t="shared" si="123"/>
        <v>10.795126428329446</v>
      </c>
      <c r="G1032">
        <v>982</v>
      </c>
      <c r="H1032" s="13">
        <f t="shared" si="128"/>
        <v>5.1608656820917531E-2</v>
      </c>
      <c r="I1032">
        <f t="shared" si="129"/>
        <v>92.982295908225737</v>
      </c>
      <c r="J1032">
        <f t="shared" si="124"/>
        <v>200.39453948660332</v>
      </c>
      <c r="K1032" s="27">
        <f t="shared" si="125"/>
        <v>2072.2975357427208</v>
      </c>
    </row>
    <row r="1033" spans="1:11">
      <c r="A1033" s="26">
        <v>983</v>
      </c>
      <c r="B1033" s="82">
        <f t="shared" si="126"/>
        <v>3.2921237647087764E-4</v>
      </c>
      <c r="C1033" s="58">
        <f t="shared" si="122"/>
        <v>42.626210676158578</v>
      </c>
      <c r="D1033" s="83">
        <f t="shared" si="127"/>
        <v>181.08252903163341</v>
      </c>
      <c r="E1033">
        <f t="shared" si="123"/>
        <v>10.795202160738215</v>
      </c>
      <c r="G1033">
        <v>983</v>
      </c>
      <c r="H1033" s="13">
        <f t="shared" si="128"/>
        <v>5.1608656820917531E-2</v>
      </c>
      <c r="I1033">
        <f t="shared" si="129"/>
        <v>93.033904565046655</v>
      </c>
      <c r="J1033">
        <f t="shared" si="124"/>
        <v>200.37506197052994</v>
      </c>
      <c r="K1033" s="27">
        <f t="shared" si="125"/>
        <v>2071.8938693622977</v>
      </c>
    </row>
    <row r="1034" spans="1:11">
      <c r="A1034" s="26">
        <v>984</v>
      </c>
      <c r="B1034" s="82">
        <f t="shared" si="126"/>
        <v>3.2921237647087764E-4</v>
      </c>
      <c r="C1034" s="58">
        <f t="shared" si="122"/>
        <v>42.626539888535049</v>
      </c>
      <c r="D1034" s="83">
        <f t="shared" si="127"/>
        <v>181.08316420123271</v>
      </c>
      <c r="E1034">
        <f t="shared" si="123"/>
        <v>10.795277890146304</v>
      </c>
      <c r="G1034">
        <v>984</v>
      </c>
      <c r="H1034" s="13">
        <f t="shared" si="128"/>
        <v>5.1608656820917531E-2</v>
      </c>
      <c r="I1034">
        <f t="shared" si="129"/>
        <v>93.085513221867572</v>
      </c>
      <c r="J1034">
        <f t="shared" si="124"/>
        <v>200.35550428627187</v>
      </c>
      <c r="K1034" s="27">
        <f t="shared" si="125"/>
        <v>2071.4885832094765</v>
      </c>
    </row>
    <row r="1035" spans="1:11">
      <c r="A1035" s="26">
        <v>985</v>
      </c>
      <c r="B1035" s="82">
        <f t="shared" si="126"/>
        <v>3.2921237647087764E-4</v>
      </c>
      <c r="C1035" s="58">
        <f t="shared" si="122"/>
        <v>42.62686910091152</v>
      </c>
      <c r="D1035" s="83">
        <f t="shared" si="127"/>
        <v>181.08379934343813</v>
      </c>
      <c r="E1035">
        <f t="shared" si="123"/>
        <v>10.795353616554003</v>
      </c>
      <c r="G1035">
        <v>985</v>
      </c>
      <c r="H1035" s="13">
        <f t="shared" si="128"/>
        <v>5.1608656820917531E-2</v>
      </c>
      <c r="I1035">
        <f t="shared" si="129"/>
        <v>93.13712187868849</v>
      </c>
      <c r="J1035">
        <f t="shared" si="124"/>
        <v>200.33586630983794</v>
      </c>
      <c r="K1035" s="27">
        <f t="shared" si="125"/>
        <v>2071.081675199433</v>
      </c>
    </row>
    <row r="1036" spans="1:11">
      <c r="A1036" s="26">
        <v>986</v>
      </c>
      <c r="B1036" s="82">
        <f t="shared" si="126"/>
        <v>3.2921237647087764E-4</v>
      </c>
      <c r="C1036" s="58">
        <f t="shared" si="122"/>
        <v>42.627198313287991</v>
      </c>
      <c r="D1036" s="83">
        <f t="shared" si="127"/>
        <v>181.0844344582525</v>
      </c>
      <c r="E1036">
        <f t="shared" si="123"/>
        <v>10.795429339961615</v>
      </c>
      <c r="G1036">
        <v>986</v>
      </c>
      <c r="H1036" s="13">
        <f t="shared" si="128"/>
        <v>5.1608656820917531E-2</v>
      </c>
      <c r="I1036">
        <f t="shared" si="129"/>
        <v>93.188730535509407</v>
      </c>
      <c r="J1036">
        <f t="shared" si="124"/>
        <v>200.31614791647056</v>
      </c>
      <c r="K1036" s="27">
        <f t="shared" si="125"/>
        <v>2070.6731432344554</v>
      </c>
    </row>
    <row r="1037" spans="1:11">
      <c r="A1037" s="26">
        <v>987</v>
      </c>
      <c r="B1037" s="82">
        <f t="shared" si="126"/>
        <v>3.2921237647087764E-4</v>
      </c>
      <c r="C1037" s="58">
        <f t="shared" si="122"/>
        <v>42.627527525664462</v>
      </c>
      <c r="D1037" s="83">
        <f t="shared" si="127"/>
        <v>181.08506954567861</v>
      </c>
      <c r="E1037">
        <f t="shared" si="123"/>
        <v>10.795505060369438</v>
      </c>
      <c r="G1037">
        <v>987</v>
      </c>
      <c r="H1037" s="13">
        <f t="shared" si="128"/>
        <v>5.1608656820917531E-2</v>
      </c>
      <c r="I1037">
        <f t="shared" si="129"/>
        <v>93.240339192330325</v>
      </c>
      <c r="J1037">
        <f t="shared" si="124"/>
        <v>200.29634898064106</v>
      </c>
      <c r="K1037" s="27">
        <f t="shared" si="125"/>
        <v>2070.2629852038681</v>
      </c>
    </row>
    <row r="1038" spans="1:11">
      <c r="A1038" s="26">
        <v>988</v>
      </c>
      <c r="B1038" s="82">
        <f t="shared" si="126"/>
        <v>3.2921237647087764E-4</v>
      </c>
      <c r="C1038" s="58">
        <f t="shared" si="122"/>
        <v>42.627856738040933</v>
      </c>
      <c r="D1038" s="83">
        <f t="shared" si="127"/>
        <v>181.08570460571923</v>
      </c>
      <c r="E1038">
        <f t="shared" si="123"/>
        <v>10.795580777777772</v>
      </c>
      <c r="G1038">
        <v>988</v>
      </c>
      <c r="H1038" s="13">
        <f t="shared" si="128"/>
        <v>5.1608656820917531E-2</v>
      </c>
      <c r="I1038">
        <f t="shared" si="129"/>
        <v>93.291947849151242</v>
      </c>
      <c r="J1038">
        <f t="shared" si="124"/>
        <v>200.27646937604501</v>
      </c>
      <c r="K1038" s="27">
        <f t="shared" si="125"/>
        <v>2069.8511989839521</v>
      </c>
    </row>
    <row r="1039" spans="1:11">
      <c r="A1039" s="26">
        <v>989</v>
      </c>
      <c r="B1039" s="82">
        <f t="shared" si="126"/>
        <v>3.2921237647087764E-4</v>
      </c>
      <c r="C1039" s="58">
        <f t="shared" si="122"/>
        <v>42.628185950417404</v>
      </c>
      <c r="D1039" s="83">
        <f t="shared" si="127"/>
        <v>181.08633963837721</v>
      </c>
      <c r="E1039">
        <f t="shared" si="123"/>
        <v>10.79565649218692</v>
      </c>
      <c r="G1039">
        <v>989</v>
      </c>
      <c r="H1039" s="13">
        <f t="shared" si="128"/>
        <v>5.1608656820917531E-2</v>
      </c>
      <c r="I1039">
        <f t="shared" si="129"/>
        <v>93.34355650597216</v>
      </c>
      <c r="J1039">
        <f t="shared" si="124"/>
        <v>200.25650897559757</v>
      </c>
      <c r="K1039" s="27">
        <f t="shared" si="125"/>
        <v>2069.4377824378671</v>
      </c>
    </row>
    <row r="1040" spans="1:11">
      <c r="A1040" s="26">
        <v>990</v>
      </c>
      <c r="B1040" s="82">
        <f t="shared" si="126"/>
        <v>3.2921237647087764E-4</v>
      </c>
      <c r="C1040" s="58">
        <f t="shared" ref="C1040:C1103" si="130">($C$37-$C$36)/2000+C1039</f>
        <v>42.628515162793875</v>
      </c>
      <c r="D1040" s="83">
        <f t="shared" si="127"/>
        <v>181.08697464365528</v>
      </c>
      <c r="E1040">
        <f t="shared" si="123"/>
        <v>10.795732203597169</v>
      </c>
      <c r="G1040">
        <v>990</v>
      </c>
      <c r="H1040" s="13">
        <f t="shared" si="128"/>
        <v>5.1608656820917531E-2</v>
      </c>
      <c r="I1040">
        <f t="shared" si="129"/>
        <v>93.395165162793077</v>
      </c>
      <c r="J1040">
        <f t="shared" si="124"/>
        <v>200.23646765142865</v>
      </c>
      <c r="K1040" s="27">
        <f t="shared" si="125"/>
        <v>2069.0227334155688</v>
      </c>
    </row>
    <row r="1041" spans="1:11">
      <c r="A1041" s="26">
        <v>991</v>
      </c>
      <c r="B1041" s="82">
        <f t="shared" si="126"/>
        <v>3.2921237647087764E-4</v>
      </c>
      <c r="C1041" s="58">
        <f t="shared" si="130"/>
        <v>42.628844375170345</v>
      </c>
      <c r="D1041" s="83">
        <f t="shared" si="127"/>
        <v>181.08760962155625</v>
      </c>
      <c r="E1041">
        <f t="shared" si="123"/>
        <v>10.795807912008824</v>
      </c>
      <c r="G1041">
        <v>991</v>
      </c>
      <c r="H1041" s="13">
        <f t="shared" si="128"/>
        <v>5.1608656820917531E-2</v>
      </c>
      <c r="I1041">
        <f t="shared" si="129"/>
        <v>93.446773819613995</v>
      </c>
      <c r="J1041">
        <f t="shared" si="124"/>
        <v>200.21634527487811</v>
      </c>
      <c r="K1041" s="27">
        <f t="shared" si="125"/>
        <v>2068.6060497537305</v>
      </c>
    </row>
    <row r="1042" spans="1:11">
      <c r="A1042" s="26">
        <v>992</v>
      </c>
      <c r="B1042" s="82">
        <f t="shared" si="126"/>
        <v>3.2921237647087764E-4</v>
      </c>
      <c r="C1042" s="58">
        <f t="shared" si="130"/>
        <v>42.629173587546816</v>
      </c>
      <c r="D1042" s="83">
        <f t="shared" si="127"/>
        <v>181.08824457208291</v>
      </c>
      <c r="E1042">
        <f t="shared" si="123"/>
        <v>10.795883617422183</v>
      </c>
      <c r="G1042">
        <v>992</v>
      </c>
      <c r="H1042" s="13">
        <f t="shared" si="128"/>
        <v>5.1608656820917531E-2</v>
      </c>
      <c r="I1042">
        <f t="shared" si="129"/>
        <v>93.498382476434912</v>
      </c>
      <c r="J1042">
        <f t="shared" si="124"/>
        <v>200.19614171649096</v>
      </c>
      <c r="K1042" s="27">
        <f t="shared" si="125"/>
        <v>2068.187729275659</v>
      </c>
    </row>
    <row r="1043" spans="1:11">
      <c r="A1043" s="26">
        <v>993</v>
      </c>
      <c r="B1043" s="82">
        <f t="shared" si="126"/>
        <v>3.2921237647087764E-4</v>
      </c>
      <c r="C1043" s="58">
        <f t="shared" si="130"/>
        <v>42.629502799923287</v>
      </c>
      <c r="D1043" s="83">
        <f t="shared" si="127"/>
        <v>181.08887949523807</v>
      </c>
      <c r="E1043">
        <f t="shared" si="123"/>
        <v>10.795959319837545</v>
      </c>
      <c r="G1043">
        <v>993</v>
      </c>
      <c r="H1043" s="13">
        <f t="shared" si="128"/>
        <v>5.1608656820917531E-2</v>
      </c>
      <c r="I1043">
        <f t="shared" si="129"/>
        <v>93.54999113325583</v>
      </c>
      <c r="J1043">
        <f t="shared" si="124"/>
        <v>200.17585684601238</v>
      </c>
      <c r="K1043" s="27">
        <f t="shared" si="125"/>
        <v>2067.7677697912154</v>
      </c>
    </row>
    <row r="1044" spans="1:11">
      <c r="A1044" s="26">
        <v>994</v>
      </c>
      <c r="B1044" s="82">
        <f t="shared" si="126"/>
        <v>3.2921237647087764E-4</v>
      </c>
      <c r="C1044" s="58">
        <f t="shared" si="130"/>
        <v>42.629832012299758</v>
      </c>
      <c r="D1044" s="83">
        <f t="shared" si="127"/>
        <v>181.08951439102449</v>
      </c>
      <c r="E1044">
        <f t="shared" si="123"/>
        <v>10.796035019255209</v>
      </c>
      <c r="G1044">
        <v>994</v>
      </c>
      <c r="H1044" s="13">
        <f t="shared" si="128"/>
        <v>5.1608656820917531E-2</v>
      </c>
      <c r="I1044">
        <f t="shared" si="129"/>
        <v>93.601599790076747</v>
      </c>
      <c r="J1044">
        <f t="shared" si="124"/>
        <v>200.15549053238291</v>
      </c>
      <c r="K1044" s="27">
        <f t="shared" si="125"/>
        <v>2067.3461690967274</v>
      </c>
    </row>
    <row r="1045" spans="1:11">
      <c r="A1045" s="26">
        <v>995</v>
      </c>
      <c r="B1045" s="82">
        <f t="shared" si="126"/>
        <v>3.2921237647087764E-4</v>
      </c>
      <c r="C1045" s="58">
        <f t="shared" si="130"/>
        <v>42.630161224676229</v>
      </c>
      <c r="D1045" s="83">
        <f t="shared" si="127"/>
        <v>181.09014925944498</v>
      </c>
      <c r="E1045">
        <f t="shared" si="123"/>
        <v>10.796110715675468</v>
      </c>
      <c r="G1045">
        <v>995</v>
      </c>
      <c r="H1045" s="13">
        <f t="shared" si="128"/>
        <v>5.1608656820917531E-2</v>
      </c>
      <c r="I1045">
        <f t="shared" si="129"/>
        <v>93.653208446897665</v>
      </c>
      <c r="J1045">
        <f t="shared" si="124"/>
        <v>200.13504264373336</v>
      </c>
      <c r="K1045" s="27">
        <f t="shared" si="125"/>
        <v>2066.922924974911</v>
      </c>
    </row>
    <row r="1046" spans="1:11">
      <c r="A1046" s="26">
        <v>996</v>
      </c>
      <c r="B1046" s="82">
        <f t="shared" si="126"/>
        <v>3.2921237647087764E-4</v>
      </c>
      <c r="C1046" s="58">
        <f t="shared" si="130"/>
        <v>42.6304904370527</v>
      </c>
      <c r="D1046" s="83">
        <f t="shared" si="127"/>
        <v>181.09078410050233</v>
      </c>
      <c r="E1046">
        <f t="shared" si="123"/>
        <v>10.796186409098626</v>
      </c>
      <c r="G1046">
        <v>996</v>
      </c>
      <c r="H1046" s="13">
        <f t="shared" si="128"/>
        <v>5.1608656820917531E-2</v>
      </c>
      <c r="I1046">
        <f t="shared" si="129"/>
        <v>93.704817103718582</v>
      </c>
      <c r="J1046">
        <f t="shared" si="124"/>
        <v>200.11451304737972</v>
      </c>
      <c r="K1046" s="27">
        <f t="shared" si="125"/>
        <v>2066.4980351947784</v>
      </c>
    </row>
    <row r="1047" spans="1:11">
      <c r="A1047" s="26">
        <v>997</v>
      </c>
      <c r="B1047" s="82">
        <f t="shared" si="126"/>
        <v>3.2921237647087764E-4</v>
      </c>
      <c r="C1047" s="58">
        <f t="shared" si="130"/>
        <v>42.630819649429171</v>
      </c>
      <c r="D1047" s="83">
        <f t="shared" si="127"/>
        <v>181.09141891419932</v>
      </c>
      <c r="E1047">
        <f t="shared" si="123"/>
        <v>10.796262099524979</v>
      </c>
      <c r="G1047">
        <v>997</v>
      </c>
      <c r="H1047" s="13">
        <f t="shared" si="128"/>
        <v>5.1608656820917531E-2</v>
      </c>
      <c r="I1047">
        <f t="shared" si="129"/>
        <v>93.7564257605395</v>
      </c>
      <c r="J1047">
        <f t="shared" si="124"/>
        <v>200.0939016098182</v>
      </c>
      <c r="K1047" s="27">
        <f t="shared" si="125"/>
        <v>2066.0714975115593</v>
      </c>
    </row>
    <row r="1048" spans="1:11">
      <c r="A1048" s="26">
        <v>998</v>
      </c>
      <c r="B1048" s="82">
        <f t="shared" si="126"/>
        <v>3.2921237647087764E-4</v>
      </c>
      <c r="C1048" s="58">
        <f t="shared" si="130"/>
        <v>42.631148861805642</v>
      </c>
      <c r="D1048" s="83">
        <f t="shared" si="127"/>
        <v>181.09205370053871</v>
      </c>
      <c r="E1048">
        <f t="shared" si="123"/>
        <v>10.796337786954824</v>
      </c>
      <c r="G1048">
        <v>998</v>
      </c>
      <c r="H1048" s="13">
        <f t="shared" si="128"/>
        <v>5.1608656820917531E-2</v>
      </c>
      <c r="I1048">
        <f t="shared" si="129"/>
        <v>93.808034417360417</v>
      </c>
      <c r="J1048">
        <f t="shared" si="124"/>
        <v>200.07320819672015</v>
      </c>
      <c r="K1048" s="27">
        <f t="shared" si="125"/>
        <v>2065.6433096666105</v>
      </c>
    </row>
    <row r="1049" spans="1:11">
      <c r="A1049" s="26">
        <v>999</v>
      </c>
      <c r="B1049" s="82">
        <f t="shared" si="126"/>
        <v>3.2921237647087764E-4</v>
      </c>
      <c r="C1049" s="58">
        <f t="shared" si="130"/>
        <v>42.631478074182112</v>
      </c>
      <c r="D1049" s="83">
        <f t="shared" si="127"/>
        <v>181.09268845952334</v>
      </c>
      <c r="E1049">
        <f t="shared" si="123"/>
        <v>10.796413471388462</v>
      </c>
      <c r="G1049">
        <v>999</v>
      </c>
      <c r="H1049" s="13">
        <f t="shared" si="128"/>
        <v>5.1608656820917531E-2</v>
      </c>
      <c r="I1049">
        <f t="shared" si="129"/>
        <v>93.859643074181335</v>
      </c>
      <c r="J1049">
        <f t="shared" si="124"/>
        <v>200.05243267292656</v>
      </c>
      <c r="K1049" s="27">
        <f t="shared" si="125"/>
        <v>2065.2134693873304</v>
      </c>
    </row>
    <row r="1050" spans="1:11">
      <c r="A1050" s="26">
        <v>1000</v>
      </c>
      <c r="B1050" s="82">
        <f t="shared" si="126"/>
        <v>3.2921237647087764E-4</v>
      </c>
      <c r="C1050" s="58">
        <f t="shared" si="130"/>
        <v>42.631807286558583</v>
      </c>
      <c r="D1050" s="83">
        <f t="shared" si="127"/>
        <v>181.09332319115597</v>
      </c>
      <c r="E1050">
        <f t="shared" si="123"/>
        <v>10.79648915282619</v>
      </c>
      <c r="G1050">
        <v>1000</v>
      </c>
      <c r="H1050" s="13">
        <f t="shared" si="128"/>
        <v>5.1608656820917531E-2</v>
      </c>
      <c r="I1050">
        <f t="shared" si="129"/>
        <v>93.911251731002253</v>
      </c>
      <c r="J1050">
        <f t="shared" si="124"/>
        <v>200.03157490244325</v>
      </c>
      <c r="K1050" s="27">
        <f t="shared" si="125"/>
        <v>2064.78197438707</v>
      </c>
    </row>
    <row r="1051" spans="1:11">
      <c r="A1051" s="26">
        <v>1001</v>
      </c>
      <c r="B1051" s="82">
        <f t="shared" si="126"/>
        <v>3.2921237647087764E-4</v>
      </c>
      <c r="C1051" s="58">
        <f t="shared" si="130"/>
        <v>42.632136498935054</v>
      </c>
      <c r="D1051" s="83">
        <f t="shared" si="127"/>
        <v>181.09395789543939</v>
      </c>
      <c r="E1051">
        <f t="shared" si="123"/>
        <v>10.7965648312683</v>
      </c>
      <c r="G1051">
        <v>1001</v>
      </c>
      <c r="H1051" s="13">
        <f t="shared" si="128"/>
        <v>5.1608656820917531E-2</v>
      </c>
      <c r="I1051">
        <f t="shared" si="129"/>
        <v>93.96286038782317</v>
      </c>
      <c r="J1051">
        <f t="shared" si="124"/>
        <v>200.01063474843531</v>
      </c>
      <c r="K1051" s="27">
        <f t="shared" si="125"/>
        <v>2064.3488223650434</v>
      </c>
    </row>
    <row r="1052" spans="1:11">
      <c r="A1052" s="26">
        <v>1002</v>
      </c>
      <c r="B1052" s="82">
        <f t="shared" si="126"/>
        <v>3.2921237647087764E-4</v>
      </c>
      <c r="C1052" s="58">
        <f t="shared" si="130"/>
        <v>42.632465711311525</v>
      </c>
      <c r="D1052" s="83">
        <f t="shared" si="127"/>
        <v>181.09459257237637</v>
      </c>
      <c r="E1052">
        <f t="shared" si="123"/>
        <v>10.796640506715098</v>
      </c>
      <c r="G1052">
        <v>1002</v>
      </c>
      <c r="H1052" s="13">
        <f t="shared" si="128"/>
        <v>5.1608656820917531E-2</v>
      </c>
      <c r="I1052">
        <f t="shared" si="129"/>
        <v>94.014469044644088</v>
      </c>
      <c r="J1052">
        <f t="shared" si="124"/>
        <v>199.98961207322182</v>
      </c>
      <c r="K1052" s="27">
        <f t="shared" si="125"/>
        <v>2063.914011006239</v>
      </c>
    </row>
    <row r="1053" spans="1:11">
      <c r="A1053" s="26">
        <v>1003</v>
      </c>
      <c r="B1053" s="82">
        <f t="shared" si="126"/>
        <v>3.2921237647087764E-4</v>
      </c>
      <c r="C1053" s="58">
        <f t="shared" si="130"/>
        <v>42.632794923687996</v>
      </c>
      <c r="D1053" s="83">
        <f t="shared" si="127"/>
        <v>181.09522722196971</v>
      </c>
      <c r="E1053">
        <f t="shared" si="123"/>
        <v>10.796716179166873</v>
      </c>
      <c r="G1053">
        <v>1003</v>
      </c>
      <c r="H1053" s="13">
        <f t="shared" si="128"/>
        <v>5.1608656820917531E-2</v>
      </c>
      <c r="I1053">
        <f t="shared" si="129"/>
        <v>94.066077701465005</v>
      </c>
      <c r="J1053">
        <f t="shared" si="124"/>
        <v>199.96850673827055</v>
      </c>
      <c r="K1053" s="27">
        <f t="shared" si="125"/>
        <v>2063.4775379813314</v>
      </c>
    </row>
    <row r="1054" spans="1:11">
      <c r="A1054" s="26">
        <v>1004</v>
      </c>
      <c r="B1054" s="82">
        <f t="shared" si="126"/>
        <v>3.2921237647087764E-4</v>
      </c>
      <c r="C1054" s="58">
        <f t="shared" si="130"/>
        <v>42.633124136064467</v>
      </c>
      <c r="D1054" s="83">
        <f t="shared" si="127"/>
        <v>181.09586184422218</v>
      </c>
      <c r="E1054">
        <f t="shared" si="123"/>
        <v>10.796791848623938</v>
      </c>
      <c r="G1054">
        <v>1004</v>
      </c>
      <c r="H1054" s="13">
        <f t="shared" si="128"/>
        <v>5.1608656820917531E-2</v>
      </c>
      <c r="I1054">
        <f t="shared" si="129"/>
        <v>94.117686358285923</v>
      </c>
      <c r="J1054">
        <f t="shared" si="124"/>
        <v>199.94731860419247</v>
      </c>
      <c r="K1054" s="27">
        <f t="shared" si="125"/>
        <v>2063.0394009465831</v>
      </c>
    </row>
    <row r="1055" spans="1:11">
      <c r="A1055" s="26">
        <v>1005</v>
      </c>
      <c r="B1055" s="82">
        <f t="shared" si="126"/>
        <v>3.2921237647087764E-4</v>
      </c>
      <c r="C1055" s="58">
        <f t="shared" si="130"/>
        <v>42.633453348440938</v>
      </c>
      <c r="D1055" s="83">
        <f t="shared" si="127"/>
        <v>181.09649643913662</v>
      </c>
      <c r="E1055">
        <f t="shared" si="123"/>
        <v>10.796867515086575</v>
      </c>
      <c r="G1055">
        <v>1005</v>
      </c>
      <c r="H1055" s="13">
        <f t="shared" si="128"/>
        <v>5.1608656820917531E-2</v>
      </c>
      <c r="I1055">
        <f t="shared" si="129"/>
        <v>94.16929501510684</v>
      </c>
      <c r="J1055">
        <f t="shared" si="124"/>
        <v>199.9260475307363</v>
      </c>
      <c r="K1055" s="27">
        <f t="shared" si="125"/>
        <v>2062.59959754376</v>
      </c>
    </row>
    <row r="1056" spans="1:11">
      <c r="A1056" s="26">
        <v>1006</v>
      </c>
      <c r="B1056" s="82">
        <f t="shared" si="126"/>
        <v>3.2921237647087764E-4</v>
      </c>
      <c r="C1056" s="58">
        <f t="shared" si="130"/>
        <v>42.633782560817409</v>
      </c>
      <c r="D1056" s="83">
        <f t="shared" si="127"/>
        <v>181.09713100671573</v>
      </c>
      <c r="E1056">
        <f t="shared" si="123"/>
        <v>10.796943178555088</v>
      </c>
      <c r="G1056">
        <v>1006</v>
      </c>
      <c r="H1056" s="13">
        <f t="shared" si="128"/>
        <v>5.1608656820917531E-2</v>
      </c>
      <c r="I1056">
        <f t="shared" si="129"/>
        <v>94.220903671927758</v>
      </c>
      <c r="J1056">
        <f t="shared" si="124"/>
        <v>199.90469337678289</v>
      </c>
      <c r="K1056" s="27">
        <f t="shared" si="125"/>
        <v>2062.1581254000321</v>
      </c>
    </row>
    <row r="1057" spans="1:11">
      <c r="A1057" s="26">
        <v>1007</v>
      </c>
      <c r="B1057" s="82">
        <f t="shared" si="126"/>
        <v>3.2921237647087764E-4</v>
      </c>
      <c r="C1057" s="58">
        <f t="shared" si="130"/>
        <v>42.634111773193879</v>
      </c>
      <c r="D1057" s="83">
        <f t="shared" si="127"/>
        <v>181.09776554696234</v>
      </c>
      <c r="E1057">
        <f t="shared" si="123"/>
        <v>10.79701883902977</v>
      </c>
      <c r="G1057">
        <v>1007</v>
      </c>
      <c r="H1057" s="13">
        <f t="shared" si="128"/>
        <v>5.1608656820917531E-2</v>
      </c>
      <c r="I1057">
        <f t="shared" si="129"/>
        <v>94.272512328748675</v>
      </c>
      <c r="J1057">
        <f t="shared" si="124"/>
        <v>199.88325600033977</v>
      </c>
      <c r="K1057" s="27">
        <f t="shared" si="125"/>
        <v>2061.7149821278845</v>
      </c>
    </row>
    <row r="1058" spans="1:11">
      <c r="A1058" s="26">
        <v>1008</v>
      </c>
      <c r="B1058" s="82">
        <f t="shared" si="126"/>
        <v>3.2921237647087764E-4</v>
      </c>
      <c r="C1058" s="58">
        <f t="shared" si="130"/>
        <v>42.63444098557035</v>
      </c>
      <c r="D1058" s="83">
        <f t="shared" si="127"/>
        <v>181.09840005987922</v>
      </c>
      <c r="E1058">
        <f t="shared" si="123"/>
        <v>10.797094496510924</v>
      </c>
      <c r="G1058">
        <v>1008</v>
      </c>
      <c r="H1058" s="13">
        <f t="shared" si="128"/>
        <v>5.1608656820917531E-2</v>
      </c>
      <c r="I1058">
        <f t="shared" si="129"/>
        <v>94.324120985569593</v>
      </c>
      <c r="J1058">
        <f t="shared" si="124"/>
        <v>199.86173525853542</v>
      </c>
      <c r="K1058" s="27">
        <f t="shared" si="125"/>
        <v>2061.2701653250169</v>
      </c>
    </row>
    <row r="1059" spans="1:11">
      <c r="A1059" s="26">
        <v>1009</v>
      </c>
      <c r="B1059" s="82">
        <f t="shared" si="126"/>
        <v>3.2921237647087764E-4</v>
      </c>
      <c r="C1059" s="58">
        <f t="shared" si="130"/>
        <v>42.634770197946821</v>
      </c>
      <c r="D1059" s="83">
        <f t="shared" si="127"/>
        <v>181.09903454546918</v>
      </c>
      <c r="E1059">
        <f t="shared" si="123"/>
        <v>10.79717015099885</v>
      </c>
      <c r="G1059">
        <v>1009</v>
      </c>
      <c r="H1059" s="13">
        <f t="shared" si="128"/>
        <v>5.1608656820917531E-2</v>
      </c>
      <c r="I1059">
        <f t="shared" si="129"/>
        <v>94.37572964239051</v>
      </c>
      <c r="J1059">
        <f t="shared" si="124"/>
        <v>199.84013100761354</v>
      </c>
      <c r="K1059" s="27">
        <f t="shared" si="125"/>
        <v>2060.8236725742527</v>
      </c>
    </row>
    <row r="1060" spans="1:11">
      <c r="A1060" s="26">
        <v>1010</v>
      </c>
      <c r="B1060" s="82">
        <f t="shared" si="126"/>
        <v>3.2921237647087764E-4</v>
      </c>
      <c r="C1060" s="58">
        <f t="shared" si="130"/>
        <v>42.635099410323292</v>
      </c>
      <c r="D1060" s="83">
        <f t="shared" si="127"/>
        <v>181.09966900373496</v>
      </c>
      <c r="E1060">
        <f t="shared" si="123"/>
        <v>10.797245802493842</v>
      </c>
      <c r="G1060">
        <v>1010</v>
      </c>
      <c r="H1060" s="13">
        <f t="shared" si="128"/>
        <v>5.1608656820917531E-2</v>
      </c>
      <c r="I1060">
        <f t="shared" si="129"/>
        <v>94.427338299211428</v>
      </c>
      <c r="J1060">
        <f t="shared" si="124"/>
        <v>199.81844310292743</v>
      </c>
      <c r="K1060" s="27">
        <f t="shared" si="125"/>
        <v>2060.3755014434387</v>
      </c>
    </row>
    <row r="1061" spans="1:11">
      <c r="A1061" s="26">
        <v>1011</v>
      </c>
      <c r="B1061" s="82">
        <f t="shared" si="126"/>
        <v>3.2921237647087764E-4</v>
      </c>
      <c r="C1061" s="58">
        <f t="shared" si="130"/>
        <v>42.635428622699763</v>
      </c>
      <c r="D1061" s="83">
        <f t="shared" si="127"/>
        <v>181.10030343467938</v>
      </c>
      <c r="E1061">
        <f t="shared" si="123"/>
        <v>10.797321450996193</v>
      </c>
      <c r="G1061">
        <v>1011</v>
      </c>
      <c r="H1061" s="13">
        <f t="shared" si="128"/>
        <v>5.1608656820917531E-2</v>
      </c>
      <c r="I1061">
        <f t="shared" si="129"/>
        <v>94.478946956032345</v>
      </c>
      <c r="J1061">
        <f t="shared" si="124"/>
        <v>199.79667139893405</v>
      </c>
      <c r="K1061" s="27">
        <f t="shared" si="125"/>
        <v>2059.9256494853494</v>
      </c>
    </row>
    <row r="1062" spans="1:11">
      <c r="A1062" s="26">
        <v>1012</v>
      </c>
      <c r="B1062" s="82">
        <f t="shared" si="126"/>
        <v>3.2921237647087764E-4</v>
      </c>
      <c r="C1062" s="58">
        <f t="shared" si="130"/>
        <v>42.635757835076234</v>
      </c>
      <c r="D1062" s="83">
        <f t="shared" si="127"/>
        <v>181.10093783830519</v>
      </c>
      <c r="E1062">
        <f t="shared" si="123"/>
        <v>10.797397096506204</v>
      </c>
      <c r="G1062">
        <v>1012</v>
      </c>
      <c r="H1062" s="13">
        <f t="shared" si="128"/>
        <v>5.1608656820917531E-2</v>
      </c>
      <c r="I1062">
        <f t="shared" si="129"/>
        <v>94.530555612853263</v>
      </c>
      <c r="J1062">
        <f t="shared" si="124"/>
        <v>199.77481574918824</v>
      </c>
      <c r="K1062" s="27">
        <f t="shared" si="125"/>
        <v>2059.4741142375869</v>
      </c>
    </row>
    <row r="1063" spans="1:11">
      <c r="A1063" s="26">
        <v>1013</v>
      </c>
      <c r="B1063" s="82">
        <f t="shared" si="126"/>
        <v>3.2921237647087764E-4</v>
      </c>
      <c r="C1063" s="58">
        <f t="shared" si="130"/>
        <v>42.636087047452705</v>
      </c>
      <c r="D1063" s="83">
        <f t="shared" si="127"/>
        <v>181.10157221461517</v>
      </c>
      <c r="E1063">
        <f t="shared" si="123"/>
        <v>10.797472739024172</v>
      </c>
      <c r="G1063">
        <v>1013</v>
      </c>
      <c r="H1063" s="13">
        <f t="shared" si="128"/>
        <v>5.1608656820917531E-2</v>
      </c>
      <c r="I1063">
        <f t="shared" si="129"/>
        <v>94.58216426967418</v>
      </c>
      <c r="J1063">
        <f t="shared" si="124"/>
        <v>199.75287600633675</v>
      </c>
      <c r="K1063" s="27">
        <f t="shared" si="125"/>
        <v>2059.0208932224828</v>
      </c>
    </row>
    <row r="1064" spans="1:11">
      <c r="A1064" s="26">
        <v>1014</v>
      </c>
      <c r="B1064" s="82">
        <f t="shared" si="126"/>
        <v>3.2921237647087764E-4</v>
      </c>
      <c r="C1064" s="58">
        <f t="shared" si="130"/>
        <v>42.636416259829176</v>
      </c>
      <c r="D1064" s="83">
        <f t="shared" si="127"/>
        <v>181.10220656361213</v>
      </c>
      <c r="E1064">
        <f t="shared" si="123"/>
        <v>10.797548378550397</v>
      </c>
      <c r="G1064">
        <v>1014</v>
      </c>
      <c r="H1064" s="13">
        <f t="shared" si="128"/>
        <v>5.1608656820917531E-2</v>
      </c>
      <c r="I1064">
        <f t="shared" si="129"/>
        <v>94.633772926495098</v>
      </c>
      <c r="J1064">
        <f t="shared" si="124"/>
        <v>199.73085202211234</v>
      </c>
      <c r="K1064" s="27">
        <f t="shared" si="125"/>
        <v>2058.5659839469959</v>
      </c>
    </row>
    <row r="1065" spans="1:11">
      <c r="A1065" s="26">
        <v>1015</v>
      </c>
      <c r="B1065" s="82">
        <f t="shared" si="126"/>
        <v>3.2921237647087764E-4</v>
      </c>
      <c r="C1065" s="58">
        <f t="shared" si="130"/>
        <v>42.636745472205646</v>
      </c>
      <c r="D1065" s="83">
        <f t="shared" si="127"/>
        <v>181.10284088529883</v>
      </c>
      <c r="E1065">
        <f t="shared" si="123"/>
        <v>10.797624015085177</v>
      </c>
      <c r="G1065">
        <v>1015</v>
      </c>
      <c r="H1065" s="13">
        <f t="shared" si="128"/>
        <v>5.1608656820917531E-2</v>
      </c>
      <c r="I1065">
        <f t="shared" si="129"/>
        <v>94.685381583316016</v>
      </c>
      <c r="J1065">
        <f t="shared" si="124"/>
        <v>199.70874364732765</v>
      </c>
      <c r="K1065" s="27">
        <f t="shared" si="125"/>
        <v>2058.1093839026103</v>
      </c>
    </row>
    <row r="1066" spans="1:11">
      <c r="A1066" s="26">
        <v>1016</v>
      </c>
      <c r="B1066" s="82">
        <f t="shared" si="126"/>
        <v>3.2921237647087764E-4</v>
      </c>
      <c r="C1066" s="58">
        <f t="shared" si="130"/>
        <v>42.637074684582117</v>
      </c>
      <c r="D1066" s="83">
        <f t="shared" si="127"/>
        <v>181.10347517967804</v>
      </c>
      <c r="E1066">
        <f t="shared" si="123"/>
        <v>10.7976996486288</v>
      </c>
      <c r="G1066">
        <v>1016</v>
      </c>
      <c r="H1066" s="13">
        <f t="shared" si="128"/>
        <v>5.1608656820917531E-2</v>
      </c>
      <c r="I1066">
        <f t="shared" si="129"/>
        <v>94.736990240136933</v>
      </c>
      <c r="J1066">
        <f t="shared" si="124"/>
        <v>199.68655073186923</v>
      </c>
      <c r="K1066" s="27">
        <f t="shared" si="125"/>
        <v>2057.6510905652358</v>
      </c>
    </row>
    <row r="1067" spans="1:11">
      <c r="A1067" s="26">
        <v>1017</v>
      </c>
      <c r="B1067" s="82">
        <f t="shared" si="126"/>
        <v>3.2921237647087764E-4</v>
      </c>
      <c r="C1067" s="58">
        <f t="shared" si="130"/>
        <v>42.637403896958588</v>
      </c>
      <c r="D1067" s="83">
        <f t="shared" si="127"/>
        <v>181.10410944675255</v>
      </c>
      <c r="E1067">
        <f t="shared" si="123"/>
        <v>10.79777527918157</v>
      </c>
      <c r="G1067">
        <v>1017</v>
      </c>
      <c r="H1067" s="13">
        <f t="shared" si="128"/>
        <v>5.1608656820917531E-2</v>
      </c>
      <c r="I1067">
        <f t="shared" si="129"/>
        <v>94.788598896957851</v>
      </c>
      <c r="J1067">
        <f t="shared" si="124"/>
        <v>199.66427312469125</v>
      </c>
      <c r="K1067" s="27">
        <f t="shared" si="125"/>
        <v>2057.1911013951021</v>
      </c>
    </row>
    <row r="1068" spans="1:11">
      <c r="A1068" s="26">
        <v>1018</v>
      </c>
      <c r="B1068" s="82">
        <f t="shared" si="126"/>
        <v>3.2921237647087764E-4</v>
      </c>
      <c r="C1068" s="58">
        <f t="shared" si="130"/>
        <v>42.637733109335059</v>
      </c>
      <c r="D1068" s="83">
        <f t="shared" si="127"/>
        <v>181.10474368652513</v>
      </c>
      <c r="E1068">
        <f t="shared" si="123"/>
        <v>10.797850906743783</v>
      </c>
      <c r="G1068">
        <v>1018</v>
      </c>
      <c r="H1068" s="13">
        <f t="shared" si="128"/>
        <v>5.1608656820917531E-2</v>
      </c>
      <c r="I1068">
        <f t="shared" si="129"/>
        <v>94.840207553778768</v>
      </c>
      <c r="J1068">
        <f t="shared" si="124"/>
        <v>199.64191067380938</v>
      </c>
      <c r="K1068" s="27">
        <f t="shared" si="125"/>
        <v>2056.7294138366519</v>
      </c>
    </row>
    <row r="1069" spans="1:11">
      <c r="A1069" s="26">
        <v>1019</v>
      </c>
      <c r="B1069" s="82">
        <f t="shared" si="126"/>
        <v>3.2921237647087764E-4</v>
      </c>
      <c r="C1069" s="58">
        <f t="shared" si="130"/>
        <v>42.63806232171153</v>
      </c>
      <c r="D1069" s="83">
        <f t="shared" si="127"/>
        <v>181.10537789899857</v>
      </c>
      <c r="E1069">
        <f t="shared" si="123"/>
        <v>10.797926531315733</v>
      </c>
      <c r="G1069">
        <v>1019</v>
      </c>
      <c r="H1069" s="13">
        <f t="shared" si="128"/>
        <v>5.1608656820917531E-2</v>
      </c>
      <c r="I1069">
        <f t="shared" si="129"/>
        <v>94.891816210599686</v>
      </c>
      <c r="J1069">
        <f t="shared" si="124"/>
        <v>199.6194632262945</v>
      </c>
      <c r="K1069" s="27">
        <f t="shared" si="125"/>
        <v>2056.2660253184408</v>
      </c>
    </row>
    <row r="1070" spans="1:11">
      <c r="A1070" s="26">
        <v>1020</v>
      </c>
      <c r="B1070" s="82">
        <f t="shared" si="126"/>
        <v>3.2921237647087764E-4</v>
      </c>
      <c r="C1070" s="58">
        <f t="shared" si="130"/>
        <v>42.638391534088001</v>
      </c>
      <c r="D1070" s="83">
        <f t="shared" si="127"/>
        <v>181.10601208417563</v>
      </c>
      <c r="E1070">
        <f t="shared" si="123"/>
        <v>10.798002152897721</v>
      </c>
      <c r="G1070">
        <v>1020</v>
      </c>
      <c r="H1070" s="13">
        <f t="shared" si="128"/>
        <v>5.1608656820917531E-2</v>
      </c>
      <c r="I1070">
        <f t="shared" si="129"/>
        <v>94.943424867420603</v>
      </c>
      <c r="J1070">
        <f t="shared" si="124"/>
        <v>199.59693062826642</v>
      </c>
      <c r="K1070" s="27">
        <f t="shared" si="125"/>
        <v>2055.8009332530269</v>
      </c>
    </row>
    <row r="1071" spans="1:11">
      <c r="A1071" s="26">
        <v>1021</v>
      </c>
      <c r="B1071" s="82">
        <f t="shared" si="126"/>
        <v>3.2921237647087764E-4</v>
      </c>
      <c r="C1071" s="58">
        <f t="shared" si="130"/>
        <v>42.638720746464472</v>
      </c>
      <c r="D1071" s="83">
        <f t="shared" si="127"/>
        <v>181.1066462420591</v>
      </c>
      <c r="E1071">
        <f t="shared" si="123"/>
        <v>10.798077771490044</v>
      </c>
      <c r="G1071">
        <v>1021</v>
      </c>
      <c r="H1071" s="13">
        <f t="shared" si="128"/>
        <v>5.1608656820917531E-2</v>
      </c>
      <c r="I1071">
        <f t="shared" si="129"/>
        <v>94.995033524241521</v>
      </c>
      <c r="J1071">
        <f t="shared" si="124"/>
        <v>199.57431272488736</v>
      </c>
      <c r="K1071" s="27">
        <f t="shared" si="125"/>
        <v>2055.3341350368619</v>
      </c>
    </row>
    <row r="1072" spans="1:11">
      <c r="A1072" s="26">
        <v>1022</v>
      </c>
      <c r="B1072" s="82">
        <f t="shared" si="126"/>
        <v>3.2921237647087764E-4</v>
      </c>
      <c r="C1072" s="58">
        <f t="shared" si="130"/>
        <v>42.639049958840943</v>
      </c>
      <c r="D1072" s="83">
        <f t="shared" si="127"/>
        <v>181.10728037265176</v>
      </c>
      <c r="E1072">
        <f t="shared" si="123"/>
        <v>10.798153387092997</v>
      </c>
      <c r="G1072">
        <v>1022</v>
      </c>
      <c r="H1072" s="13">
        <f t="shared" si="128"/>
        <v>5.1608656820917531E-2</v>
      </c>
      <c r="I1072">
        <f t="shared" si="129"/>
        <v>95.046642181062438</v>
      </c>
      <c r="J1072">
        <f t="shared" si="124"/>
        <v>199.5516093603556</v>
      </c>
      <c r="K1072" s="27">
        <f t="shared" si="125"/>
        <v>2054.8656280501868</v>
      </c>
    </row>
    <row r="1073" spans="1:11">
      <c r="A1073" s="26">
        <v>1023</v>
      </c>
      <c r="B1073" s="82">
        <f t="shared" si="126"/>
        <v>3.2921237647087764E-4</v>
      </c>
      <c r="C1073" s="58">
        <f t="shared" si="130"/>
        <v>42.639379171217414</v>
      </c>
      <c r="D1073" s="83">
        <f t="shared" si="127"/>
        <v>181.10791447595636</v>
      </c>
      <c r="E1073">
        <f t="shared" si="123"/>
        <v>10.798228999706877</v>
      </c>
      <c r="G1073">
        <v>1023</v>
      </c>
      <c r="H1073" s="13">
        <f t="shared" si="128"/>
        <v>5.1608656820917531E-2</v>
      </c>
      <c r="I1073">
        <f t="shared" si="129"/>
        <v>95.098250837883356</v>
      </c>
      <c r="J1073">
        <f t="shared" si="124"/>
        <v>199.52882037789894</v>
      </c>
      <c r="K1073" s="27">
        <f t="shared" si="125"/>
        <v>2054.3954096569191</v>
      </c>
    </row>
    <row r="1074" spans="1:11">
      <c r="A1074" s="26">
        <v>1024</v>
      </c>
      <c r="B1074" s="82">
        <f t="shared" si="126"/>
        <v>3.2921237647087764E-4</v>
      </c>
      <c r="C1074" s="58">
        <f t="shared" si="130"/>
        <v>42.639708383593884</v>
      </c>
      <c r="D1074" s="83">
        <f t="shared" si="127"/>
        <v>181.1085485519757</v>
      </c>
      <c r="E1074">
        <f t="shared" si="123"/>
        <v>10.798304609331979</v>
      </c>
      <c r="G1074">
        <v>1024</v>
      </c>
      <c r="H1074" s="13">
        <f t="shared" si="128"/>
        <v>5.1608656820917531E-2</v>
      </c>
      <c r="I1074">
        <f t="shared" si="129"/>
        <v>95.149859494704273</v>
      </c>
      <c r="J1074">
        <f t="shared" si="124"/>
        <v>199.50594561976811</v>
      </c>
      <c r="K1074" s="27">
        <f t="shared" si="125"/>
        <v>2053.9234772045406</v>
      </c>
    </row>
    <row r="1075" spans="1:11">
      <c r="A1075" s="26">
        <v>1025</v>
      </c>
      <c r="B1075" s="82">
        <f t="shared" si="126"/>
        <v>3.2921237647087764E-4</v>
      </c>
      <c r="C1075" s="58">
        <f t="shared" si="130"/>
        <v>42.640037595970355</v>
      </c>
      <c r="D1075" s="83">
        <f t="shared" si="127"/>
        <v>181.10918260071256</v>
      </c>
      <c r="E1075">
        <f t="shared" ref="E1075:E1138" si="131">((D1075^2)+(D1075*D1076)+(D1076^2))*B1076/3</f>
        <v>10.798380215968601</v>
      </c>
      <c r="G1075">
        <v>1025</v>
      </c>
      <c r="H1075" s="13">
        <f t="shared" si="128"/>
        <v>5.1608656820917531E-2</v>
      </c>
      <c r="I1075">
        <f t="shared" si="129"/>
        <v>95.201468151525191</v>
      </c>
      <c r="J1075">
        <f t="shared" ref="J1075:J1138" si="132">IF($G$28&lt;$C$14,0,((($C$11^2)-((I1075-$C$13)^2))^0.5)+$C$16)</f>
        <v>199.48298492723009</v>
      </c>
      <c r="K1075" s="27">
        <f t="shared" ref="K1075:K1138" si="133">((J1075^2)+(J1075*J1076)+(J1076^2))*H1076/3</f>
        <v>2053.4498280239895</v>
      </c>
    </row>
    <row r="1076" spans="1:11">
      <c r="A1076" s="26">
        <v>1026</v>
      </c>
      <c r="B1076" s="82">
        <f t="shared" ref="B1076:B1139" si="134">C1076-C1075</f>
        <v>3.2921237647087764E-4</v>
      </c>
      <c r="C1076" s="58">
        <f t="shared" si="130"/>
        <v>42.640366808346826</v>
      </c>
      <c r="D1076" s="83">
        <f t="shared" ref="D1076:D1139" si="135">IF($G$28&lt;$C$14,0,((($C$11^2)-((C1076-$C$13)^2))^0.5)+$C$16)</f>
        <v>181.10981662216966</v>
      </c>
      <c r="E1076">
        <f t="shared" si="131"/>
        <v>10.798455819617041</v>
      </c>
      <c r="G1076">
        <v>1026</v>
      </c>
      <c r="H1076" s="13">
        <f t="shared" ref="H1076:H1139" si="136">I1076-I1075</f>
        <v>5.1608656820917531E-2</v>
      </c>
      <c r="I1076">
        <f t="shared" ref="I1076:I1139" si="137">($G$27-$C$14)/2000+I1075</f>
        <v>95.253076808346108</v>
      </c>
      <c r="J1076">
        <f t="shared" si="132"/>
        <v>199.45993814056146</v>
      </c>
      <c r="K1076" s="27">
        <f t="shared" si="133"/>
        <v>2052.9744594295439</v>
      </c>
    </row>
    <row r="1077" spans="1:11">
      <c r="A1077" s="26">
        <v>1027</v>
      </c>
      <c r="B1077" s="82">
        <f t="shared" si="134"/>
        <v>3.2921237647087764E-4</v>
      </c>
      <c r="C1077" s="58">
        <f t="shared" si="130"/>
        <v>42.640696020723297</v>
      </c>
      <c r="D1077" s="83">
        <f t="shared" si="135"/>
        <v>181.11045061634985</v>
      </c>
      <c r="E1077">
        <f t="shared" si="131"/>
        <v>10.798531420277593</v>
      </c>
      <c r="G1077">
        <v>1027</v>
      </c>
      <c r="H1077" s="13">
        <f t="shared" si="136"/>
        <v>5.1608656820917531E-2</v>
      </c>
      <c r="I1077">
        <f t="shared" si="137"/>
        <v>95.304685465167026</v>
      </c>
      <c r="J1077">
        <f t="shared" si="132"/>
        <v>199.43680509904161</v>
      </c>
      <c r="K1077" s="27">
        <f t="shared" si="133"/>
        <v>2052.4973687187085</v>
      </c>
    </row>
    <row r="1078" spans="1:11">
      <c r="A1078" s="26">
        <v>1028</v>
      </c>
      <c r="B1078" s="82">
        <f t="shared" si="134"/>
        <v>3.2921237647087764E-4</v>
      </c>
      <c r="C1078" s="58">
        <f t="shared" si="130"/>
        <v>42.641025233099768</v>
      </c>
      <c r="D1078" s="83">
        <f t="shared" si="135"/>
        <v>181.11108458325583</v>
      </c>
      <c r="E1078">
        <f t="shared" si="131"/>
        <v>10.798607017950559</v>
      </c>
      <c r="G1078">
        <v>1028</v>
      </c>
      <c r="H1078" s="13">
        <f t="shared" si="136"/>
        <v>5.1608656820917531E-2</v>
      </c>
      <c r="I1078">
        <f t="shared" si="137"/>
        <v>95.356294121987943</v>
      </c>
      <c r="J1078">
        <f t="shared" si="132"/>
        <v>199.41358564094577</v>
      </c>
      <c r="K1078" s="27">
        <f t="shared" si="133"/>
        <v>2052.0185531721013</v>
      </c>
    </row>
    <row r="1079" spans="1:11">
      <c r="A1079" s="26">
        <v>1029</v>
      </c>
      <c r="B1079" s="82">
        <f t="shared" si="134"/>
        <v>3.2921237647087764E-4</v>
      </c>
      <c r="C1079" s="58">
        <f t="shared" si="130"/>
        <v>42.641354445476239</v>
      </c>
      <c r="D1079" s="83">
        <f t="shared" si="135"/>
        <v>181.11171852289044</v>
      </c>
      <c r="E1079">
        <f t="shared" si="131"/>
        <v>10.798682612636227</v>
      </c>
      <c r="G1079">
        <v>1029</v>
      </c>
      <c r="H1079" s="13">
        <f t="shared" si="136"/>
        <v>5.1608656820917531E-2</v>
      </c>
      <c r="I1079">
        <f t="shared" si="137"/>
        <v>95.407902778808861</v>
      </c>
      <c r="J1079">
        <f t="shared" si="132"/>
        <v>199.39027960353832</v>
      </c>
      <c r="K1079" s="27">
        <f t="shared" si="133"/>
        <v>2051.5380100533321</v>
      </c>
    </row>
    <row r="1080" spans="1:11">
      <c r="A1080" s="26">
        <v>1030</v>
      </c>
      <c r="B1080" s="82">
        <f t="shared" si="134"/>
        <v>3.2921237647087764E-4</v>
      </c>
      <c r="C1080" s="58">
        <f t="shared" si="130"/>
        <v>42.64168365785271</v>
      </c>
      <c r="D1080" s="83">
        <f t="shared" si="135"/>
        <v>181.11235243525638</v>
      </c>
      <c r="E1080">
        <f t="shared" si="131"/>
        <v>10.798758204334897</v>
      </c>
      <c r="G1080">
        <v>1030</v>
      </c>
      <c r="H1080" s="13">
        <f t="shared" si="136"/>
        <v>5.1608656820917531E-2</v>
      </c>
      <c r="I1080">
        <f t="shared" si="137"/>
        <v>95.459511435629778</v>
      </c>
      <c r="J1080">
        <f t="shared" si="132"/>
        <v>199.36688682306558</v>
      </c>
      <c r="K1080" s="27">
        <f t="shared" si="133"/>
        <v>2051.0557366088915</v>
      </c>
    </row>
    <row r="1081" spans="1:11">
      <c r="A1081" s="26">
        <v>1031</v>
      </c>
      <c r="B1081" s="82">
        <f t="shared" si="134"/>
        <v>3.2921237647087764E-4</v>
      </c>
      <c r="C1081" s="58">
        <f t="shared" si="130"/>
        <v>42.642012870229181</v>
      </c>
      <c r="D1081" s="83">
        <f t="shared" si="135"/>
        <v>181.1129863203565</v>
      </c>
      <c r="E1081">
        <f t="shared" si="131"/>
        <v>10.798833793046869</v>
      </c>
      <c r="G1081">
        <v>1031</v>
      </c>
      <c r="H1081" s="13">
        <f t="shared" si="136"/>
        <v>5.1608656820917531E-2</v>
      </c>
      <c r="I1081">
        <f t="shared" si="137"/>
        <v>95.511120092450696</v>
      </c>
      <c r="J1081">
        <f t="shared" si="132"/>
        <v>199.34340713474896</v>
      </c>
      <c r="K1081" s="27">
        <f t="shared" si="133"/>
        <v>2050.5717300680267</v>
      </c>
    </row>
    <row r="1082" spans="1:11">
      <c r="A1082" s="26">
        <v>1032</v>
      </c>
      <c r="B1082" s="82">
        <f t="shared" si="134"/>
        <v>3.2921237647087764E-4</v>
      </c>
      <c r="C1082" s="58">
        <f t="shared" si="130"/>
        <v>42.642342082605651</v>
      </c>
      <c r="D1082" s="83">
        <f t="shared" si="135"/>
        <v>181.11362017819351</v>
      </c>
      <c r="E1082">
        <f t="shared" si="131"/>
        <v>10.798909378772434</v>
      </c>
      <c r="G1082">
        <v>1032</v>
      </c>
      <c r="H1082" s="13">
        <f t="shared" si="136"/>
        <v>5.1608656820917531E-2</v>
      </c>
      <c r="I1082">
        <f t="shared" si="137"/>
        <v>95.562728749271614</v>
      </c>
      <c r="J1082">
        <f t="shared" si="132"/>
        <v>199.31984037277766</v>
      </c>
      <c r="K1082" s="27">
        <f t="shared" si="133"/>
        <v>2050.0859876426239</v>
      </c>
    </row>
    <row r="1083" spans="1:11">
      <c r="A1083" s="26">
        <v>1033</v>
      </c>
      <c r="B1083" s="82">
        <f t="shared" si="134"/>
        <v>3.2921237647087764E-4</v>
      </c>
      <c r="C1083" s="58">
        <f t="shared" si="130"/>
        <v>42.642671294982122</v>
      </c>
      <c r="D1083" s="83">
        <f t="shared" si="135"/>
        <v>181.11425400877019</v>
      </c>
      <c r="E1083">
        <f t="shared" si="131"/>
        <v>10.798984961511886</v>
      </c>
      <c r="G1083">
        <v>1033</v>
      </c>
      <c r="H1083" s="13">
        <f t="shared" si="136"/>
        <v>5.1608656820917531E-2</v>
      </c>
      <c r="I1083">
        <f t="shared" si="137"/>
        <v>95.614337406092531</v>
      </c>
      <c r="J1083">
        <f t="shared" si="132"/>
        <v>199.29618637030157</v>
      </c>
      <c r="K1083" s="27">
        <f t="shared" si="133"/>
        <v>2049.598506527087</v>
      </c>
    </row>
    <row r="1084" spans="1:11">
      <c r="A1084" s="26">
        <v>1034</v>
      </c>
      <c r="B1084" s="82">
        <f t="shared" si="134"/>
        <v>3.2921237647087764E-4</v>
      </c>
      <c r="C1084" s="58">
        <f t="shared" si="130"/>
        <v>42.643000507358593</v>
      </c>
      <c r="D1084" s="83">
        <f t="shared" si="135"/>
        <v>181.11488781208934</v>
      </c>
      <c r="E1084">
        <f t="shared" si="131"/>
        <v>10.799060541265533</v>
      </c>
      <c r="G1084">
        <v>1034</v>
      </c>
      <c r="H1084" s="13">
        <f t="shared" si="136"/>
        <v>5.1608656820917531E-2</v>
      </c>
      <c r="I1084">
        <f t="shared" si="137"/>
        <v>95.665946062913449</v>
      </c>
      <c r="J1084">
        <f t="shared" si="132"/>
        <v>199.27244495942404</v>
      </c>
      <c r="K1084" s="27">
        <f t="shared" si="133"/>
        <v>2049.109283898214</v>
      </c>
    </row>
    <row r="1085" spans="1:11">
      <c r="A1085" s="26">
        <v>1035</v>
      </c>
      <c r="B1085" s="82">
        <f t="shared" si="134"/>
        <v>3.2921237647087764E-4</v>
      </c>
      <c r="C1085" s="58">
        <f t="shared" si="130"/>
        <v>42.643329719735064</v>
      </c>
      <c r="D1085" s="83">
        <f t="shared" si="135"/>
        <v>181.11552158815371</v>
      </c>
      <c r="E1085">
        <f t="shared" si="131"/>
        <v>10.799136118033656</v>
      </c>
      <c r="G1085">
        <v>1035</v>
      </c>
      <c r="H1085" s="13">
        <f t="shared" si="136"/>
        <v>5.1608656820917531E-2</v>
      </c>
      <c r="I1085">
        <f t="shared" si="137"/>
        <v>95.717554719734366</v>
      </c>
      <c r="J1085">
        <f t="shared" si="132"/>
        <v>199.2486159711944</v>
      </c>
      <c r="K1085" s="27">
        <f t="shared" si="133"/>
        <v>2048.6183169150768</v>
      </c>
    </row>
    <row r="1086" spans="1:11">
      <c r="A1086" s="26">
        <v>1036</v>
      </c>
      <c r="B1086" s="82">
        <f t="shared" si="134"/>
        <v>3.2921237647087764E-4</v>
      </c>
      <c r="C1086" s="58">
        <f t="shared" si="130"/>
        <v>42.643658932111535</v>
      </c>
      <c r="D1086" s="83">
        <f t="shared" si="135"/>
        <v>181.11615533696605</v>
      </c>
      <c r="E1086">
        <f t="shared" si="131"/>
        <v>10.799211691816561</v>
      </c>
      <c r="G1086">
        <v>1036</v>
      </c>
      <c r="H1086" s="13">
        <f t="shared" si="136"/>
        <v>5.1608656820917531E-2</v>
      </c>
      <c r="I1086">
        <f t="shared" si="137"/>
        <v>95.769163376555284</v>
      </c>
      <c r="J1086">
        <f t="shared" si="132"/>
        <v>199.22469923560078</v>
      </c>
      <c r="K1086" s="27">
        <f t="shared" si="133"/>
        <v>2048.1256027188901</v>
      </c>
    </row>
    <row r="1087" spans="1:11">
      <c r="A1087" s="26">
        <v>1037</v>
      </c>
      <c r="B1087" s="82">
        <f t="shared" si="134"/>
        <v>3.2921237647087764E-4</v>
      </c>
      <c r="C1087" s="58">
        <f t="shared" si="130"/>
        <v>42.643988144488006</v>
      </c>
      <c r="D1087" s="83">
        <f t="shared" si="135"/>
        <v>181.11678905852915</v>
      </c>
      <c r="E1087">
        <f t="shared" si="131"/>
        <v>10.799287262614543</v>
      </c>
      <c r="G1087">
        <v>1037</v>
      </c>
      <c r="H1087" s="13">
        <f t="shared" si="136"/>
        <v>5.1608656820917531E-2</v>
      </c>
      <c r="I1087">
        <f t="shared" si="137"/>
        <v>95.820772033376201</v>
      </c>
      <c r="J1087">
        <f t="shared" si="132"/>
        <v>199.20069458156232</v>
      </c>
      <c r="K1087" s="27">
        <f t="shared" si="133"/>
        <v>2047.6311384328922</v>
      </c>
    </row>
    <row r="1088" spans="1:11">
      <c r="A1088" s="26">
        <v>1038</v>
      </c>
      <c r="B1088" s="82">
        <f t="shared" si="134"/>
        <v>3.2921237647087764E-4</v>
      </c>
      <c r="C1088" s="58">
        <f t="shared" si="130"/>
        <v>42.644317356864477</v>
      </c>
      <c r="D1088" s="83">
        <f t="shared" si="135"/>
        <v>181.11742275284578</v>
      </c>
      <c r="E1088">
        <f t="shared" si="131"/>
        <v>10.799362830427897</v>
      </c>
      <c r="G1088">
        <v>1038</v>
      </c>
      <c r="H1088" s="13">
        <f t="shared" si="136"/>
        <v>5.1608656820917531E-2</v>
      </c>
      <c r="I1088">
        <f t="shared" si="137"/>
        <v>95.872380690197119</v>
      </c>
      <c r="J1088">
        <f t="shared" si="132"/>
        <v>199.17660183692186</v>
      </c>
      <c r="K1088" s="27">
        <f t="shared" si="133"/>
        <v>2047.1349211622128</v>
      </c>
    </row>
    <row r="1089" spans="1:11">
      <c r="A1089" s="26">
        <v>1039</v>
      </c>
      <c r="B1089" s="82">
        <f t="shared" si="134"/>
        <v>3.2921237647087764E-4</v>
      </c>
      <c r="C1089" s="58">
        <f t="shared" si="130"/>
        <v>42.644646569240948</v>
      </c>
      <c r="D1089" s="83">
        <f t="shared" si="135"/>
        <v>181.1180564199187</v>
      </c>
      <c r="E1089">
        <f t="shared" si="131"/>
        <v>10.799438395256916</v>
      </c>
      <c r="G1089">
        <v>1039</v>
      </c>
      <c r="H1089" s="13">
        <f t="shared" si="136"/>
        <v>5.1608656820917531E-2</v>
      </c>
      <c r="I1089">
        <f t="shared" si="137"/>
        <v>95.923989347018036</v>
      </c>
      <c r="J1089">
        <f t="shared" si="132"/>
        <v>199.15242082843827</v>
      </c>
      <c r="K1089" s="27">
        <f t="shared" si="133"/>
        <v>2046.6369479937475</v>
      </c>
    </row>
    <row r="1090" spans="1:11">
      <c r="A1090" s="26">
        <v>1040</v>
      </c>
      <c r="B1090" s="82">
        <f t="shared" si="134"/>
        <v>3.2921237647087764E-4</v>
      </c>
      <c r="C1090" s="58">
        <f t="shared" si="130"/>
        <v>42.644975781617418</v>
      </c>
      <c r="D1090" s="83">
        <f t="shared" si="135"/>
        <v>181.11869005975069</v>
      </c>
      <c r="E1090">
        <f t="shared" si="131"/>
        <v>10.799513957101899</v>
      </c>
      <c r="G1090">
        <v>1040</v>
      </c>
      <c r="H1090" s="13">
        <f t="shared" si="136"/>
        <v>5.1608656820917531E-2</v>
      </c>
      <c r="I1090">
        <f t="shared" si="137"/>
        <v>95.975598003838954</v>
      </c>
      <c r="J1090">
        <f t="shared" si="132"/>
        <v>199.12815138177859</v>
      </c>
      <c r="K1090" s="27">
        <f t="shared" si="133"/>
        <v>2046.1372159960247</v>
      </c>
    </row>
    <row r="1091" spans="1:11">
      <c r="A1091" s="26">
        <v>1041</v>
      </c>
      <c r="B1091" s="82">
        <f t="shared" si="134"/>
        <v>3.2921237647087764E-4</v>
      </c>
      <c r="C1091" s="58">
        <f t="shared" si="130"/>
        <v>42.645304993993889</v>
      </c>
      <c r="D1091" s="83">
        <f t="shared" si="135"/>
        <v>181.11932367234448</v>
      </c>
      <c r="E1091">
        <f t="shared" si="131"/>
        <v>10.799589515963142</v>
      </c>
      <c r="G1091">
        <v>1041</v>
      </c>
      <c r="H1091" s="13">
        <f t="shared" si="136"/>
        <v>5.1608656820917531E-2</v>
      </c>
      <c r="I1091">
        <f t="shared" si="137"/>
        <v>96.027206660659871</v>
      </c>
      <c r="J1091">
        <f t="shared" si="132"/>
        <v>199.10379332151035</v>
      </c>
      <c r="K1091" s="27">
        <f t="shared" si="133"/>
        <v>2045.6357222190761</v>
      </c>
    </row>
    <row r="1092" spans="1:11">
      <c r="A1092" s="26">
        <v>1042</v>
      </c>
      <c r="B1092" s="82">
        <f t="shared" si="134"/>
        <v>3.2921237647087764E-4</v>
      </c>
      <c r="C1092" s="58">
        <f t="shared" si="130"/>
        <v>42.64563420637036</v>
      </c>
      <c r="D1092" s="83">
        <f t="shared" si="135"/>
        <v>181.11995725770288</v>
      </c>
      <c r="E1092">
        <f t="shared" si="131"/>
        <v>10.799665071840934</v>
      </c>
      <c r="G1092">
        <v>1042</v>
      </c>
      <c r="H1092" s="13">
        <f t="shared" si="136"/>
        <v>5.1608656820917531E-2</v>
      </c>
      <c r="I1092">
        <f t="shared" si="137"/>
        <v>96.078815317480789</v>
      </c>
      <c r="J1092">
        <f t="shared" si="132"/>
        <v>199.07934647109369</v>
      </c>
      <c r="K1092" s="27">
        <f t="shared" si="133"/>
        <v>2045.1324636943045</v>
      </c>
    </row>
    <row r="1093" spans="1:11">
      <c r="A1093" s="26">
        <v>1043</v>
      </c>
      <c r="B1093" s="82">
        <f t="shared" si="134"/>
        <v>3.2921237647087764E-4</v>
      </c>
      <c r="C1093" s="58">
        <f t="shared" si="130"/>
        <v>42.645963418746831</v>
      </c>
      <c r="D1093" s="83">
        <f t="shared" si="135"/>
        <v>181.12059081582862</v>
      </c>
      <c r="E1093">
        <f t="shared" si="131"/>
        <v>10.799740624735582</v>
      </c>
      <c r="G1093">
        <v>1043</v>
      </c>
      <c r="H1093" s="13">
        <f t="shared" si="136"/>
        <v>5.1608656820917531E-2</v>
      </c>
      <c r="I1093">
        <f t="shared" si="137"/>
        <v>96.130423974301706</v>
      </c>
      <c r="J1093">
        <f t="shared" si="132"/>
        <v>199.05481065287339</v>
      </c>
      <c r="K1093" s="27">
        <f t="shared" si="133"/>
        <v>2044.6274374343495</v>
      </c>
    </row>
    <row r="1094" spans="1:11">
      <c r="A1094" s="26">
        <v>1044</v>
      </c>
      <c r="B1094" s="82">
        <f t="shared" si="134"/>
        <v>3.2921237647087764E-4</v>
      </c>
      <c r="C1094" s="58">
        <f t="shared" si="130"/>
        <v>42.646292631123302</v>
      </c>
      <c r="D1094" s="83">
        <f t="shared" si="135"/>
        <v>181.12122434672449</v>
      </c>
      <c r="E1094">
        <f t="shared" si="131"/>
        <v>10.799816174647374</v>
      </c>
      <c r="G1094">
        <v>1044</v>
      </c>
      <c r="H1094" s="13">
        <f t="shared" si="136"/>
        <v>5.1608656820917531E-2</v>
      </c>
      <c r="I1094">
        <f t="shared" si="137"/>
        <v>96.182032631122624</v>
      </c>
      <c r="J1094">
        <f t="shared" si="132"/>
        <v>199.03018568807084</v>
      </c>
      <c r="K1094" s="27">
        <f t="shared" si="133"/>
        <v>2044.1206404329514</v>
      </c>
    </row>
    <row r="1095" spans="1:11">
      <c r="A1095" s="26">
        <v>1045</v>
      </c>
      <c r="B1095" s="82">
        <f t="shared" si="134"/>
        <v>3.2921237647087764E-4</v>
      </c>
      <c r="C1095" s="58">
        <f t="shared" si="130"/>
        <v>42.646621843499773</v>
      </c>
      <c r="D1095" s="83">
        <f t="shared" si="135"/>
        <v>181.12185785039327</v>
      </c>
      <c r="E1095">
        <f t="shared" si="131"/>
        <v>10.799891721576607</v>
      </c>
      <c r="G1095">
        <v>1045</v>
      </c>
      <c r="H1095" s="13">
        <f t="shared" si="136"/>
        <v>5.1608656820917531E-2</v>
      </c>
      <c r="I1095">
        <f t="shared" si="137"/>
        <v>96.233641287943541</v>
      </c>
      <c r="J1095">
        <f t="shared" si="132"/>
        <v>199.00547139677593</v>
      </c>
      <c r="K1095" s="27">
        <f t="shared" si="133"/>
        <v>2043.6120696648152</v>
      </c>
    </row>
    <row r="1096" spans="1:11">
      <c r="A1096" s="26">
        <v>1046</v>
      </c>
      <c r="B1096" s="82">
        <f t="shared" si="134"/>
        <v>3.2921237647087764E-4</v>
      </c>
      <c r="C1096" s="58">
        <f t="shared" si="130"/>
        <v>42.646951055876244</v>
      </c>
      <c r="D1096" s="83">
        <f t="shared" si="135"/>
        <v>181.12249132683766</v>
      </c>
      <c r="E1096">
        <f t="shared" si="131"/>
        <v>10.799967265523575</v>
      </c>
      <c r="G1096">
        <v>1046</v>
      </c>
      <c r="H1096" s="13">
        <f t="shared" si="136"/>
        <v>5.1608656820917531E-2</v>
      </c>
      <c r="I1096">
        <f t="shared" si="137"/>
        <v>96.285249944764459</v>
      </c>
      <c r="J1096">
        <f t="shared" si="132"/>
        <v>198.98066759793889</v>
      </c>
      <c r="K1096" s="27">
        <f t="shared" si="133"/>
        <v>2043.1017220854719</v>
      </c>
    </row>
    <row r="1097" spans="1:11">
      <c r="A1097" s="26">
        <v>1047</v>
      </c>
      <c r="B1097" s="82">
        <f t="shared" si="134"/>
        <v>3.2921237647087764E-4</v>
      </c>
      <c r="C1097" s="58">
        <f t="shared" si="130"/>
        <v>42.647280268252715</v>
      </c>
      <c r="D1097" s="83">
        <f t="shared" si="135"/>
        <v>181.12312477606048</v>
      </c>
      <c r="E1097">
        <f t="shared" si="131"/>
        <v>10.800042806488579</v>
      </c>
      <c r="G1097">
        <v>1047</v>
      </c>
      <c r="H1097" s="13">
        <f t="shared" si="136"/>
        <v>5.1608656820917531E-2</v>
      </c>
      <c r="I1097">
        <f t="shared" si="137"/>
        <v>96.336858601585377</v>
      </c>
      <c r="J1097">
        <f t="shared" si="132"/>
        <v>198.9557741093619</v>
      </c>
      <c r="K1097" s="27">
        <f t="shared" si="133"/>
        <v>2042.5895946311396</v>
      </c>
    </row>
    <row r="1098" spans="1:11">
      <c r="A1098" s="26">
        <v>1048</v>
      </c>
      <c r="B1098" s="82">
        <f t="shared" si="134"/>
        <v>3.2921237647087764E-4</v>
      </c>
      <c r="C1098" s="58">
        <f t="shared" si="130"/>
        <v>42.647609480629185</v>
      </c>
      <c r="D1098" s="83">
        <f t="shared" si="135"/>
        <v>181.12375819806448</v>
      </c>
      <c r="E1098">
        <f t="shared" si="131"/>
        <v>10.80011834447191</v>
      </c>
      <c r="G1098">
        <v>1048</v>
      </c>
      <c r="H1098" s="13">
        <f t="shared" si="136"/>
        <v>5.1608656820917531E-2</v>
      </c>
      <c r="I1098">
        <f t="shared" si="137"/>
        <v>96.388467258406294</v>
      </c>
      <c r="J1098">
        <f t="shared" si="132"/>
        <v>198.93079074769079</v>
      </c>
      <c r="K1098" s="27">
        <f t="shared" si="133"/>
        <v>2042.075684218582</v>
      </c>
    </row>
    <row r="1099" spans="1:11">
      <c r="A1099" s="26">
        <v>1049</v>
      </c>
      <c r="B1099" s="82">
        <f t="shared" si="134"/>
        <v>3.2921237647087764E-4</v>
      </c>
      <c r="C1099" s="58">
        <f t="shared" si="130"/>
        <v>42.647938693005656</v>
      </c>
      <c r="D1099" s="83">
        <f t="shared" si="135"/>
        <v>181.12439159285239</v>
      </c>
      <c r="E1099">
        <f t="shared" si="131"/>
        <v>10.800193879473861</v>
      </c>
      <c r="G1099">
        <v>1049</v>
      </c>
      <c r="H1099" s="13">
        <f t="shared" si="136"/>
        <v>5.1608656820917531E-2</v>
      </c>
      <c r="I1099">
        <f t="shared" si="137"/>
        <v>96.440075915227212</v>
      </c>
      <c r="J1099">
        <f t="shared" si="132"/>
        <v>198.90571732840669</v>
      </c>
      <c r="K1099" s="27">
        <f t="shared" si="133"/>
        <v>2041.5599877449679</v>
      </c>
    </row>
    <row r="1100" spans="1:11">
      <c r="A1100" s="26">
        <v>1050</v>
      </c>
      <c r="B1100" s="82">
        <f t="shared" si="134"/>
        <v>3.2921237647087764E-4</v>
      </c>
      <c r="C1100" s="58">
        <f t="shared" si="130"/>
        <v>42.648267905382127</v>
      </c>
      <c r="D1100" s="83">
        <f t="shared" si="135"/>
        <v>181.12502496042703</v>
      </c>
      <c r="E1100">
        <f t="shared" si="131"/>
        <v>10.800269411494732</v>
      </c>
      <c r="G1100">
        <v>1050</v>
      </c>
      <c r="H1100" s="13">
        <f t="shared" si="136"/>
        <v>5.1608656820917531E-2</v>
      </c>
      <c r="I1100">
        <f t="shared" si="137"/>
        <v>96.491684572048129</v>
      </c>
      <c r="J1100">
        <f t="shared" si="132"/>
        <v>198.8805536658173</v>
      </c>
      <c r="K1100" s="27">
        <f t="shared" si="133"/>
        <v>2041.0425020877228</v>
      </c>
    </row>
    <row r="1101" spans="1:11">
      <c r="A1101" s="26">
        <v>1051</v>
      </c>
      <c r="B1101" s="82">
        <f t="shared" si="134"/>
        <v>3.2921237647087764E-4</v>
      </c>
      <c r="C1101" s="58">
        <f t="shared" si="130"/>
        <v>42.648597117758598</v>
      </c>
      <c r="D1101" s="83">
        <f t="shared" si="135"/>
        <v>181.12565830079109</v>
      </c>
      <c r="E1101">
        <f t="shared" si="131"/>
        <v>10.800344940534815</v>
      </c>
      <c r="G1101">
        <v>1051</v>
      </c>
      <c r="H1101" s="13">
        <f t="shared" si="136"/>
        <v>5.1608656820917531E-2</v>
      </c>
      <c r="I1101">
        <f t="shared" si="137"/>
        <v>96.543293228869047</v>
      </c>
      <c r="J1101">
        <f t="shared" si="132"/>
        <v>198.8552995730484</v>
      </c>
      <c r="K1101" s="27">
        <f t="shared" si="133"/>
        <v>2040.5232241043886</v>
      </c>
    </row>
    <row r="1102" spans="1:11">
      <c r="A1102" s="26">
        <v>1052</v>
      </c>
      <c r="B1102" s="82">
        <f t="shared" si="134"/>
        <v>3.2921237647087764E-4</v>
      </c>
      <c r="C1102" s="58">
        <f t="shared" si="130"/>
        <v>42.648926330135069</v>
      </c>
      <c r="D1102" s="83">
        <f t="shared" si="135"/>
        <v>181.12629161394742</v>
      </c>
      <c r="E1102">
        <f t="shared" si="131"/>
        <v>10.800420466594408</v>
      </c>
      <c r="G1102">
        <v>1052</v>
      </c>
      <c r="H1102" s="13">
        <f t="shared" si="136"/>
        <v>5.1608656820917531E-2</v>
      </c>
      <c r="I1102">
        <f t="shared" si="137"/>
        <v>96.594901885689964</v>
      </c>
      <c r="J1102">
        <f t="shared" si="132"/>
        <v>198.82995486203504</v>
      </c>
      <c r="K1102" s="27">
        <f t="shared" si="133"/>
        <v>2040.0021506324749</v>
      </c>
    </row>
    <row r="1103" spans="1:11">
      <c r="A1103" s="26">
        <v>1053</v>
      </c>
      <c r="B1103" s="82">
        <f t="shared" si="134"/>
        <v>3.2921237647087764E-4</v>
      </c>
      <c r="C1103" s="58">
        <f t="shared" si="130"/>
        <v>42.64925554251154</v>
      </c>
      <c r="D1103" s="83">
        <f t="shared" si="135"/>
        <v>181.12692489989868</v>
      </c>
      <c r="E1103">
        <f t="shared" si="131"/>
        <v>10.800495989673806</v>
      </c>
      <c r="G1103">
        <v>1053</v>
      </c>
      <c r="H1103" s="13">
        <f t="shared" si="136"/>
        <v>5.1608656820917531E-2</v>
      </c>
      <c r="I1103">
        <f t="shared" si="137"/>
        <v>96.646510542510882</v>
      </c>
      <c r="J1103">
        <f t="shared" si="132"/>
        <v>198.80451934351285</v>
      </c>
      <c r="K1103" s="27">
        <f t="shared" si="133"/>
        <v>2039.4792784893086</v>
      </c>
    </row>
    <row r="1104" spans="1:11">
      <c r="A1104" s="26">
        <v>1054</v>
      </c>
      <c r="B1104" s="82">
        <f t="shared" si="134"/>
        <v>3.2921237647087764E-4</v>
      </c>
      <c r="C1104" s="58">
        <f t="shared" ref="C1104:C1167" si="138">($C$37-$C$36)/2000+C1103</f>
        <v>42.649584754888011</v>
      </c>
      <c r="D1104" s="83">
        <f t="shared" si="135"/>
        <v>181.12755815864773</v>
      </c>
      <c r="E1104">
        <f t="shared" si="131"/>
        <v>10.800571509773304</v>
      </c>
      <c r="G1104">
        <v>1054</v>
      </c>
      <c r="H1104" s="13">
        <f t="shared" si="136"/>
        <v>5.1608656820917531E-2</v>
      </c>
      <c r="I1104">
        <f t="shared" si="137"/>
        <v>96.698119199331799</v>
      </c>
      <c r="J1104">
        <f t="shared" si="132"/>
        <v>198.77899282700901</v>
      </c>
      <c r="K1104" s="27">
        <f t="shared" si="133"/>
        <v>2038.9546044718863</v>
      </c>
    </row>
    <row r="1105" spans="1:11">
      <c r="A1105" s="26">
        <v>1055</v>
      </c>
      <c r="B1105" s="82">
        <f t="shared" si="134"/>
        <v>3.2921237647087764E-4</v>
      </c>
      <c r="C1105" s="58">
        <f t="shared" si="138"/>
        <v>42.649913967264482</v>
      </c>
      <c r="D1105" s="83">
        <f t="shared" si="135"/>
        <v>181.12819139019726</v>
      </c>
      <c r="E1105">
        <f t="shared" si="131"/>
        <v>10.80064702689319</v>
      </c>
      <c r="G1105">
        <v>1055</v>
      </c>
      <c r="H1105" s="13">
        <f t="shared" si="136"/>
        <v>5.1608656820917531E-2</v>
      </c>
      <c r="I1105">
        <f t="shared" si="137"/>
        <v>96.749727856152717</v>
      </c>
      <c r="J1105">
        <f t="shared" si="132"/>
        <v>198.7533751208334</v>
      </c>
      <c r="K1105" s="27">
        <f t="shared" si="133"/>
        <v>2038.4281253567242</v>
      </c>
    </row>
    <row r="1106" spans="1:11">
      <c r="A1106" s="26">
        <v>1056</v>
      </c>
      <c r="B1106" s="82">
        <f t="shared" si="134"/>
        <v>3.2921237647087764E-4</v>
      </c>
      <c r="C1106" s="58">
        <f t="shared" si="138"/>
        <v>42.650243179640952</v>
      </c>
      <c r="D1106" s="83">
        <f t="shared" si="135"/>
        <v>181.12882459455003</v>
      </c>
      <c r="E1106">
        <f t="shared" si="131"/>
        <v>10.800722541033766</v>
      </c>
      <c r="G1106">
        <v>1056</v>
      </c>
      <c r="H1106" s="13">
        <f t="shared" si="136"/>
        <v>5.1608656820917531E-2</v>
      </c>
      <c r="I1106">
        <f t="shared" si="137"/>
        <v>96.801336512973634</v>
      </c>
      <c r="J1106">
        <f t="shared" si="132"/>
        <v>198.72766603206935</v>
      </c>
      <c r="K1106" s="27">
        <f t="shared" si="133"/>
        <v>2037.8998378996996</v>
      </c>
    </row>
    <row r="1107" spans="1:11">
      <c r="A1107" s="26">
        <v>1057</v>
      </c>
      <c r="B1107" s="82">
        <f t="shared" si="134"/>
        <v>3.2921237647087764E-4</v>
      </c>
      <c r="C1107" s="58">
        <f t="shared" si="138"/>
        <v>42.650572392017423</v>
      </c>
      <c r="D1107" s="83">
        <f t="shared" si="135"/>
        <v>181.12945777170884</v>
      </c>
      <c r="E1107">
        <f t="shared" si="131"/>
        <v>10.800798052195331</v>
      </c>
      <c r="G1107">
        <v>1057</v>
      </c>
      <c r="H1107" s="13">
        <f t="shared" si="136"/>
        <v>5.1608656820917531E-2</v>
      </c>
      <c r="I1107">
        <f t="shared" si="137"/>
        <v>96.852945169794552</v>
      </c>
      <c r="J1107">
        <f t="shared" si="132"/>
        <v>198.70186536656462</v>
      </c>
      <c r="K1107" s="27">
        <f t="shared" si="133"/>
        <v>2037.3697388359024</v>
      </c>
    </row>
    <row r="1108" spans="1:11">
      <c r="A1108" s="26">
        <v>1058</v>
      </c>
      <c r="B1108" s="82">
        <f t="shared" si="134"/>
        <v>3.2921237647087764E-4</v>
      </c>
      <c r="C1108" s="58">
        <f t="shared" si="138"/>
        <v>42.650901604393894</v>
      </c>
      <c r="D1108" s="83">
        <f t="shared" si="135"/>
        <v>181.13009092167641</v>
      </c>
      <c r="E1108">
        <f t="shared" si="131"/>
        <v>10.800873560378172</v>
      </c>
      <c r="G1108">
        <v>1058</v>
      </c>
      <c r="H1108" s="13">
        <f t="shared" si="136"/>
        <v>5.1608656820917531E-2</v>
      </c>
      <c r="I1108">
        <f t="shared" si="137"/>
        <v>96.904553826615469</v>
      </c>
      <c r="J1108">
        <f t="shared" si="132"/>
        <v>198.67597292892208</v>
      </c>
      <c r="K1108" s="27">
        <f t="shared" si="133"/>
        <v>2036.8378248794752</v>
      </c>
    </row>
    <row r="1109" spans="1:11">
      <c r="A1109" s="26">
        <v>1059</v>
      </c>
      <c r="B1109" s="82">
        <f t="shared" si="134"/>
        <v>3.2921237647087764E-4</v>
      </c>
      <c r="C1109" s="58">
        <f t="shared" si="138"/>
        <v>42.651230816770365</v>
      </c>
      <c r="D1109" s="83">
        <f t="shared" si="135"/>
        <v>181.13072404445555</v>
      </c>
      <c r="E1109">
        <f t="shared" si="131"/>
        <v>10.800949065582586</v>
      </c>
      <c r="G1109">
        <v>1059</v>
      </c>
      <c r="H1109" s="13">
        <f t="shared" si="136"/>
        <v>5.1608656820917531E-2</v>
      </c>
      <c r="I1109">
        <f t="shared" si="137"/>
        <v>96.956162483436387</v>
      </c>
      <c r="J1109">
        <f t="shared" si="132"/>
        <v>198.64998852249019</v>
      </c>
      <c r="K1109" s="27">
        <f t="shared" si="133"/>
        <v>2036.3040927234554</v>
      </c>
    </row>
    <row r="1110" spans="1:11">
      <c r="A1110" s="26">
        <v>1060</v>
      </c>
      <c r="B1110" s="82">
        <f t="shared" si="134"/>
        <v>3.2921237647087764E-4</v>
      </c>
      <c r="C1110" s="58">
        <f t="shared" si="138"/>
        <v>42.651560029146836</v>
      </c>
      <c r="D1110" s="83">
        <f t="shared" si="135"/>
        <v>181.13135714004895</v>
      </c>
      <c r="E1110">
        <f t="shared" si="131"/>
        <v>10.801024567808868</v>
      </c>
      <c r="G1110">
        <v>1060</v>
      </c>
      <c r="H1110" s="13">
        <f t="shared" si="136"/>
        <v>5.1608656820917531E-2</v>
      </c>
      <c r="I1110">
        <f t="shared" si="137"/>
        <v>97.007771140257304</v>
      </c>
      <c r="J1110">
        <f t="shared" si="132"/>
        <v>198.62391194935378</v>
      </c>
      <c r="K1110" s="27">
        <f t="shared" si="133"/>
        <v>2035.768539039618</v>
      </c>
    </row>
    <row r="1111" spans="1:11">
      <c r="A1111" s="26">
        <v>1061</v>
      </c>
      <c r="B1111" s="82">
        <f t="shared" si="134"/>
        <v>3.2921237647087764E-4</v>
      </c>
      <c r="C1111" s="58">
        <f t="shared" si="138"/>
        <v>42.651889241523307</v>
      </c>
      <c r="D1111" s="83">
        <f t="shared" si="135"/>
        <v>181.1319902084594</v>
      </c>
      <c r="E1111">
        <f t="shared" si="131"/>
        <v>10.801100067057318</v>
      </c>
      <c r="G1111">
        <v>1061</v>
      </c>
      <c r="H1111" s="13">
        <f t="shared" si="136"/>
        <v>5.1608656820917531E-2</v>
      </c>
      <c r="I1111">
        <f t="shared" si="137"/>
        <v>97.059379797078222</v>
      </c>
      <c r="J1111">
        <f t="shared" si="132"/>
        <v>198.59774301032434</v>
      </c>
      <c r="K1111" s="27">
        <f t="shared" si="133"/>
        <v>2035.2311604783124</v>
      </c>
    </row>
    <row r="1112" spans="1:11">
      <c r="A1112" s="26">
        <v>1062</v>
      </c>
      <c r="B1112" s="82">
        <f t="shared" si="134"/>
        <v>3.2921237647087764E-4</v>
      </c>
      <c r="C1112" s="58">
        <f t="shared" si="138"/>
        <v>42.652218453899778</v>
      </c>
      <c r="D1112" s="83">
        <f t="shared" si="135"/>
        <v>181.13262324968966</v>
      </c>
      <c r="E1112">
        <f t="shared" si="131"/>
        <v>10.801175563328217</v>
      </c>
      <c r="G1112">
        <v>1062</v>
      </c>
      <c r="H1112" s="13">
        <f t="shared" si="136"/>
        <v>5.1608656820917531E-2</v>
      </c>
      <c r="I1112">
        <f t="shared" si="137"/>
        <v>97.110988453899139</v>
      </c>
      <c r="J1112">
        <f t="shared" si="132"/>
        <v>198.57148150493032</v>
      </c>
      <c r="K1112" s="27">
        <f t="shared" si="133"/>
        <v>2034.6919536682997</v>
      </c>
    </row>
    <row r="1113" spans="1:11">
      <c r="A1113" s="26">
        <v>1063</v>
      </c>
      <c r="B1113" s="82">
        <f t="shared" si="134"/>
        <v>3.2921237647087764E-4</v>
      </c>
      <c r="C1113" s="58">
        <f t="shared" si="138"/>
        <v>42.652547666276249</v>
      </c>
      <c r="D1113" s="83">
        <f t="shared" si="135"/>
        <v>181.13325626374245</v>
      </c>
      <c r="E1113">
        <f t="shared" si="131"/>
        <v>10.801251056621872</v>
      </c>
      <c r="G1113">
        <v>1063</v>
      </c>
      <c r="H1113" s="13">
        <f t="shared" si="136"/>
        <v>5.1608656820917531E-2</v>
      </c>
      <c r="I1113">
        <f t="shared" si="137"/>
        <v>97.162597110720057</v>
      </c>
      <c r="J1113">
        <f t="shared" si="132"/>
        <v>198.54512723140741</v>
      </c>
      <c r="K1113" s="27">
        <f t="shared" si="133"/>
        <v>2034.150915216587</v>
      </c>
    </row>
    <row r="1114" spans="1:11">
      <c r="A1114" s="26">
        <v>1064</v>
      </c>
      <c r="B1114" s="82">
        <f t="shared" si="134"/>
        <v>3.2921237647087764E-4</v>
      </c>
      <c r="C1114" s="58">
        <f t="shared" si="138"/>
        <v>42.652876878652719</v>
      </c>
      <c r="D1114" s="83">
        <f t="shared" si="135"/>
        <v>181.13388925062057</v>
      </c>
      <c r="E1114">
        <f t="shared" si="131"/>
        <v>10.801326546938576</v>
      </c>
      <c r="G1114">
        <v>1064</v>
      </c>
      <c r="H1114" s="13">
        <f t="shared" si="136"/>
        <v>5.1608656820917531E-2</v>
      </c>
      <c r="I1114">
        <f t="shared" si="137"/>
        <v>97.214205767540975</v>
      </c>
      <c r="J1114">
        <f t="shared" si="132"/>
        <v>198.51867998668865</v>
      </c>
      <c r="K1114" s="27">
        <f t="shared" si="133"/>
        <v>2033.6080417082646</v>
      </c>
    </row>
    <row r="1115" spans="1:11">
      <c r="A1115" s="26">
        <v>1065</v>
      </c>
      <c r="B1115" s="82">
        <f t="shared" si="134"/>
        <v>3.2921237647087764E-4</v>
      </c>
      <c r="C1115" s="58">
        <f t="shared" si="138"/>
        <v>42.65320609102919</v>
      </c>
      <c r="D1115" s="83">
        <f t="shared" si="135"/>
        <v>181.13452221032676</v>
      </c>
      <c r="E1115">
        <f t="shared" si="131"/>
        <v>10.801402034278619</v>
      </c>
      <c r="G1115">
        <v>1065</v>
      </c>
      <c r="H1115" s="13">
        <f t="shared" si="136"/>
        <v>5.1608656820917531E-2</v>
      </c>
      <c r="I1115">
        <f t="shared" si="137"/>
        <v>97.265814424361892</v>
      </c>
      <c r="J1115">
        <f t="shared" si="132"/>
        <v>198.49213956639454</v>
      </c>
      <c r="K1115" s="27">
        <f t="shared" si="133"/>
        <v>2033.0633297063341</v>
      </c>
    </row>
    <row r="1116" spans="1:11">
      <c r="A1116" s="26">
        <v>1066</v>
      </c>
      <c r="B1116" s="82">
        <f t="shared" si="134"/>
        <v>3.2921237647087764E-4</v>
      </c>
      <c r="C1116" s="58">
        <f t="shared" si="138"/>
        <v>42.653535303405661</v>
      </c>
      <c r="D1116" s="83">
        <f t="shared" si="135"/>
        <v>181.13515514286379</v>
      </c>
      <c r="E1116">
        <f t="shared" si="131"/>
        <v>10.801477518642301</v>
      </c>
      <c r="G1116">
        <v>1066</v>
      </c>
      <c r="H1116" s="13">
        <f t="shared" si="136"/>
        <v>5.1608656820917531E-2</v>
      </c>
      <c r="I1116">
        <f t="shared" si="137"/>
        <v>97.31742308118281</v>
      </c>
      <c r="J1116">
        <f t="shared" si="132"/>
        <v>198.46550576482275</v>
      </c>
      <c r="K1116" s="27">
        <f t="shared" si="133"/>
        <v>2032.5167757515389</v>
      </c>
    </row>
    <row r="1117" spans="1:11">
      <c r="A1117" s="26">
        <v>1067</v>
      </c>
      <c r="B1117" s="82">
        <f t="shared" si="134"/>
        <v>3.2921237647087764E-4</v>
      </c>
      <c r="C1117" s="58">
        <f t="shared" si="138"/>
        <v>42.653864515782132</v>
      </c>
      <c r="D1117" s="83">
        <f t="shared" si="135"/>
        <v>181.13578804823436</v>
      </c>
      <c r="E1117">
        <f t="shared" si="131"/>
        <v>10.801553000029912</v>
      </c>
      <c r="G1117">
        <v>1067</v>
      </c>
      <c r="H1117" s="13">
        <f t="shared" si="136"/>
        <v>5.1608656820917531E-2</v>
      </c>
      <c r="I1117">
        <f t="shared" si="137"/>
        <v>97.369031738003727</v>
      </c>
      <c r="J1117">
        <f t="shared" si="132"/>
        <v>198.43877837493807</v>
      </c>
      <c r="K1117" s="27">
        <f t="shared" si="133"/>
        <v>2031.9683763621942</v>
      </c>
    </row>
    <row r="1118" spans="1:11">
      <c r="A1118" s="26">
        <v>1068</v>
      </c>
      <c r="B1118" s="82">
        <f t="shared" si="134"/>
        <v>3.2921237647087764E-4</v>
      </c>
      <c r="C1118" s="58">
        <f t="shared" si="138"/>
        <v>42.654193728158603</v>
      </c>
      <c r="D1118" s="83">
        <f t="shared" si="135"/>
        <v>181.1364209264413</v>
      </c>
      <c r="E1118">
        <f t="shared" si="131"/>
        <v>10.801628478441748</v>
      </c>
      <c r="G1118">
        <v>1068</v>
      </c>
      <c r="H1118" s="13">
        <f t="shared" si="136"/>
        <v>5.1608656820917531E-2</v>
      </c>
      <c r="I1118">
        <f t="shared" si="137"/>
        <v>97.420640394824645</v>
      </c>
      <c r="J1118">
        <f t="shared" si="132"/>
        <v>198.41195718836215</v>
      </c>
      <c r="K1118" s="27">
        <f t="shared" si="133"/>
        <v>2031.4181280340129</v>
      </c>
    </row>
    <row r="1119" spans="1:11">
      <c r="A1119" s="26">
        <v>1069</v>
      </c>
      <c r="B1119" s="82">
        <f t="shared" si="134"/>
        <v>3.2921237647087764E-4</v>
      </c>
      <c r="C1119" s="58">
        <f t="shared" si="138"/>
        <v>42.654522940535074</v>
      </c>
      <c r="D1119" s="83">
        <f t="shared" si="135"/>
        <v>181.1370537774873</v>
      </c>
      <c r="E1119">
        <f t="shared" si="131"/>
        <v>10.801703953878098</v>
      </c>
      <c r="G1119">
        <v>1069</v>
      </c>
      <c r="H1119" s="13">
        <f t="shared" si="136"/>
        <v>5.1608656820917531E-2</v>
      </c>
      <c r="I1119">
        <f t="shared" si="137"/>
        <v>97.472249051645562</v>
      </c>
      <c r="J1119">
        <f t="shared" si="132"/>
        <v>198.38504199536297</v>
      </c>
      <c r="K1119" s="27">
        <f t="shared" si="133"/>
        <v>2030.8660272399275</v>
      </c>
    </row>
    <row r="1120" spans="1:11">
      <c r="A1120" s="26">
        <v>1070</v>
      </c>
      <c r="B1120" s="82">
        <f t="shared" si="134"/>
        <v>3.2921237647087764E-4</v>
      </c>
      <c r="C1120" s="58">
        <f t="shared" si="138"/>
        <v>42.654852152911545</v>
      </c>
      <c r="D1120" s="83">
        <f t="shared" si="135"/>
        <v>181.13768660137512</v>
      </c>
      <c r="E1120">
        <f t="shared" si="131"/>
        <v>10.801779426339266</v>
      </c>
      <c r="G1120">
        <v>1070</v>
      </c>
      <c r="H1120" s="13">
        <f t="shared" si="136"/>
        <v>5.1608656820917531E-2</v>
      </c>
      <c r="I1120">
        <f t="shared" si="137"/>
        <v>97.52385770846648</v>
      </c>
      <c r="J1120">
        <f t="shared" si="132"/>
        <v>198.3580325848443</v>
      </c>
      <c r="K1120" s="27">
        <f t="shared" si="133"/>
        <v>2030.3120704299172</v>
      </c>
    </row>
    <row r="1121" spans="1:11">
      <c r="A1121" s="26">
        <v>1071</v>
      </c>
      <c r="B1121" s="82">
        <f t="shared" si="134"/>
        <v>3.2921237647087764E-4</v>
      </c>
      <c r="C1121" s="58">
        <f t="shared" si="138"/>
        <v>42.655181365288016</v>
      </c>
      <c r="D1121" s="83">
        <f t="shared" si="135"/>
        <v>181.13831939810751</v>
      </c>
      <c r="E1121">
        <f t="shared" si="131"/>
        <v>10.801854895825537</v>
      </c>
      <c r="G1121">
        <v>1071</v>
      </c>
      <c r="H1121" s="13">
        <f t="shared" si="136"/>
        <v>5.1608656820917531E-2</v>
      </c>
      <c r="I1121">
        <f t="shared" si="137"/>
        <v>97.575466365287397</v>
      </c>
      <c r="J1121">
        <f t="shared" si="132"/>
        <v>198.33092874433524</v>
      </c>
      <c r="K1121" s="27">
        <f t="shared" si="133"/>
        <v>2029.7562540308247</v>
      </c>
    </row>
    <row r="1122" spans="1:11">
      <c r="A1122" s="26">
        <v>1072</v>
      </c>
      <c r="B1122" s="82">
        <f t="shared" si="134"/>
        <v>3.2921237647087764E-4</v>
      </c>
      <c r="C1122" s="58">
        <f t="shared" si="138"/>
        <v>42.655510577664487</v>
      </c>
      <c r="D1122" s="83">
        <f t="shared" si="135"/>
        <v>181.13895216768728</v>
      </c>
      <c r="E1122">
        <f t="shared" si="131"/>
        <v>10.801930362337211</v>
      </c>
      <c r="G1122">
        <v>1072</v>
      </c>
      <c r="H1122" s="13">
        <f t="shared" si="136"/>
        <v>5.1608656820917531E-2</v>
      </c>
      <c r="I1122">
        <f t="shared" si="137"/>
        <v>97.627075022108315</v>
      </c>
      <c r="J1122">
        <f t="shared" si="132"/>
        <v>198.30373025997926</v>
      </c>
      <c r="K1122" s="27">
        <f t="shared" si="133"/>
        <v>2029.1985744461765</v>
      </c>
    </row>
    <row r="1123" spans="1:11">
      <c r="A1123" s="26">
        <v>1073</v>
      </c>
      <c r="B1123" s="82">
        <f t="shared" si="134"/>
        <v>3.2921237647087764E-4</v>
      </c>
      <c r="C1123" s="58">
        <f t="shared" si="138"/>
        <v>42.655839790040957</v>
      </c>
      <c r="D1123" s="83">
        <f t="shared" si="135"/>
        <v>181.13958491011709</v>
      </c>
      <c r="E1123">
        <f t="shared" si="131"/>
        <v>10.802005825874582</v>
      </c>
      <c r="G1123">
        <v>1073</v>
      </c>
      <c r="H1123" s="13">
        <f t="shared" si="136"/>
        <v>5.1608656820917531E-2</v>
      </c>
      <c r="I1123">
        <f t="shared" si="137"/>
        <v>97.678683678929232</v>
      </c>
      <c r="J1123">
        <f t="shared" si="132"/>
        <v>198.27643691652344</v>
      </c>
      <c r="K1123" s="27">
        <f t="shared" si="133"/>
        <v>2028.6390280560001</v>
      </c>
    </row>
    <row r="1124" spans="1:11">
      <c r="A1124" s="26">
        <v>1074</v>
      </c>
      <c r="B1124" s="82">
        <f t="shared" si="134"/>
        <v>3.2921237647087764E-4</v>
      </c>
      <c r="C1124" s="58">
        <f t="shared" si="138"/>
        <v>42.656169002417428</v>
      </c>
      <c r="D1124" s="83">
        <f t="shared" si="135"/>
        <v>181.14021762539977</v>
      </c>
      <c r="E1124">
        <f t="shared" si="131"/>
        <v>10.802081286437945</v>
      </c>
      <c r="G1124">
        <v>1074</v>
      </c>
      <c r="H1124" s="13">
        <f t="shared" si="136"/>
        <v>5.1608656820917531E-2</v>
      </c>
      <c r="I1124">
        <f t="shared" si="137"/>
        <v>97.73029233575015</v>
      </c>
      <c r="J1124">
        <f t="shared" si="132"/>
        <v>198.24904849730748</v>
      </c>
      <c r="K1124" s="27">
        <f t="shared" si="133"/>
        <v>2028.0776112166384</v>
      </c>
    </row>
    <row r="1125" spans="1:11">
      <c r="A1125" s="26">
        <v>1075</v>
      </c>
      <c r="B1125" s="82">
        <f t="shared" si="134"/>
        <v>3.2921237647087764E-4</v>
      </c>
      <c r="C1125" s="58">
        <f t="shared" si="138"/>
        <v>42.656498214793899</v>
      </c>
      <c r="D1125" s="83">
        <f t="shared" si="135"/>
        <v>181.14085031353804</v>
      </c>
      <c r="E1125">
        <f t="shared" si="131"/>
        <v>10.802156744027586</v>
      </c>
      <c r="G1125">
        <v>1075</v>
      </c>
      <c r="H1125" s="13">
        <f t="shared" si="136"/>
        <v>5.1608656820917531E-2</v>
      </c>
      <c r="I1125">
        <f t="shared" si="137"/>
        <v>97.781900992571067</v>
      </c>
      <c r="J1125">
        <f t="shared" si="132"/>
        <v>198.22156478425259</v>
      </c>
      <c r="K1125" s="27">
        <f t="shared" si="133"/>
        <v>2027.5143202605625</v>
      </c>
    </row>
    <row r="1126" spans="1:11">
      <c r="A1126" s="26">
        <v>1076</v>
      </c>
      <c r="B1126" s="82">
        <f t="shared" si="134"/>
        <v>3.2921237647087764E-4</v>
      </c>
      <c r="C1126" s="58">
        <f t="shared" si="138"/>
        <v>42.65682742717037</v>
      </c>
      <c r="D1126" s="83">
        <f t="shared" si="135"/>
        <v>181.1414829745346</v>
      </c>
      <c r="E1126">
        <f t="shared" si="131"/>
        <v>10.802232198643809</v>
      </c>
      <c r="G1126">
        <v>1076</v>
      </c>
      <c r="H1126" s="13">
        <f t="shared" si="136"/>
        <v>5.1608656820917531E-2</v>
      </c>
      <c r="I1126">
        <f t="shared" si="137"/>
        <v>97.833509649391985</v>
      </c>
      <c r="J1126">
        <f t="shared" si="132"/>
        <v>198.19398555785017</v>
      </c>
      <c r="K1126" s="27">
        <f t="shared" si="133"/>
        <v>2026.9491514961821</v>
      </c>
    </row>
    <row r="1127" spans="1:11">
      <c r="A1127" s="26">
        <v>1077</v>
      </c>
      <c r="B1127" s="82">
        <f t="shared" si="134"/>
        <v>3.2921237647087764E-4</v>
      </c>
      <c r="C1127" s="58">
        <f t="shared" si="138"/>
        <v>42.657156639546841</v>
      </c>
      <c r="D1127" s="83">
        <f t="shared" si="135"/>
        <v>181.14211560839229</v>
      </c>
      <c r="E1127">
        <f t="shared" si="131"/>
        <v>10.802307650286904</v>
      </c>
      <c r="G1127">
        <v>1077</v>
      </c>
      <c r="H1127" s="13">
        <f t="shared" si="136"/>
        <v>5.1608656820917531E-2</v>
      </c>
      <c r="I1127">
        <f t="shared" si="137"/>
        <v>97.885118306212902</v>
      </c>
      <c r="J1127">
        <f t="shared" si="132"/>
        <v>198.16631059715067</v>
      </c>
      <c r="K1127" s="27">
        <f t="shared" si="133"/>
        <v>2026.382101207656</v>
      </c>
    </row>
    <row r="1128" spans="1:11">
      <c r="A1128" s="26">
        <v>1078</v>
      </c>
      <c r="B1128" s="82">
        <f t="shared" si="134"/>
        <v>3.2921237647087764E-4</v>
      </c>
      <c r="C1128" s="58">
        <f t="shared" si="138"/>
        <v>42.657485851923312</v>
      </c>
      <c r="D1128" s="83">
        <f t="shared" si="135"/>
        <v>181.14274821511378</v>
      </c>
      <c r="E1128">
        <f t="shared" si="131"/>
        <v>10.80238309895716</v>
      </c>
      <c r="G1128">
        <v>1078</v>
      </c>
      <c r="H1128" s="13">
        <f t="shared" si="136"/>
        <v>5.1608656820917531E-2</v>
      </c>
      <c r="I1128">
        <f t="shared" si="137"/>
        <v>97.93672696303382</v>
      </c>
      <c r="J1128">
        <f t="shared" si="132"/>
        <v>198.13853967975189</v>
      </c>
      <c r="K1128" s="27">
        <f t="shared" si="133"/>
        <v>2025.8131656546955</v>
      </c>
    </row>
    <row r="1129" spans="1:11">
      <c r="A1129" s="26">
        <v>1079</v>
      </c>
      <c r="B1129" s="82">
        <f t="shared" si="134"/>
        <v>3.2921237647087764E-4</v>
      </c>
      <c r="C1129" s="58">
        <f t="shared" si="138"/>
        <v>42.657815064299783</v>
      </c>
      <c r="D1129" s="83">
        <f t="shared" si="135"/>
        <v>181.14338079470187</v>
      </c>
      <c r="E1129">
        <f t="shared" si="131"/>
        <v>10.802458544654876</v>
      </c>
      <c r="G1129">
        <v>1079</v>
      </c>
      <c r="H1129" s="13">
        <f t="shared" si="136"/>
        <v>5.1608656820917531E-2</v>
      </c>
      <c r="I1129">
        <f t="shared" si="137"/>
        <v>97.988335619854738</v>
      </c>
      <c r="J1129">
        <f t="shared" si="132"/>
        <v>198.1106725817875</v>
      </c>
      <c r="K1129" s="27">
        <f t="shared" si="133"/>
        <v>2025.242341072372</v>
      </c>
    </row>
    <row r="1130" spans="1:11">
      <c r="A1130" s="26">
        <v>1080</v>
      </c>
      <c r="B1130" s="82">
        <f t="shared" si="134"/>
        <v>3.2921237647087764E-4</v>
      </c>
      <c r="C1130" s="58">
        <f t="shared" si="138"/>
        <v>42.658144276676254</v>
      </c>
      <c r="D1130" s="83">
        <f t="shared" si="135"/>
        <v>181.14401334715927</v>
      </c>
      <c r="E1130">
        <f t="shared" si="131"/>
        <v>10.802533987380343</v>
      </c>
      <c r="G1130">
        <v>1080</v>
      </c>
      <c r="H1130" s="13">
        <f t="shared" si="136"/>
        <v>5.1608656820917531E-2</v>
      </c>
      <c r="I1130">
        <f t="shared" si="137"/>
        <v>98.039944276675655</v>
      </c>
      <c r="J1130">
        <f t="shared" si="132"/>
        <v>198.08270907791533</v>
      </c>
      <c r="K1130" s="27">
        <f t="shared" si="133"/>
        <v>2024.6696236709183</v>
      </c>
    </row>
    <row r="1131" spans="1:11">
      <c r="A1131" s="26">
        <v>1081</v>
      </c>
      <c r="B1131" s="82">
        <f t="shared" si="134"/>
        <v>3.2921237647087764E-4</v>
      </c>
      <c r="C1131" s="58">
        <f t="shared" si="138"/>
        <v>42.658473489052724</v>
      </c>
      <c r="D1131" s="83">
        <f t="shared" si="135"/>
        <v>181.14464587248875</v>
      </c>
      <c r="E1131">
        <f t="shared" si="131"/>
        <v>10.802609427133858</v>
      </c>
      <c r="G1131">
        <v>1081</v>
      </c>
      <c r="H1131" s="13">
        <f t="shared" si="136"/>
        <v>5.1608656820917531E-2</v>
      </c>
      <c r="I1131">
        <f t="shared" si="137"/>
        <v>98.091552933496573</v>
      </c>
      <c r="J1131">
        <f t="shared" si="132"/>
        <v>198.05464894130549</v>
      </c>
      <c r="K1131" s="27">
        <f t="shared" si="133"/>
        <v>2024.0950096355293</v>
      </c>
    </row>
    <row r="1132" spans="1:11">
      <c r="A1132" s="26">
        <v>1082</v>
      </c>
      <c r="B1132" s="82">
        <f t="shared" si="134"/>
        <v>3.2921237647087764E-4</v>
      </c>
      <c r="C1132" s="58">
        <f t="shared" si="138"/>
        <v>42.658802701429195</v>
      </c>
      <c r="D1132" s="83">
        <f t="shared" si="135"/>
        <v>181.14527837069303</v>
      </c>
      <c r="E1132">
        <f t="shared" si="131"/>
        <v>10.802684863915713</v>
      </c>
      <c r="G1132">
        <v>1082</v>
      </c>
      <c r="H1132" s="13">
        <f t="shared" si="136"/>
        <v>5.1608656820917531E-2</v>
      </c>
      <c r="I1132">
        <f t="shared" si="137"/>
        <v>98.14316159031749</v>
      </c>
      <c r="J1132">
        <f t="shared" si="132"/>
        <v>198.02649194362829</v>
      </c>
      <c r="K1132" s="27">
        <f t="shared" si="133"/>
        <v>2023.5184951261574</v>
      </c>
    </row>
    <row r="1133" spans="1:11">
      <c r="A1133" s="26">
        <v>1083</v>
      </c>
      <c r="B1133" s="82">
        <f t="shared" si="134"/>
        <v>3.2921237647087764E-4</v>
      </c>
      <c r="C1133" s="58">
        <f t="shared" si="138"/>
        <v>42.659131913805666</v>
      </c>
      <c r="D1133" s="83">
        <f t="shared" si="135"/>
        <v>181.14591084177491</v>
      </c>
      <c r="E1133">
        <f t="shared" si="131"/>
        <v>10.802760297726204</v>
      </c>
      <c r="G1133">
        <v>1083</v>
      </c>
      <c r="H1133" s="13">
        <f t="shared" si="136"/>
        <v>5.1608656820917531E-2</v>
      </c>
      <c r="I1133">
        <f t="shared" si="137"/>
        <v>98.194770247138408</v>
      </c>
      <c r="J1133">
        <f t="shared" si="132"/>
        <v>197.99823785504236</v>
      </c>
      <c r="K1133" s="27">
        <f t="shared" si="133"/>
        <v>2022.9400762773128</v>
      </c>
    </row>
    <row r="1134" spans="1:11">
      <c r="A1134" s="26">
        <v>1084</v>
      </c>
      <c r="B1134" s="82">
        <f t="shared" si="134"/>
        <v>3.2921237647087764E-4</v>
      </c>
      <c r="C1134" s="58">
        <f t="shared" si="138"/>
        <v>42.659461126182137</v>
      </c>
      <c r="D1134" s="83">
        <f t="shared" si="135"/>
        <v>181.14654328573707</v>
      </c>
      <c r="E1134">
        <f t="shared" si="131"/>
        <v>10.802835728565618</v>
      </c>
      <c r="G1134">
        <v>1084</v>
      </c>
      <c r="H1134" s="13">
        <f t="shared" si="136"/>
        <v>5.1608656820917531E-2</v>
      </c>
      <c r="I1134">
        <f t="shared" si="137"/>
        <v>98.246378903959325</v>
      </c>
      <c r="J1134">
        <f t="shared" si="132"/>
        <v>197.96988644418212</v>
      </c>
      <c r="K1134" s="27">
        <f t="shared" si="133"/>
        <v>2022.3597491978533</v>
      </c>
    </row>
    <row r="1135" spans="1:11">
      <c r="A1135" s="26">
        <v>1085</v>
      </c>
      <c r="B1135" s="82">
        <f t="shared" si="134"/>
        <v>3.2921237647087764E-4</v>
      </c>
      <c r="C1135" s="58">
        <f t="shared" si="138"/>
        <v>42.659790338558608</v>
      </c>
      <c r="D1135" s="83">
        <f t="shared" si="135"/>
        <v>181.14717570258227</v>
      </c>
      <c r="E1135">
        <f t="shared" si="131"/>
        <v>10.802911156434254</v>
      </c>
      <c r="G1135">
        <v>1085</v>
      </c>
      <c r="H1135" s="13">
        <f t="shared" si="136"/>
        <v>5.1608656820917531E-2</v>
      </c>
      <c r="I1135">
        <f t="shared" si="137"/>
        <v>98.297987560780243</v>
      </c>
      <c r="J1135">
        <f t="shared" si="132"/>
        <v>197.94143747814564</v>
      </c>
      <c r="K1135" s="27">
        <f t="shared" si="133"/>
        <v>2021.7775099707762</v>
      </c>
    </row>
    <row r="1136" spans="1:11">
      <c r="A1136" s="26">
        <v>1086</v>
      </c>
      <c r="B1136" s="82">
        <f t="shared" si="134"/>
        <v>3.2921237647087764E-4</v>
      </c>
      <c r="C1136" s="58">
        <f t="shared" si="138"/>
        <v>42.660119550935079</v>
      </c>
      <c r="D1136" s="83">
        <f t="shared" si="135"/>
        <v>181.14780809231331</v>
      </c>
      <c r="E1136">
        <f t="shared" si="131"/>
        <v>10.802986581332403</v>
      </c>
      <c r="G1136">
        <v>1086</v>
      </c>
      <c r="H1136" s="13">
        <f t="shared" si="136"/>
        <v>5.1608656820917531E-2</v>
      </c>
      <c r="I1136">
        <f t="shared" si="137"/>
        <v>98.34959621760116</v>
      </c>
      <c r="J1136">
        <f t="shared" si="132"/>
        <v>197.9128907224819</v>
      </c>
      <c r="K1136" s="27">
        <f t="shared" si="133"/>
        <v>2021.1933546530092</v>
      </c>
    </row>
    <row r="1137" spans="1:11">
      <c r="A1137" s="26">
        <v>1087</v>
      </c>
      <c r="B1137" s="82">
        <f t="shared" si="134"/>
        <v>3.2921237647087764E-4</v>
      </c>
      <c r="C1137" s="58">
        <f t="shared" si="138"/>
        <v>42.66044876331155</v>
      </c>
      <c r="D1137" s="83">
        <f t="shared" si="135"/>
        <v>181.14844045493288</v>
      </c>
      <c r="E1137">
        <f t="shared" si="131"/>
        <v>10.803062003260363</v>
      </c>
      <c r="G1137">
        <v>1087</v>
      </c>
      <c r="H1137" s="13">
        <f t="shared" si="136"/>
        <v>5.1608656820917531E-2</v>
      </c>
      <c r="I1137">
        <f t="shared" si="137"/>
        <v>98.401204874422078</v>
      </c>
      <c r="J1137">
        <f t="shared" si="132"/>
        <v>197.88424594117831</v>
      </c>
      <c r="K1137" s="27">
        <f t="shared" si="133"/>
        <v>2020.6072792751947</v>
      </c>
    </row>
    <row r="1138" spans="1:11">
      <c r="A1138" s="26">
        <v>1088</v>
      </c>
      <c r="B1138" s="82">
        <f t="shared" si="134"/>
        <v>3.2921237647087764E-4</v>
      </c>
      <c r="C1138" s="58">
        <f t="shared" si="138"/>
        <v>42.660777975688021</v>
      </c>
      <c r="D1138" s="83">
        <f t="shared" si="135"/>
        <v>181.14907279044371</v>
      </c>
      <c r="E1138">
        <f t="shared" si="131"/>
        <v>10.803137422218414</v>
      </c>
      <c r="G1138">
        <v>1088</v>
      </c>
      <c r="H1138" s="13">
        <f t="shared" si="136"/>
        <v>5.1608656820917531E-2</v>
      </c>
      <c r="I1138">
        <f t="shared" si="137"/>
        <v>98.452813531242995</v>
      </c>
      <c r="J1138">
        <f t="shared" si="132"/>
        <v>197.85550289664778</v>
      </c>
      <c r="K1138" s="27">
        <f t="shared" si="133"/>
        <v>2020.0192798414755</v>
      </c>
    </row>
    <row r="1139" spans="1:11">
      <c r="A1139" s="26">
        <v>1089</v>
      </c>
      <c r="B1139" s="82">
        <f t="shared" si="134"/>
        <v>3.2921237647087764E-4</v>
      </c>
      <c r="C1139" s="58">
        <f t="shared" si="138"/>
        <v>42.661107188064491</v>
      </c>
      <c r="D1139" s="83">
        <f t="shared" si="135"/>
        <v>181.14970509884859</v>
      </c>
      <c r="E1139">
        <f t="shared" ref="E1139:E1202" si="139">((D1139^2)+(D1139*D1140)+(D1140^2))*B1140/3</f>
        <v>10.80321283820687</v>
      </c>
      <c r="G1139">
        <v>1089</v>
      </c>
      <c r="H1139" s="13">
        <f t="shared" si="136"/>
        <v>5.1608656820917531E-2</v>
      </c>
      <c r="I1139">
        <f t="shared" si="137"/>
        <v>98.504422188063913</v>
      </c>
      <c r="J1139">
        <f t="shared" ref="J1139:J1202" si="140">IF($G$28&lt;$C$14,0,((($C$11^2)-((I1139-$C$13)^2))^0.5)+$C$16)</f>
        <v>197.82666134971586</v>
      </c>
      <c r="K1139" s="27">
        <f t="shared" ref="K1139:K1202" si="141">((J1139^2)+(J1139*J1140)+(J1140^2))*H1140/3</f>
        <v>2019.4293523292745</v>
      </c>
    </row>
    <row r="1140" spans="1:11">
      <c r="A1140" s="26">
        <v>1090</v>
      </c>
      <c r="B1140" s="82">
        <f t="shared" ref="B1140:B1203" si="142">C1140-C1139</f>
        <v>3.2921237647087764E-4</v>
      </c>
      <c r="C1140" s="58">
        <f t="shared" si="138"/>
        <v>42.661436400440962</v>
      </c>
      <c r="D1140" s="83">
        <f t="shared" ref="D1140:D1203" si="143">IF($G$28&lt;$C$14,0,((($C$11^2)-((C1140-$C$13)^2))^0.5)+$C$16)</f>
        <v>181.15033738015023</v>
      </c>
      <c r="E1140">
        <f t="shared" si="139"/>
        <v>10.803288251226006</v>
      </c>
      <c r="G1140">
        <v>1090</v>
      </c>
      <c r="H1140" s="13">
        <f t="shared" ref="H1140:H1203" si="144">I1140-I1139</f>
        <v>5.1608656820917531E-2</v>
      </c>
      <c r="I1140">
        <f t="shared" ref="I1140:I1203" si="145">($G$27-$C$14)/2000+I1139</f>
        <v>98.55603084488483</v>
      </c>
      <c r="J1140">
        <f t="shared" si="140"/>
        <v>197.79772105960757</v>
      </c>
      <c r="K1140" s="27">
        <f t="shared" si="141"/>
        <v>2018.8374926890765</v>
      </c>
    </row>
    <row r="1141" spans="1:11">
      <c r="A1141" s="26">
        <v>1091</v>
      </c>
      <c r="B1141" s="82">
        <f t="shared" si="142"/>
        <v>3.2921237647087764E-4</v>
      </c>
      <c r="C1141" s="58">
        <f t="shared" si="138"/>
        <v>42.661765612817433</v>
      </c>
      <c r="D1141" s="83">
        <f t="shared" si="143"/>
        <v>181.15096963435138</v>
      </c>
      <c r="E1141">
        <f t="shared" si="139"/>
        <v>10.803363661276123</v>
      </c>
      <c r="G1141">
        <v>1091</v>
      </c>
      <c r="H1141" s="13">
        <f t="shared" si="144"/>
        <v>5.1608656820917531E-2</v>
      </c>
      <c r="I1141">
        <f t="shared" si="145"/>
        <v>98.607639501705748</v>
      </c>
      <c r="J1141">
        <f t="shared" si="140"/>
        <v>197.76868178393426</v>
      </c>
      <c r="K1141" s="27">
        <f t="shared" si="141"/>
        <v>2018.243696844205</v>
      </c>
    </row>
    <row r="1142" spans="1:11">
      <c r="A1142" s="26">
        <v>1092</v>
      </c>
      <c r="B1142" s="82">
        <f t="shared" si="142"/>
        <v>3.2921237647087764E-4</v>
      </c>
      <c r="C1142" s="58">
        <f t="shared" si="138"/>
        <v>42.662094825193904</v>
      </c>
      <c r="D1142" s="83">
        <f t="shared" si="143"/>
        <v>181.15160186145479</v>
      </c>
      <c r="E1142">
        <f t="shared" si="139"/>
        <v>10.803439068357518</v>
      </c>
      <c r="G1142">
        <v>1092</v>
      </c>
      <c r="H1142" s="13">
        <f t="shared" si="144"/>
        <v>5.1608656820917531E-2</v>
      </c>
      <c r="I1142">
        <f t="shared" si="145"/>
        <v>98.659248158526665</v>
      </c>
      <c r="J1142">
        <f t="shared" si="140"/>
        <v>197.73954327868009</v>
      </c>
      <c r="K1142" s="27">
        <f t="shared" si="141"/>
        <v>2017.6479606905932</v>
      </c>
    </row>
    <row r="1143" spans="1:11">
      <c r="A1143" s="26">
        <v>1093</v>
      </c>
      <c r="B1143" s="82">
        <f t="shared" si="142"/>
        <v>3.2921237647087764E-4</v>
      </c>
      <c r="C1143" s="58">
        <f t="shared" si="138"/>
        <v>42.662424037570375</v>
      </c>
      <c r="D1143" s="83">
        <f t="shared" si="143"/>
        <v>181.15223406146319</v>
      </c>
      <c r="E1143">
        <f t="shared" si="139"/>
        <v>10.803514472470473</v>
      </c>
      <c r="G1143">
        <v>1093</v>
      </c>
      <c r="H1143" s="13">
        <f t="shared" si="144"/>
        <v>5.1608656820917531E-2</v>
      </c>
      <c r="I1143">
        <f t="shared" si="145"/>
        <v>98.710856815347583</v>
      </c>
      <c r="J1143">
        <f t="shared" si="140"/>
        <v>197.71030529818859</v>
      </c>
      <c r="K1143" s="27">
        <f t="shared" si="141"/>
        <v>2017.0502800965585</v>
      </c>
    </row>
    <row r="1144" spans="1:11">
      <c r="A1144" s="26">
        <v>1094</v>
      </c>
      <c r="B1144" s="82">
        <f t="shared" si="142"/>
        <v>3.2921237647087764E-4</v>
      </c>
      <c r="C1144" s="58">
        <f t="shared" si="138"/>
        <v>42.662753249946846</v>
      </c>
      <c r="D1144" s="83">
        <f t="shared" si="143"/>
        <v>181.15286623437933</v>
      </c>
      <c r="E1144">
        <f t="shared" si="139"/>
        <v>10.803589873615289</v>
      </c>
      <c r="G1144">
        <v>1094</v>
      </c>
      <c r="H1144" s="13">
        <f t="shared" si="144"/>
        <v>5.1608656820917531E-2</v>
      </c>
      <c r="I1144">
        <f t="shared" si="145"/>
        <v>98.7624654721685</v>
      </c>
      <c r="J1144">
        <f t="shared" si="140"/>
        <v>197.6809675951489</v>
      </c>
      <c r="K1144" s="27">
        <f t="shared" si="141"/>
        <v>2016.4506509025714</v>
      </c>
    </row>
    <row r="1145" spans="1:11">
      <c r="A1145" s="26">
        <v>1095</v>
      </c>
      <c r="B1145" s="82">
        <f t="shared" si="142"/>
        <v>3.2921237647087764E-4</v>
      </c>
      <c r="C1145" s="58">
        <f t="shared" si="138"/>
        <v>42.663082462323317</v>
      </c>
      <c r="D1145" s="83">
        <f t="shared" si="143"/>
        <v>181.15349838020595</v>
      </c>
      <c r="E1145">
        <f t="shared" si="139"/>
        <v>10.803665271792262</v>
      </c>
      <c r="G1145">
        <v>1095</v>
      </c>
      <c r="H1145" s="13">
        <f t="shared" si="144"/>
        <v>5.1608656820917531E-2</v>
      </c>
      <c r="I1145">
        <f t="shared" si="145"/>
        <v>98.814074128989418</v>
      </c>
      <c r="J1145">
        <f t="shared" si="140"/>
        <v>197.65152992058208</v>
      </c>
      <c r="K1145" s="27">
        <f t="shared" si="141"/>
        <v>2015.8490689210239</v>
      </c>
    </row>
    <row r="1146" spans="1:11">
      <c r="A1146" s="26">
        <v>1096</v>
      </c>
      <c r="B1146" s="82">
        <f t="shared" si="142"/>
        <v>3.2921237647087764E-4</v>
      </c>
      <c r="C1146" s="58">
        <f t="shared" si="138"/>
        <v>42.663411674699788</v>
      </c>
      <c r="D1146" s="83">
        <f t="shared" si="143"/>
        <v>181.15413049894579</v>
      </c>
      <c r="E1146">
        <f t="shared" si="139"/>
        <v>10.803740667001675</v>
      </c>
      <c r="G1146">
        <v>1096</v>
      </c>
      <c r="H1146" s="13">
        <f t="shared" si="144"/>
        <v>5.1608656820917531E-2</v>
      </c>
      <c r="I1146">
        <f t="shared" si="145"/>
        <v>98.865682785810336</v>
      </c>
      <c r="J1146">
        <f t="shared" si="140"/>
        <v>197.62199202382686</v>
      </c>
      <c r="K1146" s="27">
        <f t="shared" si="141"/>
        <v>2015.2455299359872</v>
      </c>
    </row>
    <row r="1147" spans="1:11">
      <c r="A1147" s="26">
        <v>1097</v>
      </c>
      <c r="B1147" s="82">
        <f t="shared" si="142"/>
        <v>3.2921237647087764E-4</v>
      </c>
      <c r="C1147" s="58">
        <f t="shared" si="138"/>
        <v>42.663740887076258</v>
      </c>
      <c r="D1147" s="83">
        <f t="shared" si="143"/>
        <v>181.15476259060154</v>
      </c>
      <c r="E1147">
        <f t="shared" si="139"/>
        <v>10.803816059243827</v>
      </c>
      <c r="G1147">
        <v>1097</v>
      </c>
      <c r="H1147" s="13">
        <f t="shared" si="144"/>
        <v>5.1608656820917531E-2</v>
      </c>
      <c r="I1147">
        <f t="shared" si="145"/>
        <v>98.917291442631253</v>
      </c>
      <c r="J1147">
        <f t="shared" si="140"/>
        <v>197.59235365252562</v>
      </c>
      <c r="K1147" s="27">
        <f t="shared" si="141"/>
        <v>2014.6400297029797</v>
      </c>
    </row>
    <row r="1148" spans="1:11">
      <c r="A1148" s="26">
        <v>1098</v>
      </c>
      <c r="B1148" s="82">
        <f t="shared" si="142"/>
        <v>3.2921237647087764E-4</v>
      </c>
      <c r="C1148" s="58">
        <f t="shared" si="138"/>
        <v>42.664070099452729</v>
      </c>
      <c r="D1148" s="83">
        <f t="shared" si="143"/>
        <v>181.15539465517602</v>
      </c>
      <c r="E1148">
        <f t="shared" si="139"/>
        <v>10.803891448519011</v>
      </c>
      <c r="G1148">
        <v>1098</v>
      </c>
      <c r="H1148" s="13">
        <f t="shared" si="144"/>
        <v>5.1608656820917531E-2</v>
      </c>
      <c r="I1148">
        <f t="shared" si="145"/>
        <v>98.968900099452171</v>
      </c>
      <c r="J1148">
        <f t="shared" si="140"/>
        <v>197.56261455261009</v>
      </c>
      <c r="K1148" s="27">
        <f t="shared" si="141"/>
        <v>2014.0325639487235</v>
      </c>
    </row>
    <row r="1149" spans="1:11">
      <c r="A1149" s="26">
        <v>1099</v>
      </c>
      <c r="B1149" s="82">
        <f t="shared" si="142"/>
        <v>3.2921237647087764E-4</v>
      </c>
      <c r="C1149" s="58">
        <f t="shared" si="138"/>
        <v>42.6643993118292</v>
      </c>
      <c r="D1149" s="83">
        <f t="shared" si="143"/>
        <v>181.1560266926719</v>
      </c>
      <c r="E1149">
        <f t="shared" si="139"/>
        <v>10.803966834827515</v>
      </c>
      <c r="G1149">
        <v>1099</v>
      </c>
      <c r="H1149" s="13">
        <f t="shared" si="144"/>
        <v>5.1608656820917531E-2</v>
      </c>
      <c r="I1149">
        <f t="shared" si="145"/>
        <v>99.020508756273088</v>
      </c>
      <c r="J1149">
        <f t="shared" si="140"/>
        <v>197.53277446828676</v>
      </c>
      <c r="K1149" s="27">
        <f t="shared" si="141"/>
        <v>2013.4231283708957</v>
      </c>
    </row>
    <row r="1150" spans="1:11">
      <c r="A1150" s="26">
        <v>1100</v>
      </c>
      <c r="B1150" s="82">
        <f t="shared" si="142"/>
        <v>3.2921237647087764E-4</v>
      </c>
      <c r="C1150" s="58">
        <f t="shared" si="138"/>
        <v>42.664728524205671</v>
      </c>
      <c r="D1150" s="83">
        <f t="shared" si="143"/>
        <v>181.15665870309198</v>
      </c>
      <c r="E1150">
        <f t="shared" si="139"/>
        <v>10.804042218169636</v>
      </c>
      <c r="G1150">
        <v>1100</v>
      </c>
      <c r="H1150" s="13">
        <f t="shared" si="144"/>
        <v>5.1608656820917531E-2</v>
      </c>
      <c r="I1150">
        <f t="shared" si="145"/>
        <v>99.072117413094006</v>
      </c>
      <c r="J1150">
        <f t="shared" si="140"/>
        <v>197.5028331420223</v>
      </c>
      <c r="K1150" s="27">
        <f t="shared" si="141"/>
        <v>2012.8117186378893</v>
      </c>
    </row>
    <row r="1151" spans="1:11">
      <c r="A1151" s="26">
        <v>1101</v>
      </c>
      <c r="B1151" s="82">
        <f t="shared" si="142"/>
        <v>3.2921237647087764E-4</v>
      </c>
      <c r="C1151" s="58">
        <f t="shared" si="138"/>
        <v>42.665057736582142</v>
      </c>
      <c r="D1151" s="83">
        <f t="shared" si="143"/>
        <v>181.15729068643893</v>
      </c>
      <c r="E1151">
        <f t="shared" si="139"/>
        <v>10.804117598545666</v>
      </c>
      <c r="G1151">
        <v>1101</v>
      </c>
      <c r="H1151" s="13">
        <f t="shared" si="144"/>
        <v>5.1608656820917531E-2</v>
      </c>
      <c r="I1151">
        <f t="shared" si="145"/>
        <v>99.123726069914923</v>
      </c>
      <c r="J1151">
        <f t="shared" si="140"/>
        <v>197.47279031452871</v>
      </c>
      <c r="K1151" s="27">
        <f t="shared" si="141"/>
        <v>2012.1983303885556</v>
      </c>
    </row>
    <row r="1152" spans="1:11">
      <c r="A1152" s="26">
        <v>1102</v>
      </c>
      <c r="B1152" s="82">
        <f t="shared" si="142"/>
        <v>3.2921237647087764E-4</v>
      </c>
      <c r="C1152" s="58">
        <f t="shared" si="138"/>
        <v>42.665386948958613</v>
      </c>
      <c r="D1152" s="83">
        <f t="shared" si="143"/>
        <v>181.15792264271553</v>
      </c>
      <c r="E1152">
        <f t="shared" si="139"/>
        <v>10.8041929759559</v>
      </c>
      <c r="G1152">
        <v>1102</v>
      </c>
      <c r="H1152" s="13">
        <f t="shared" si="144"/>
        <v>5.1608656820917531E-2</v>
      </c>
      <c r="I1152">
        <f t="shared" si="145"/>
        <v>99.175334726735841</v>
      </c>
      <c r="J1152">
        <f t="shared" si="140"/>
        <v>197.4426457247483</v>
      </c>
      <c r="K1152" s="27">
        <f t="shared" si="141"/>
        <v>2011.5829592319569</v>
      </c>
    </row>
    <row r="1153" spans="1:11">
      <c r="A1153" s="26">
        <v>1103</v>
      </c>
      <c r="B1153" s="82">
        <f t="shared" si="142"/>
        <v>3.2921237647087764E-4</v>
      </c>
      <c r="C1153" s="58">
        <f t="shared" si="138"/>
        <v>42.665716161335084</v>
      </c>
      <c r="D1153" s="83">
        <f t="shared" si="143"/>
        <v>181.15855457192453</v>
      </c>
      <c r="E1153">
        <f t="shared" si="139"/>
        <v>10.804268350400624</v>
      </c>
      <c r="G1153">
        <v>1103</v>
      </c>
      <c r="H1153" s="13">
        <f t="shared" si="144"/>
        <v>5.1608656820917531E-2</v>
      </c>
      <c r="I1153">
        <f t="shared" si="145"/>
        <v>99.226943383556758</v>
      </c>
      <c r="J1153">
        <f t="shared" si="140"/>
        <v>197.41239910983859</v>
      </c>
      <c r="K1153" s="27">
        <f t="shared" si="141"/>
        <v>2010.9656007471076</v>
      </c>
    </row>
    <row r="1154" spans="1:11">
      <c r="A1154" s="26">
        <v>1104</v>
      </c>
      <c r="B1154" s="82">
        <f t="shared" si="142"/>
        <v>3.2921237647087764E-4</v>
      </c>
      <c r="C1154" s="58">
        <f t="shared" si="138"/>
        <v>42.666045373711555</v>
      </c>
      <c r="D1154" s="83">
        <f t="shared" si="143"/>
        <v>181.1591864740686</v>
      </c>
      <c r="E1154">
        <f t="shared" si="139"/>
        <v>10.804343721880135</v>
      </c>
      <c r="G1154">
        <v>1104</v>
      </c>
      <c r="H1154" s="13">
        <f t="shared" si="144"/>
        <v>5.1608656820917531E-2</v>
      </c>
      <c r="I1154">
        <f t="shared" si="145"/>
        <v>99.278552040377676</v>
      </c>
      <c r="J1154">
        <f t="shared" si="140"/>
        <v>197.38205020515682</v>
      </c>
      <c r="K1154" s="27">
        <f t="shared" si="141"/>
        <v>2010.3462504827155</v>
      </c>
    </row>
    <row r="1155" spans="1:11">
      <c r="A1155" s="26">
        <v>1105</v>
      </c>
      <c r="B1155" s="82">
        <f t="shared" si="142"/>
        <v>3.2921237647087764E-4</v>
      </c>
      <c r="C1155" s="58">
        <f t="shared" si="138"/>
        <v>42.666374586088025</v>
      </c>
      <c r="D1155" s="83">
        <f t="shared" si="143"/>
        <v>181.15981834915053</v>
      </c>
      <c r="E1155">
        <f t="shared" si="139"/>
        <v>10.804419090394726</v>
      </c>
      <c r="G1155">
        <v>1105</v>
      </c>
      <c r="H1155" s="13">
        <f t="shared" si="144"/>
        <v>5.1608656820917531E-2</v>
      </c>
      <c r="I1155">
        <f t="shared" si="145"/>
        <v>99.330160697198593</v>
      </c>
      <c r="J1155">
        <f t="shared" si="140"/>
        <v>197.3515987442446</v>
      </c>
      <c r="K1155" s="27">
        <f t="shared" si="141"/>
        <v>2009.7249039569217</v>
      </c>
    </row>
    <row r="1156" spans="1:11">
      <c r="A1156" s="26">
        <v>1106</v>
      </c>
      <c r="B1156" s="82">
        <f t="shared" si="142"/>
        <v>3.2921237647087764E-4</v>
      </c>
      <c r="C1156" s="58">
        <f t="shared" si="138"/>
        <v>42.666703798464496</v>
      </c>
      <c r="D1156" s="83">
        <f t="shared" si="143"/>
        <v>181.16045019717305</v>
      </c>
      <c r="E1156">
        <f t="shared" si="139"/>
        <v>10.80449445594469</v>
      </c>
      <c r="G1156">
        <v>1106</v>
      </c>
      <c r="H1156" s="13">
        <f t="shared" si="144"/>
        <v>5.1608656820917531E-2</v>
      </c>
      <c r="I1156">
        <f t="shared" si="145"/>
        <v>99.381769354019511</v>
      </c>
      <c r="J1156">
        <f t="shared" si="140"/>
        <v>197.32104445881211</v>
      </c>
      <c r="K1156" s="27">
        <f t="shared" si="141"/>
        <v>2009.1015566570359</v>
      </c>
    </row>
    <row r="1157" spans="1:11">
      <c r="A1157" s="26">
        <v>1107</v>
      </c>
      <c r="B1157" s="82">
        <f t="shared" si="142"/>
        <v>3.2921237647087764E-4</v>
      </c>
      <c r="C1157" s="58">
        <f t="shared" si="138"/>
        <v>42.667033010840967</v>
      </c>
      <c r="D1157" s="83">
        <f t="shared" si="143"/>
        <v>181.16108201813887</v>
      </c>
      <c r="E1157">
        <f t="shared" si="139"/>
        <v>10.804569818530313</v>
      </c>
      <c r="G1157">
        <v>1107</v>
      </c>
      <c r="H1157" s="13">
        <f t="shared" si="144"/>
        <v>5.1608656820917531E-2</v>
      </c>
      <c r="I1157">
        <f t="shared" si="145"/>
        <v>99.433378010840428</v>
      </c>
      <c r="J1157">
        <f t="shared" si="140"/>
        <v>197.2903870787222</v>
      </c>
      <c r="K1157" s="27">
        <f t="shared" si="141"/>
        <v>2008.4762040392661</v>
      </c>
    </row>
    <row r="1158" spans="1:11">
      <c r="A1158" s="26">
        <v>1108</v>
      </c>
      <c r="B1158" s="82">
        <f t="shared" si="142"/>
        <v>3.2921237647087764E-4</v>
      </c>
      <c r="C1158" s="58">
        <f t="shared" si="138"/>
        <v>42.667362223217438</v>
      </c>
      <c r="D1158" s="83">
        <f t="shared" si="143"/>
        <v>181.16171381205075</v>
      </c>
      <c r="E1158">
        <f t="shared" si="139"/>
        <v>10.804645178151894</v>
      </c>
      <c r="G1158">
        <v>1108</v>
      </c>
      <c r="H1158" s="13">
        <f t="shared" si="144"/>
        <v>5.1608656820917531E-2</v>
      </c>
      <c r="I1158">
        <f t="shared" si="145"/>
        <v>99.484986667661346</v>
      </c>
      <c r="J1158">
        <f t="shared" si="140"/>
        <v>197.25962633197437</v>
      </c>
      <c r="K1158" s="27">
        <f t="shared" si="141"/>
        <v>2007.8488415284501</v>
      </c>
    </row>
    <row r="1159" spans="1:11">
      <c r="A1159" s="26">
        <v>1109</v>
      </c>
      <c r="B1159" s="82">
        <f t="shared" si="142"/>
        <v>3.2921237647087764E-4</v>
      </c>
      <c r="C1159" s="58">
        <f t="shared" si="138"/>
        <v>42.667691435593909</v>
      </c>
      <c r="D1159" s="83">
        <f t="shared" si="143"/>
        <v>181.16234557891138</v>
      </c>
      <c r="E1159">
        <f t="shared" si="139"/>
        <v>10.804720534809723</v>
      </c>
      <c r="G1159">
        <v>1109</v>
      </c>
      <c r="H1159" s="13">
        <f t="shared" si="144"/>
        <v>5.1608656820917531E-2</v>
      </c>
      <c r="I1159">
        <f t="shared" si="145"/>
        <v>99.536595324482263</v>
      </c>
      <c r="J1159">
        <f t="shared" si="140"/>
        <v>197.22876194468847</v>
      </c>
      <c r="K1159" s="27">
        <f t="shared" si="141"/>
        <v>2007.2194645177797</v>
      </c>
    </row>
    <row r="1160" spans="1:11">
      <c r="A1160" s="26">
        <v>1110</v>
      </c>
      <c r="B1160" s="82">
        <f t="shared" si="142"/>
        <v>3.2921237647087764E-4</v>
      </c>
      <c r="C1160" s="58">
        <f t="shared" si="138"/>
        <v>42.66802064797038</v>
      </c>
      <c r="D1160" s="83">
        <f t="shared" si="143"/>
        <v>181.16297731872356</v>
      </c>
      <c r="E1160">
        <f t="shared" si="139"/>
        <v>10.804795888504088</v>
      </c>
      <c r="G1160">
        <v>1110</v>
      </c>
      <c r="H1160" s="13">
        <f t="shared" si="144"/>
        <v>5.1608656820917531E-2</v>
      </c>
      <c r="I1160">
        <f t="shared" si="145"/>
        <v>99.588203981303181</v>
      </c>
      <c r="J1160">
        <f t="shared" si="140"/>
        <v>197.19779364108823</v>
      </c>
      <c r="K1160" s="27">
        <f t="shared" si="141"/>
        <v>2006.5880683685243</v>
      </c>
    </row>
    <row r="1161" spans="1:11">
      <c r="A1161" s="26">
        <v>1111</v>
      </c>
      <c r="B1161" s="82">
        <f t="shared" si="142"/>
        <v>3.2921237647087764E-4</v>
      </c>
      <c r="C1161" s="58">
        <f t="shared" si="138"/>
        <v>42.668349860346851</v>
      </c>
      <c r="D1161" s="83">
        <f t="shared" si="143"/>
        <v>181.16360903148995</v>
      </c>
      <c r="E1161">
        <f t="shared" si="139"/>
        <v>10.80487123923529</v>
      </c>
      <c r="G1161">
        <v>1111</v>
      </c>
      <c r="H1161" s="13">
        <f t="shared" si="144"/>
        <v>5.1608656820917531E-2</v>
      </c>
      <c r="I1161">
        <f t="shared" si="145"/>
        <v>99.639812638124098</v>
      </c>
      <c r="J1161">
        <f t="shared" si="140"/>
        <v>197.16672114348466</v>
      </c>
      <c r="K1161" s="27">
        <f t="shared" si="141"/>
        <v>2005.9546484097489</v>
      </c>
    </row>
    <row r="1162" spans="1:11">
      <c r="A1162" s="26">
        <v>1112</v>
      </c>
      <c r="B1162" s="82">
        <f t="shared" si="142"/>
        <v>3.2921237647087764E-4</v>
      </c>
      <c r="C1162" s="58">
        <f t="shared" si="138"/>
        <v>42.668679072723322</v>
      </c>
      <c r="D1162" s="83">
        <f t="shared" si="143"/>
        <v>181.16424071721335</v>
      </c>
      <c r="E1162">
        <f t="shared" si="139"/>
        <v>10.804946587003613</v>
      </c>
      <c r="G1162">
        <v>1112</v>
      </c>
      <c r="H1162" s="13">
        <f t="shared" si="144"/>
        <v>5.1608656820917531E-2</v>
      </c>
      <c r="I1162">
        <f t="shared" si="145"/>
        <v>99.691421294945016</v>
      </c>
      <c r="J1162">
        <f t="shared" si="140"/>
        <v>197.13554417225916</v>
      </c>
      <c r="K1162" s="27">
        <f t="shared" si="141"/>
        <v>2005.3191999380317</v>
      </c>
    </row>
    <row r="1163" spans="1:11">
      <c r="A1163" s="26">
        <v>1113</v>
      </c>
      <c r="B1163" s="82">
        <f t="shared" si="142"/>
        <v>3.2921237647087764E-4</v>
      </c>
      <c r="C1163" s="58">
        <f t="shared" si="138"/>
        <v>42.669008285099792</v>
      </c>
      <c r="D1163" s="83">
        <f t="shared" si="143"/>
        <v>181.16487237589644</v>
      </c>
      <c r="E1163">
        <f t="shared" si="139"/>
        <v>10.805021931809351</v>
      </c>
      <c r="G1163">
        <v>1113</v>
      </c>
      <c r="H1163" s="13">
        <f t="shared" si="144"/>
        <v>5.1608656820917531E-2</v>
      </c>
      <c r="I1163">
        <f t="shared" si="145"/>
        <v>99.743029951765934</v>
      </c>
      <c r="J1163">
        <f t="shared" si="140"/>
        <v>197.10426244584653</v>
      </c>
      <c r="K1163" s="27">
        <f t="shared" si="141"/>
        <v>2004.6817182171765</v>
      </c>
    </row>
    <row r="1164" spans="1:11">
      <c r="A1164" s="26">
        <v>1114</v>
      </c>
      <c r="B1164" s="82">
        <f t="shared" si="142"/>
        <v>3.2921237647087764E-4</v>
      </c>
      <c r="C1164" s="58">
        <f t="shared" si="138"/>
        <v>42.669337497476263</v>
      </c>
      <c r="D1164" s="83">
        <f t="shared" si="143"/>
        <v>181.16550400754198</v>
      </c>
      <c r="E1164">
        <f t="shared" si="139"/>
        <v>10.805097273652803</v>
      </c>
      <c r="G1164">
        <v>1114</v>
      </c>
      <c r="H1164" s="13">
        <f t="shared" si="144"/>
        <v>5.1608656820917531E-2</v>
      </c>
      <c r="I1164">
        <f t="shared" si="145"/>
        <v>99.794638608586851</v>
      </c>
      <c r="J1164">
        <f t="shared" si="140"/>
        <v>197.07287568071769</v>
      </c>
      <c r="K1164" s="27">
        <f t="shared" si="141"/>
        <v>2004.0421984779198</v>
      </c>
    </row>
    <row r="1165" spans="1:11">
      <c r="A1165" s="26">
        <v>1115</v>
      </c>
      <c r="B1165" s="82">
        <f t="shared" si="142"/>
        <v>3.2921237647087764E-4</v>
      </c>
      <c r="C1165" s="58">
        <f t="shared" si="138"/>
        <v>42.669666709852734</v>
      </c>
      <c r="D1165" s="83">
        <f t="shared" si="143"/>
        <v>181.16613561215269</v>
      </c>
      <c r="E1165">
        <f t="shared" si="139"/>
        <v>10.80517261253425</v>
      </c>
      <c r="G1165">
        <v>1115</v>
      </c>
      <c r="H1165" s="13">
        <f t="shared" si="144"/>
        <v>5.1608656820917531E-2</v>
      </c>
      <c r="I1165">
        <f t="shared" si="145"/>
        <v>99.846247265407769</v>
      </c>
      <c r="J1165">
        <f t="shared" si="140"/>
        <v>197.04138359136218</v>
      </c>
      <c r="K1165" s="27">
        <f t="shared" si="141"/>
        <v>2003.4006359176385</v>
      </c>
    </row>
    <row r="1166" spans="1:11">
      <c r="A1166" s="26">
        <v>1116</v>
      </c>
      <c r="B1166" s="82">
        <f t="shared" si="142"/>
        <v>3.2921237647087764E-4</v>
      </c>
      <c r="C1166" s="58">
        <f t="shared" si="138"/>
        <v>42.669995922229205</v>
      </c>
      <c r="D1166" s="83">
        <f t="shared" si="143"/>
        <v>181.16676718973127</v>
      </c>
      <c r="E1166">
        <f t="shared" si="139"/>
        <v>10.805247948453991</v>
      </c>
      <c r="G1166">
        <v>1116</v>
      </c>
      <c r="H1166" s="13">
        <f t="shared" si="144"/>
        <v>5.1608656820917531E-2</v>
      </c>
      <c r="I1166">
        <f t="shared" si="145"/>
        <v>99.897855922228686</v>
      </c>
      <c r="J1166">
        <f t="shared" si="140"/>
        <v>197.00978589027054</v>
      </c>
      <c r="K1166" s="27">
        <f t="shared" si="141"/>
        <v>2002.7570257000516</v>
      </c>
    </row>
    <row r="1167" spans="1:11">
      <c r="A1167" s="26">
        <v>1117</v>
      </c>
      <c r="B1167" s="82">
        <f t="shared" si="142"/>
        <v>3.2921237647087764E-4</v>
      </c>
      <c r="C1167" s="58">
        <f t="shared" si="138"/>
        <v>42.670325134605676</v>
      </c>
      <c r="D1167" s="83">
        <f t="shared" si="143"/>
        <v>181.1673987402805</v>
      </c>
      <c r="E1167">
        <f t="shared" si="139"/>
        <v>10.805323281412313</v>
      </c>
      <c r="G1167">
        <v>1117</v>
      </c>
      <c r="H1167" s="13">
        <f t="shared" si="144"/>
        <v>5.1608656820917531E-2</v>
      </c>
      <c r="I1167">
        <f t="shared" si="145"/>
        <v>99.949464579049604</v>
      </c>
      <c r="J1167">
        <f t="shared" si="140"/>
        <v>196.97808228791652</v>
      </c>
      <c r="K1167" s="27">
        <f t="shared" si="141"/>
        <v>2002.1113629549193</v>
      </c>
    </row>
    <row r="1168" spans="1:11">
      <c r="A1168" s="26">
        <v>1118</v>
      </c>
      <c r="B1168" s="82">
        <f t="shared" si="142"/>
        <v>3.2921237647087764E-4</v>
      </c>
      <c r="C1168" s="58">
        <f t="shared" ref="C1168:C1231" si="146">($C$37-$C$36)/2000+C1167</f>
        <v>42.670654346982147</v>
      </c>
      <c r="D1168" s="83">
        <f t="shared" si="143"/>
        <v>181.16803026380308</v>
      </c>
      <c r="E1168">
        <f t="shared" si="139"/>
        <v>10.805398611409515</v>
      </c>
      <c r="G1168">
        <v>1118</v>
      </c>
      <c r="H1168" s="13">
        <f t="shared" si="144"/>
        <v>5.1608656820917531E-2</v>
      </c>
      <c r="I1168">
        <f t="shared" si="145"/>
        <v>100.00107323587052</v>
      </c>
      <c r="J1168">
        <f t="shared" si="140"/>
        <v>196.94627249273884</v>
      </c>
      <c r="K1168" s="27">
        <f t="shared" si="141"/>
        <v>2001.4636427777361</v>
      </c>
    </row>
    <row r="1169" spans="1:11">
      <c r="A1169" s="26">
        <v>1119</v>
      </c>
      <c r="B1169" s="82">
        <f t="shared" si="142"/>
        <v>3.2921237647087764E-4</v>
      </c>
      <c r="C1169" s="58">
        <f t="shared" si="146"/>
        <v>42.670983559358618</v>
      </c>
      <c r="D1169" s="83">
        <f t="shared" si="143"/>
        <v>181.16866176030175</v>
      </c>
      <c r="E1169">
        <f t="shared" si="139"/>
        <v>10.80547393844588</v>
      </c>
      <c r="G1169">
        <v>1119</v>
      </c>
      <c r="H1169" s="13">
        <f t="shared" si="144"/>
        <v>5.1608656820917531E-2</v>
      </c>
      <c r="I1169">
        <f t="shared" si="145"/>
        <v>100.05268189269144</v>
      </c>
      <c r="J1169">
        <f t="shared" si="140"/>
        <v>196.91435621112302</v>
      </c>
      <c r="K1169" s="27">
        <f t="shared" si="141"/>
        <v>2000.813860229425</v>
      </c>
    </row>
    <row r="1170" spans="1:11">
      <c r="A1170" s="26">
        <v>1120</v>
      </c>
      <c r="B1170" s="82">
        <f t="shared" si="142"/>
        <v>3.2921237647087764E-4</v>
      </c>
      <c r="C1170" s="58">
        <f t="shared" si="146"/>
        <v>42.671312771735089</v>
      </c>
      <c r="D1170" s="83">
        <f t="shared" si="143"/>
        <v>181.16929322977921</v>
      </c>
      <c r="E1170">
        <f t="shared" si="139"/>
        <v>10.805549262521707</v>
      </c>
      <c r="G1170">
        <v>1120</v>
      </c>
      <c r="H1170" s="13">
        <f t="shared" si="144"/>
        <v>5.1608656820917531E-2</v>
      </c>
      <c r="I1170">
        <f t="shared" si="145"/>
        <v>100.10429054951236</v>
      </c>
      <c r="J1170">
        <f t="shared" si="140"/>
        <v>196.88233314738272</v>
      </c>
      <c r="K1170" s="27">
        <f t="shared" si="141"/>
        <v>2000.1620103360228</v>
      </c>
    </row>
    <row r="1171" spans="1:11">
      <c r="A1171" s="26">
        <v>1121</v>
      </c>
      <c r="B1171" s="82">
        <f t="shared" si="142"/>
        <v>3.2921237647087764E-4</v>
      </c>
      <c r="C1171" s="58">
        <f t="shared" si="146"/>
        <v>42.67164198411156</v>
      </c>
      <c r="D1171" s="83">
        <f t="shared" si="143"/>
        <v>181.16992467223824</v>
      </c>
      <c r="E1171">
        <f t="shared" si="139"/>
        <v>10.805624583637282</v>
      </c>
      <c r="G1171">
        <v>1121</v>
      </c>
      <c r="H1171" s="13">
        <f t="shared" si="144"/>
        <v>5.1608656820917531E-2</v>
      </c>
      <c r="I1171">
        <f t="shared" si="145"/>
        <v>100.15589920633327</v>
      </c>
      <c r="J1171">
        <f t="shared" si="140"/>
        <v>196.85020300374111</v>
      </c>
      <c r="K1171" s="27">
        <f t="shared" si="141"/>
        <v>1999.5080880883636</v>
      </c>
    </row>
    <row r="1172" spans="1:11">
      <c r="A1172" s="26">
        <v>1122</v>
      </c>
      <c r="B1172" s="82">
        <f t="shared" si="142"/>
        <v>3.2921237647087764E-4</v>
      </c>
      <c r="C1172" s="58">
        <f t="shared" si="146"/>
        <v>42.67197119648803</v>
      </c>
      <c r="D1172" s="83">
        <f t="shared" si="143"/>
        <v>181.17055608768152</v>
      </c>
      <c r="E1172">
        <f t="shared" si="139"/>
        <v>10.805699901792899</v>
      </c>
      <c r="G1172">
        <v>1122</v>
      </c>
      <c r="H1172" s="13">
        <f t="shared" si="144"/>
        <v>5.1608656820917531E-2</v>
      </c>
      <c r="I1172">
        <f t="shared" si="145"/>
        <v>100.20750786315419</v>
      </c>
      <c r="J1172">
        <f t="shared" si="140"/>
        <v>196.8179654803119</v>
      </c>
      <c r="K1172" s="27">
        <f t="shared" si="141"/>
        <v>1998.8520884417624</v>
      </c>
    </row>
    <row r="1173" spans="1:11">
      <c r="A1173" s="26">
        <v>1123</v>
      </c>
      <c r="B1173" s="82">
        <f t="shared" si="142"/>
        <v>3.2921237647087764E-4</v>
      </c>
      <c r="C1173" s="58">
        <f t="shared" si="146"/>
        <v>42.672300408864501</v>
      </c>
      <c r="D1173" s="83">
        <f t="shared" si="143"/>
        <v>181.17118747611178</v>
      </c>
      <c r="E1173">
        <f t="shared" si="139"/>
        <v>10.805775216988849</v>
      </c>
      <c r="G1173">
        <v>1123</v>
      </c>
      <c r="H1173" s="13">
        <f t="shared" si="144"/>
        <v>5.1608656820917531E-2</v>
      </c>
      <c r="I1173">
        <f t="shared" si="145"/>
        <v>100.25911651997511</v>
      </c>
      <c r="J1173">
        <f t="shared" si="140"/>
        <v>196.78562027507999</v>
      </c>
      <c r="K1173" s="27">
        <f t="shared" si="141"/>
        <v>1998.1940063156862</v>
      </c>
    </row>
    <row r="1174" spans="1:11">
      <c r="A1174" s="26">
        <v>1124</v>
      </c>
      <c r="B1174" s="82">
        <f t="shared" si="142"/>
        <v>3.2921237647087764E-4</v>
      </c>
      <c r="C1174" s="58">
        <f t="shared" si="146"/>
        <v>42.672629621240972</v>
      </c>
      <c r="D1174" s="83">
        <f t="shared" si="143"/>
        <v>181.17181883753176</v>
      </c>
      <c r="E1174">
        <f t="shared" si="139"/>
        <v>10.805850529225419</v>
      </c>
      <c r="G1174">
        <v>1124</v>
      </c>
      <c r="H1174" s="13">
        <f t="shared" si="144"/>
        <v>5.1608656820917531E-2</v>
      </c>
      <c r="I1174">
        <f t="shared" si="145"/>
        <v>100.31072517679603</v>
      </c>
      <c r="J1174">
        <f t="shared" si="140"/>
        <v>196.75316708388215</v>
      </c>
      <c r="K1174" s="27">
        <f t="shared" si="141"/>
        <v>1997.5338365934294</v>
      </c>
    </row>
    <row r="1175" spans="1:11">
      <c r="A1175" s="26">
        <v>1125</v>
      </c>
      <c r="B1175" s="82">
        <f t="shared" si="142"/>
        <v>3.2921237647087764E-4</v>
      </c>
      <c r="C1175" s="58">
        <f t="shared" si="146"/>
        <v>42.672958833617443</v>
      </c>
      <c r="D1175" s="83">
        <f t="shared" si="143"/>
        <v>181.17245017194418</v>
      </c>
      <c r="E1175">
        <f t="shared" si="139"/>
        <v>10.805925838502914</v>
      </c>
      <c r="G1175">
        <v>1125</v>
      </c>
      <c r="H1175" s="13">
        <f t="shared" si="144"/>
        <v>5.1608656820917531E-2</v>
      </c>
      <c r="I1175">
        <f t="shared" si="145"/>
        <v>100.36233383361694</v>
      </c>
      <c r="J1175">
        <f t="shared" si="140"/>
        <v>196.72060560038733</v>
      </c>
      <c r="K1175" s="27">
        <f t="shared" si="141"/>
        <v>1996.8715741217818</v>
      </c>
    </row>
    <row r="1176" spans="1:11">
      <c r="A1176" s="26">
        <v>1126</v>
      </c>
      <c r="B1176" s="82">
        <f t="shared" si="142"/>
        <v>3.2921237647087764E-4</v>
      </c>
      <c r="C1176" s="58">
        <f t="shared" si="146"/>
        <v>42.673288045993914</v>
      </c>
      <c r="D1176" s="83">
        <f t="shared" si="143"/>
        <v>181.17308147935179</v>
      </c>
      <c r="E1176">
        <f t="shared" si="139"/>
        <v>10.806001144821613</v>
      </c>
      <c r="G1176">
        <v>1126</v>
      </c>
      <c r="H1176" s="13">
        <f t="shared" si="144"/>
        <v>5.1608656820917531E-2</v>
      </c>
      <c r="I1176">
        <f t="shared" si="145"/>
        <v>100.41394249043786</v>
      </c>
      <c r="J1176">
        <f t="shared" si="140"/>
        <v>196.68793551607672</v>
      </c>
      <c r="K1176" s="27">
        <f t="shared" si="141"/>
        <v>1996.20721371069</v>
      </c>
    </row>
    <row r="1177" spans="1:11">
      <c r="A1177" s="26">
        <v>1127</v>
      </c>
      <c r="B1177" s="82">
        <f t="shared" si="142"/>
        <v>3.2921237647087764E-4</v>
      </c>
      <c r="C1177" s="58">
        <f t="shared" si="146"/>
        <v>42.673617258370385</v>
      </c>
      <c r="D1177" s="83">
        <f t="shared" si="143"/>
        <v>181.17371275975728</v>
      </c>
      <c r="E1177">
        <f t="shared" si="139"/>
        <v>10.806076448181807</v>
      </c>
      <c r="G1177">
        <v>1127</v>
      </c>
      <c r="H1177" s="13">
        <f t="shared" si="144"/>
        <v>5.1608656820917531E-2</v>
      </c>
      <c r="I1177">
        <f t="shared" si="145"/>
        <v>100.46555114725878</v>
      </c>
      <c r="J1177">
        <f t="shared" si="140"/>
        <v>196.65515652022356</v>
      </c>
      <c r="K1177" s="27">
        <f t="shared" si="141"/>
        <v>1995.5407501329203</v>
      </c>
    </row>
    <row r="1178" spans="1:11">
      <c r="A1178" s="26">
        <v>1128</v>
      </c>
      <c r="B1178" s="82">
        <f t="shared" si="142"/>
        <v>3.2921237647087764E-4</v>
      </c>
      <c r="C1178" s="58">
        <f t="shared" si="146"/>
        <v>42.673946470746856</v>
      </c>
      <c r="D1178" s="83">
        <f t="shared" si="143"/>
        <v>181.17434401316336</v>
      </c>
      <c r="E1178">
        <f t="shared" si="139"/>
        <v>10.806151748583794</v>
      </c>
      <c r="G1178">
        <v>1128</v>
      </c>
      <c r="H1178" s="13">
        <f t="shared" si="144"/>
        <v>5.1608656820917531E-2</v>
      </c>
      <c r="I1178">
        <f t="shared" si="145"/>
        <v>100.5171598040797</v>
      </c>
      <c r="J1178">
        <f t="shared" si="140"/>
        <v>196.62226829987276</v>
      </c>
      <c r="K1178" s="27">
        <f t="shared" si="141"/>
        <v>1994.8721781237143</v>
      </c>
    </row>
    <row r="1179" spans="1:11">
      <c r="A1179" s="26">
        <v>1129</v>
      </c>
      <c r="B1179" s="82">
        <f t="shared" si="142"/>
        <v>3.2921237647087764E-4</v>
      </c>
      <c r="C1179" s="58">
        <f t="shared" si="146"/>
        <v>42.674275683123327</v>
      </c>
      <c r="D1179" s="83">
        <f t="shared" si="143"/>
        <v>181.1749752395728</v>
      </c>
      <c r="E1179">
        <f t="shared" si="139"/>
        <v>10.806227046027864</v>
      </c>
      <c r="G1179">
        <v>1129</v>
      </c>
      <c r="H1179" s="13">
        <f t="shared" si="144"/>
        <v>5.1608656820917531E-2</v>
      </c>
      <c r="I1179">
        <f t="shared" si="145"/>
        <v>100.56876846090061</v>
      </c>
      <c r="J1179">
        <f t="shared" si="140"/>
        <v>196.58927053982023</v>
      </c>
      <c r="K1179" s="27">
        <f t="shared" si="141"/>
        <v>1994.2014923804365</v>
      </c>
    </row>
    <row r="1180" spans="1:11">
      <c r="A1180" s="26">
        <v>1130</v>
      </c>
      <c r="B1180" s="82">
        <f t="shared" si="142"/>
        <v>3.2921237647087764E-4</v>
      </c>
      <c r="C1180" s="58">
        <f t="shared" si="146"/>
        <v>42.674604895499797</v>
      </c>
      <c r="D1180" s="83">
        <f t="shared" si="143"/>
        <v>181.17560643898832</v>
      </c>
      <c r="E1180">
        <f t="shared" si="139"/>
        <v>10.806302340514305</v>
      </c>
      <c r="G1180">
        <v>1130</v>
      </c>
      <c r="H1180" s="13">
        <f t="shared" si="144"/>
        <v>5.1608656820917531E-2</v>
      </c>
      <c r="I1180">
        <f t="shared" si="145"/>
        <v>100.62037711772153</v>
      </c>
      <c r="J1180">
        <f t="shared" si="140"/>
        <v>196.55616292259197</v>
      </c>
      <c r="K1180" s="27">
        <f t="shared" si="141"/>
        <v>1993.5286875622276</v>
      </c>
    </row>
    <row r="1181" spans="1:11">
      <c r="A1181" s="26">
        <v>1131</v>
      </c>
      <c r="B1181" s="82">
        <f t="shared" si="142"/>
        <v>3.2921237647087764E-4</v>
      </c>
      <c r="C1181" s="58">
        <f t="shared" si="146"/>
        <v>42.674934107876268</v>
      </c>
      <c r="D1181" s="83">
        <f t="shared" si="143"/>
        <v>181.1762376114126</v>
      </c>
      <c r="E1181">
        <f t="shared" si="139"/>
        <v>10.806377632043409</v>
      </c>
      <c r="G1181">
        <v>1131</v>
      </c>
      <c r="H1181" s="13">
        <f t="shared" si="144"/>
        <v>5.1608656820917531E-2</v>
      </c>
      <c r="I1181">
        <f t="shared" si="145"/>
        <v>100.67198577454245</v>
      </c>
      <c r="J1181">
        <f t="shared" si="140"/>
        <v>196.5229451284228</v>
      </c>
      <c r="K1181" s="27">
        <f t="shared" si="141"/>
        <v>1992.8537582896404</v>
      </c>
    </row>
    <row r="1182" spans="1:11">
      <c r="A1182" s="26">
        <v>1132</v>
      </c>
      <c r="B1182" s="82">
        <f t="shared" si="142"/>
        <v>3.2921237647087764E-4</v>
      </c>
      <c r="C1182" s="58">
        <f t="shared" si="146"/>
        <v>42.675263320252739</v>
      </c>
      <c r="D1182" s="83">
        <f t="shared" si="143"/>
        <v>181.17686875684839</v>
      </c>
      <c r="E1182">
        <f t="shared" si="139"/>
        <v>10.806452920615465</v>
      </c>
      <c r="G1182">
        <v>1132</v>
      </c>
      <c r="H1182" s="13">
        <f t="shared" si="144"/>
        <v>5.1608656820917531E-2</v>
      </c>
      <c r="I1182">
        <f t="shared" si="145"/>
        <v>100.72359443136337</v>
      </c>
      <c r="J1182">
        <f t="shared" si="140"/>
        <v>196.4896168352351</v>
      </c>
      <c r="K1182" s="27">
        <f t="shared" si="141"/>
        <v>1992.1766991442839</v>
      </c>
    </row>
    <row r="1183" spans="1:11">
      <c r="A1183" s="26">
        <v>1133</v>
      </c>
      <c r="B1183" s="82">
        <f t="shared" si="142"/>
        <v>3.2921237647087764E-4</v>
      </c>
      <c r="C1183" s="58">
        <f t="shared" si="146"/>
        <v>42.67559253262921</v>
      </c>
      <c r="D1183" s="83">
        <f t="shared" si="143"/>
        <v>181.17749987529839</v>
      </c>
      <c r="E1183">
        <f t="shared" si="139"/>
        <v>10.806528206230768</v>
      </c>
      <c r="G1183">
        <v>1133</v>
      </c>
      <c r="H1183" s="13">
        <f t="shared" si="144"/>
        <v>5.1608656820917531E-2</v>
      </c>
      <c r="I1183">
        <f t="shared" si="145"/>
        <v>100.77520308818428</v>
      </c>
      <c r="J1183">
        <f t="shared" si="140"/>
        <v>196.45617771861691</v>
      </c>
      <c r="K1183" s="27">
        <f t="shared" si="141"/>
        <v>1991.497504668454</v>
      </c>
    </row>
    <row r="1184" spans="1:11">
      <c r="A1184" s="26">
        <v>1134</v>
      </c>
      <c r="B1184" s="82">
        <f t="shared" si="142"/>
        <v>3.2921237647087764E-4</v>
      </c>
      <c r="C1184" s="58">
        <f t="shared" si="146"/>
        <v>42.675921745005681</v>
      </c>
      <c r="D1184" s="83">
        <f t="shared" si="143"/>
        <v>181.17813096676537</v>
      </c>
      <c r="E1184">
        <f t="shared" si="139"/>
        <v>10.806603488889609</v>
      </c>
      <c r="G1184">
        <v>1134</v>
      </c>
      <c r="H1184" s="13">
        <f t="shared" si="144"/>
        <v>5.1608656820917531E-2</v>
      </c>
      <c r="I1184">
        <f t="shared" si="145"/>
        <v>100.8268117450052</v>
      </c>
      <c r="J1184">
        <f t="shared" si="140"/>
        <v>196.42262745179997</v>
      </c>
      <c r="K1184" s="27">
        <f t="shared" si="141"/>
        <v>1990.8161693647628</v>
      </c>
    </row>
    <row r="1185" spans="1:11">
      <c r="A1185" s="26">
        <v>1135</v>
      </c>
      <c r="B1185" s="82">
        <f t="shared" si="142"/>
        <v>3.2921237647087764E-4</v>
      </c>
      <c r="C1185" s="58">
        <f t="shared" si="146"/>
        <v>42.676250957382152</v>
      </c>
      <c r="D1185" s="83">
        <f t="shared" si="143"/>
        <v>181.17876203125201</v>
      </c>
      <c r="E1185">
        <f t="shared" si="139"/>
        <v>10.806678768592276</v>
      </c>
      <c r="G1185">
        <v>1135</v>
      </c>
      <c r="H1185" s="13">
        <f t="shared" si="144"/>
        <v>5.1608656820917531E-2</v>
      </c>
      <c r="I1185">
        <f t="shared" si="145"/>
        <v>100.87842040182612</v>
      </c>
      <c r="J1185">
        <f t="shared" si="140"/>
        <v>196.38896570563762</v>
      </c>
      <c r="K1185" s="27">
        <f t="shared" si="141"/>
        <v>1990.1326876957648</v>
      </c>
    </row>
    <row r="1186" spans="1:11">
      <c r="A1186" s="26">
        <v>1136</v>
      </c>
      <c r="B1186" s="82">
        <f t="shared" si="142"/>
        <v>3.2921237647087764E-4</v>
      </c>
      <c r="C1186" s="58">
        <f t="shared" si="146"/>
        <v>42.676580169758623</v>
      </c>
      <c r="D1186" s="83">
        <f t="shared" si="143"/>
        <v>181.17939306876102</v>
      </c>
      <c r="E1186">
        <f t="shared" si="139"/>
        <v>10.80675404533906</v>
      </c>
      <c r="G1186">
        <v>1136</v>
      </c>
      <c r="H1186" s="13">
        <f t="shared" si="144"/>
        <v>5.1608656820917531E-2</v>
      </c>
      <c r="I1186">
        <f t="shared" si="145"/>
        <v>100.93002905864704</v>
      </c>
      <c r="J1186">
        <f t="shared" si="140"/>
        <v>196.35519214858209</v>
      </c>
      <c r="K1186" s="27">
        <f t="shared" si="141"/>
        <v>1989.4470540835744</v>
      </c>
    </row>
    <row r="1187" spans="1:11">
      <c r="A1187" s="26">
        <v>1137</v>
      </c>
      <c r="B1187" s="82">
        <f t="shared" si="142"/>
        <v>3.2921237647087764E-4</v>
      </c>
      <c r="C1187" s="58">
        <f t="shared" si="146"/>
        <v>42.676909382135094</v>
      </c>
      <c r="D1187" s="83">
        <f t="shared" si="143"/>
        <v>181.18002407929515</v>
      </c>
      <c r="E1187">
        <f t="shared" si="139"/>
        <v>10.806829319130252</v>
      </c>
      <c r="G1187">
        <v>1137</v>
      </c>
      <c r="H1187" s="13">
        <f t="shared" si="144"/>
        <v>5.1608656820917531E-2</v>
      </c>
      <c r="I1187">
        <f t="shared" si="145"/>
        <v>100.98163771546795</v>
      </c>
      <c r="J1187">
        <f t="shared" si="140"/>
        <v>196.32130644666171</v>
      </c>
      <c r="K1187" s="27">
        <f t="shared" si="141"/>
        <v>1988.7592629094825</v>
      </c>
    </row>
    <row r="1188" spans="1:11">
      <c r="A1188" s="26">
        <v>1138</v>
      </c>
      <c r="B1188" s="82">
        <f t="shared" si="142"/>
        <v>3.2921237647087764E-4</v>
      </c>
      <c r="C1188" s="58">
        <f t="shared" si="146"/>
        <v>42.677238594511564</v>
      </c>
      <c r="D1188" s="83">
        <f t="shared" si="143"/>
        <v>181.18065506285711</v>
      </c>
      <c r="E1188">
        <f t="shared" si="139"/>
        <v>10.806904589966143</v>
      </c>
      <c r="G1188">
        <v>1138</v>
      </c>
      <c r="H1188" s="13">
        <f t="shared" si="144"/>
        <v>5.1608656820917531E-2</v>
      </c>
      <c r="I1188">
        <f t="shared" si="145"/>
        <v>101.03324637228887</v>
      </c>
      <c r="J1188">
        <f t="shared" si="140"/>
        <v>196.28730826345782</v>
      </c>
      <c r="K1188" s="27">
        <f t="shared" si="141"/>
        <v>1988.0693085135651</v>
      </c>
    </row>
    <row r="1189" spans="1:11">
      <c r="A1189" s="26">
        <v>1139</v>
      </c>
      <c r="B1189" s="82">
        <f t="shared" si="142"/>
        <v>3.2921237647087764E-4</v>
      </c>
      <c r="C1189" s="58">
        <f t="shared" si="146"/>
        <v>42.677567806888035</v>
      </c>
      <c r="D1189" s="83">
        <f t="shared" si="143"/>
        <v>181.1812860194496</v>
      </c>
      <c r="E1189">
        <f t="shared" si="139"/>
        <v>10.806979857847027</v>
      </c>
      <c r="G1189">
        <v>1139</v>
      </c>
      <c r="H1189" s="13">
        <f t="shared" si="144"/>
        <v>5.1608656820917531E-2</v>
      </c>
      <c r="I1189">
        <f t="shared" si="145"/>
        <v>101.08485502910979</v>
      </c>
      <c r="J1189">
        <f t="shared" si="140"/>
        <v>196.25319726008141</v>
      </c>
      <c r="K1189" s="27">
        <f t="shared" si="141"/>
        <v>1987.3771851942913</v>
      </c>
    </row>
    <row r="1190" spans="1:11">
      <c r="A1190" s="26">
        <v>1140</v>
      </c>
      <c r="B1190" s="82">
        <f t="shared" si="142"/>
        <v>3.2921237647087764E-4</v>
      </c>
      <c r="C1190" s="58">
        <f t="shared" si="146"/>
        <v>42.677897019264506</v>
      </c>
      <c r="D1190" s="83">
        <f t="shared" si="143"/>
        <v>181.18191694907537</v>
      </c>
      <c r="E1190">
        <f t="shared" si="139"/>
        <v>10.807055122773193</v>
      </c>
      <c r="G1190">
        <v>1140</v>
      </c>
      <c r="H1190" s="13">
        <f t="shared" si="144"/>
        <v>5.1608656820917531E-2</v>
      </c>
      <c r="I1190">
        <f t="shared" si="145"/>
        <v>101.13646368593071</v>
      </c>
      <c r="J1190">
        <f t="shared" si="140"/>
        <v>196.21897309514929</v>
      </c>
      <c r="K1190" s="27">
        <f t="shared" si="141"/>
        <v>1986.6828872081194</v>
      </c>
    </row>
    <row r="1191" spans="1:11">
      <c r="A1191" s="26">
        <v>1141</v>
      </c>
      <c r="B1191" s="82">
        <f t="shared" si="142"/>
        <v>3.2921237647087764E-4</v>
      </c>
      <c r="C1191" s="58">
        <f t="shared" si="146"/>
        <v>42.678226231640977</v>
      </c>
      <c r="D1191" s="83">
        <f t="shared" si="143"/>
        <v>181.18254785173713</v>
      </c>
      <c r="E1191">
        <f t="shared" si="139"/>
        <v>10.807130384744925</v>
      </c>
      <c r="G1191">
        <v>1141</v>
      </c>
      <c r="H1191" s="13">
        <f t="shared" si="144"/>
        <v>5.1608656820917531E-2</v>
      </c>
      <c r="I1191">
        <f t="shared" si="145"/>
        <v>101.18807234275162</v>
      </c>
      <c r="J1191">
        <f t="shared" si="140"/>
        <v>196.18463542476022</v>
      </c>
      <c r="K1191" s="27">
        <f t="shared" si="141"/>
        <v>1985.9864087690958</v>
      </c>
    </row>
    <row r="1192" spans="1:11">
      <c r="A1192" s="26">
        <v>1142</v>
      </c>
      <c r="B1192" s="82">
        <f t="shared" si="142"/>
        <v>3.2921237647087764E-4</v>
      </c>
      <c r="C1192" s="58">
        <f t="shared" si="146"/>
        <v>42.678555444017448</v>
      </c>
      <c r="D1192" s="83">
        <f t="shared" si="143"/>
        <v>181.18317872743756</v>
      </c>
      <c r="E1192">
        <f t="shared" si="139"/>
        <v>10.80720564376252</v>
      </c>
      <c r="G1192">
        <v>1142</v>
      </c>
      <c r="H1192" s="13">
        <f t="shared" si="144"/>
        <v>5.1608656820917531E-2</v>
      </c>
      <c r="I1192">
        <f t="shared" si="145"/>
        <v>101.23968099957254</v>
      </c>
      <c r="J1192">
        <f t="shared" si="140"/>
        <v>196.15018390247047</v>
      </c>
      <c r="K1192" s="27">
        <f t="shared" si="141"/>
        <v>1985.287744048441</v>
      </c>
    </row>
    <row r="1193" spans="1:11">
      <c r="A1193" s="26">
        <v>1143</v>
      </c>
      <c r="B1193" s="82">
        <f t="shared" si="142"/>
        <v>3.2921237647087764E-4</v>
      </c>
      <c r="C1193" s="58">
        <f t="shared" si="146"/>
        <v>42.678884656393919</v>
      </c>
      <c r="D1193" s="83">
        <f t="shared" si="143"/>
        <v>181.18380957617941</v>
      </c>
      <c r="E1193">
        <f t="shared" si="139"/>
        <v>10.807280899826267</v>
      </c>
      <c r="G1193">
        <v>1143</v>
      </c>
      <c r="H1193" s="13">
        <f t="shared" si="144"/>
        <v>5.1608656820917531E-2</v>
      </c>
      <c r="I1193">
        <f t="shared" si="145"/>
        <v>101.29128965639346</v>
      </c>
      <c r="J1193">
        <f t="shared" si="140"/>
        <v>196.11561817926926</v>
      </c>
      <c r="K1193" s="27">
        <f t="shared" si="141"/>
        <v>1984.5868871741377</v>
      </c>
    </row>
    <row r="1194" spans="1:11">
      <c r="A1194" s="26">
        <v>1144</v>
      </c>
      <c r="B1194" s="82">
        <f t="shared" si="142"/>
        <v>3.2921237647087764E-4</v>
      </c>
      <c r="C1194" s="58">
        <f t="shared" si="146"/>
        <v>42.67921386877039</v>
      </c>
      <c r="D1194" s="83">
        <f t="shared" si="143"/>
        <v>181.1844403979654</v>
      </c>
      <c r="E1194">
        <f t="shared" si="139"/>
        <v>10.807356152936459</v>
      </c>
      <c r="G1194">
        <v>1144</v>
      </c>
      <c r="H1194" s="13">
        <f t="shared" si="144"/>
        <v>5.1608656820917531E-2</v>
      </c>
      <c r="I1194">
        <f t="shared" si="145"/>
        <v>101.34289831321438</v>
      </c>
      <c r="J1194">
        <f t="shared" si="140"/>
        <v>196.08093790355383</v>
      </c>
      <c r="K1194" s="27">
        <f t="shared" si="141"/>
        <v>1983.8838322305073</v>
      </c>
    </row>
    <row r="1195" spans="1:11">
      <c r="A1195" s="26">
        <v>1145</v>
      </c>
      <c r="B1195" s="82">
        <f t="shared" si="142"/>
        <v>3.2921237647087764E-4</v>
      </c>
      <c r="C1195" s="58">
        <f t="shared" si="146"/>
        <v>42.679543081146861</v>
      </c>
      <c r="D1195" s="83">
        <f t="shared" si="143"/>
        <v>181.18507119279826</v>
      </c>
      <c r="E1195">
        <f t="shared" si="139"/>
        <v>10.807431403093382</v>
      </c>
      <c r="G1195">
        <v>1145</v>
      </c>
      <c r="H1195" s="13">
        <f t="shared" si="144"/>
        <v>5.1608656820917531E-2</v>
      </c>
      <c r="I1195">
        <f t="shared" si="145"/>
        <v>101.39450697003529</v>
      </c>
      <c r="J1195">
        <f t="shared" si="140"/>
        <v>196.04614272110416</v>
      </c>
      <c r="K1195" s="27">
        <f t="shared" si="141"/>
        <v>1983.1785732577853</v>
      </c>
    </row>
    <row r="1196" spans="1:11">
      <c r="A1196" s="26">
        <v>1146</v>
      </c>
      <c r="B1196" s="82">
        <f t="shared" si="142"/>
        <v>3.2921237647087764E-4</v>
      </c>
      <c r="C1196" s="58">
        <f t="shared" si="146"/>
        <v>42.679872293523331</v>
      </c>
      <c r="D1196" s="83">
        <f t="shared" si="143"/>
        <v>181.18570196068063</v>
      </c>
      <c r="E1196">
        <f t="shared" si="139"/>
        <v>10.807506650297329</v>
      </c>
      <c r="G1196">
        <v>1146</v>
      </c>
      <c r="H1196" s="13">
        <f t="shared" si="144"/>
        <v>5.1608656820917531E-2</v>
      </c>
      <c r="I1196">
        <f t="shared" si="145"/>
        <v>101.44611562685621</v>
      </c>
      <c r="J1196">
        <f t="shared" si="140"/>
        <v>196.0112322750573</v>
      </c>
      <c r="K1196" s="27">
        <f t="shared" si="141"/>
        <v>1982.4711042516876</v>
      </c>
    </row>
    <row r="1197" spans="1:11">
      <c r="A1197" s="26">
        <v>1147</v>
      </c>
      <c r="B1197" s="82">
        <f t="shared" si="142"/>
        <v>3.2921237647087764E-4</v>
      </c>
      <c r="C1197" s="58">
        <f t="shared" si="146"/>
        <v>42.680201505899802</v>
      </c>
      <c r="D1197" s="83">
        <f t="shared" si="143"/>
        <v>181.18633270161533</v>
      </c>
      <c r="E1197">
        <f t="shared" si="139"/>
        <v>10.807581894548591</v>
      </c>
      <c r="G1197">
        <v>1147</v>
      </c>
      <c r="H1197" s="13">
        <f t="shared" si="144"/>
        <v>5.1608656820917531E-2</v>
      </c>
      <c r="I1197">
        <f t="shared" si="145"/>
        <v>101.49772428367713</v>
      </c>
      <c r="J1197">
        <f t="shared" si="140"/>
        <v>195.97620620588154</v>
      </c>
      <c r="K1197" s="27">
        <f t="shared" si="141"/>
        <v>1981.7614191629771</v>
      </c>
    </row>
    <row r="1198" spans="1:11">
      <c r="A1198" s="26">
        <v>1148</v>
      </c>
      <c r="B1198" s="82">
        <f t="shared" si="142"/>
        <v>3.2921237647087764E-4</v>
      </c>
      <c r="C1198" s="58">
        <f t="shared" si="146"/>
        <v>42.680530718276273</v>
      </c>
      <c r="D1198" s="83">
        <f t="shared" si="143"/>
        <v>181.18696341560496</v>
      </c>
      <c r="E1198">
        <f t="shared" si="139"/>
        <v>10.807657135847451</v>
      </c>
      <c r="G1198">
        <v>1148</v>
      </c>
      <c r="H1198" s="13">
        <f t="shared" si="144"/>
        <v>5.1608656820917531E-2</v>
      </c>
      <c r="I1198">
        <f t="shared" si="145"/>
        <v>101.54933294049805</v>
      </c>
      <c r="J1198">
        <f t="shared" si="140"/>
        <v>195.94106415135013</v>
      </c>
      <c r="K1198" s="27">
        <f t="shared" si="141"/>
        <v>1981.0495118970139</v>
      </c>
    </row>
    <row r="1199" spans="1:11">
      <c r="A1199" s="26">
        <v>1149</v>
      </c>
      <c r="B1199" s="82">
        <f t="shared" si="142"/>
        <v>3.2921237647087764E-4</v>
      </c>
      <c r="C1199" s="58">
        <f t="shared" si="146"/>
        <v>42.680859930652744</v>
      </c>
      <c r="D1199" s="83">
        <f t="shared" si="143"/>
        <v>181.18759410265235</v>
      </c>
      <c r="E1199">
        <f t="shared" si="139"/>
        <v>10.80773237419421</v>
      </c>
      <c r="G1199">
        <v>1149</v>
      </c>
      <c r="H1199" s="13">
        <f t="shared" si="144"/>
        <v>5.1608656820917531E-2</v>
      </c>
      <c r="I1199">
        <f t="shared" si="145"/>
        <v>101.60094159731896</v>
      </c>
      <c r="J1199">
        <f t="shared" si="140"/>
        <v>195.90580574651466</v>
      </c>
      <c r="K1199" s="27">
        <f t="shared" si="141"/>
        <v>1980.335376313313</v>
      </c>
    </row>
    <row r="1200" spans="1:11">
      <c r="A1200" s="26">
        <v>1150</v>
      </c>
      <c r="B1200" s="82">
        <f t="shared" si="142"/>
        <v>3.2921237647087764E-4</v>
      </c>
      <c r="C1200" s="58">
        <f t="shared" si="146"/>
        <v>42.681189143029215</v>
      </c>
      <c r="D1200" s="83">
        <f t="shared" si="143"/>
        <v>181.18822476276011</v>
      </c>
      <c r="E1200">
        <f t="shared" si="139"/>
        <v>10.807807609589149</v>
      </c>
      <c r="G1200">
        <v>1150</v>
      </c>
      <c r="H1200" s="13">
        <f t="shared" si="144"/>
        <v>5.1608656820917531E-2</v>
      </c>
      <c r="I1200">
        <f t="shared" si="145"/>
        <v>101.65255025413988</v>
      </c>
      <c r="J1200">
        <f t="shared" si="140"/>
        <v>195.87043062367803</v>
      </c>
      <c r="K1200" s="27">
        <f t="shared" si="141"/>
        <v>1979.6190062250869</v>
      </c>
    </row>
    <row r="1201" spans="1:11">
      <c r="A1201" s="26">
        <v>1151</v>
      </c>
      <c r="B1201" s="82">
        <f t="shared" si="142"/>
        <v>3.2921237647087764E-4</v>
      </c>
      <c r="C1201" s="58">
        <f t="shared" si="146"/>
        <v>42.681518355405686</v>
      </c>
      <c r="D1201" s="83">
        <f t="shared" si="143"/>
        <v>181.18885539593103</v>
      </c>
      <c r="E1201">
        <f t="shared" si="139"/>
        <v>10.807882842032564</v>
      </c>
      <c r="G1201">
        <v>1151</v>
      </c>
      <c r="H1201" s="13">
        <f t="shared" si="144"/>
        <v>5.1608656820917531E-2</v>
      </c>
      <c r="I1201">
        <f t="shared" si="145"/>
        <v>101.7041589109608</v>
      </c>
      <c r="J1201">
        <f t="shared" si="140"/>
        <v>195.83493841236736</v>
      </c>
      <c r="K1201" s="27">
        <f t="shared" si="141"/>
        <v>1978.9003953987838</v>
      </c>
    </row>
    <row r="1202" spans="1:11">
      <c r="A1202" s="26">
        <v>1152</v>
      </c>
      <c r="B1202" s="82">
        <f t="shared" si="142"/>
        <v>3.2921237647087764E-4</v>
      </c>
      <c r="C1202" s="58">
        <f t="shared" si="146"/>
        <v>42.681847567782157</v>
      </c>
      <c r="D1202" s="83">
        <f t="shared" si="143"/>
        <v>181.1894860021678</v>
      </c>
      <c r="E1202">
        <f t="shared" si="139"/>
        <v>10.807958071524745</v>
      </c>
      <c r="G1202">
        <v>1152</v>
      </c>
      <c r="H1202" s="13">
        <f t="shared" si="144"/>
        <v>5.1608656820917531E-2</v>
      </c>
      <c r="I1202">
        <f t="shared" si="145"/>
        <v>101.75576756778172</v>
      </c>
      <c r="J1202">
        <f t="shared" si="140"/>
        <v>195.79932873930605</v>
      </c>
      <c r="K1202" s="27">
        <f t="shared" si="141"/>
        <v>1978.1795375536212</v>
      </c>
    </row>
    <row r="1203" spans="1:11">
      <c r="A1203" s="26">
        <v>1153</v>
      </c>
      <c r="B1203" s="82">
        <f t="shared" si="142"/>
        <v>3.2921237647087764E-4</v>
      </c>
      <c r="C1203" s="58">
        <f t="shared" si="146"/>
        <v>42.682176780158628</v>
      </c>
      <c r="D1203" s="83">
        <f t="shared" si="143"/>
        <v>181.19011658147309</v>
      </c>
      <c r="E1203">
        <f t="shared" ref="E1203:E1266" si="147">((D1203^2)+(D1203*D1204)+(D1204^2))*B1204/3</f>
        <v>10.808033298065977</v>
      </c>
      <c r="G1203">
        <v>1153</v>
      </c>
      <c r="H1203" s="13">
        <f t="shared" si="144"/>
        <v>5.1608656820917531E-2</v>
      </c>
      <c r="I1203">
        <f t="shared" si="145"/>
        <v>101.80737622460263</v>
      </c>
      <c r="J1203">
        <f t="shared" ref="J1203:J1266" si="148">IF($G$28&lt;$C$14,0,((($C$11^2)-((I1203-$C$13)^2))^0.5)+$C$16)</f>
        <v>195.76360122838591</v>
      </c>
      <c r="K1203" s="27">
        <f t="shared" ref="K1203:K1266" si="149">((J1203^2)+(J1203*J1204)+(J1204^2))*H1204/3</f>
        <v>1977.4564263611146</v>
      </c>
    </row>
    <row r="1204" spans="1:11">
      <c r="A1204" s="26">
        <v>1154</v>
      </c>
      <c r="B1204" s="82">
        <f t="shared" ref="B1204:B1267" si="150">C1204-C1203</f>
        <v>3.2921237647087764E-4</v>
      </c>
      <c r="C1204" s="58">
        <f t="shared" si="146"/>
        <v>42.682505992535098</v>
      </c>
      <c r="D1204" s="83">
        <f t="shared" ref="D1204:D1267" si="151">IF($G$28&lt;$C$14,0,((($C$11^2)-((C1204-$C$13)^2))^0.5)+$C$16)</f>
        <v>181.19074713384967</v>
      </c>
      <c r="E1204">
        <f t="shared" si="147"/>
        <v>10.808108521656557</v>
      </c>
      <c r="G1204">
        <v>1154</v>
      </c>
      <c r="H1204" s="13">
        <f t="shared" ref="H1204:H1267" si="152">I1204-I1203</f>
        <v>5.1608656820917531E-2</v>
      </c>
      <c r="I1204">
        <f t="shared" ref="I1204:I1267" si="153">($G$27-$C$14)/2000+I1203</f>
        <v>101.85898488142355</v>
      </c>
      <c r="J1204">
        <f t="shared" si="148"/>
        <v>195.72775550063872</v>
      </c>
      <c r="K1204" s="27">
        <f t="shared" si="149"/>
        <v>1976.7310554445964</v>
      </c>
    </row>
    <row r="1205" spans="1:11">
      <c r="A1205" s="26">
        <v>1155</v>
      </c>
      <c r="B1205" s="82">
        <f t="shared" si="150"/>
        <v>3.2921237647087764E-4</v>
      </c>
      <c r="C1205" s="58">
        <f t="shared" si="146"/>
        <v>42.682835204911569</v>
      </c>
      <c r="D1205" s="83">
        <f t="shared" si="151"/>
        <v>181.19137765930023</v>
      </c>
      <c r="E1205">
        <f t="shared" si="147"/>
        <v>10.808183742296764</v>
      </c>
      <c r="G1205">
        <v>1155</v>
      </c>
      <c r="H1205" s="13">
        <f t="shared" si="152"/>
        <v>5.1608656820917531E-2</v>
      </c>
      <c r="I1205">
        <f t="shared" si="153"/>
        <v>101.91059353824447</v>
      </c>
      <c r="J1205">
        <f t="shared" si="148"/>
        <v>195.69179117420745</v>
      </c>
      <c r="K1205" s="27">
        <f t="shared" si="149"/>
        <v>1976.0034183787309</v>
      </c>
    </row>
    <row r="1206" spans="1:11">
      <c r="A1206" s="26">
        <v>1156</v>
      </c>
      <c r="B1206" s="82">
        <f t="shared" si="150"/>
        <v>3.2921237647087764E-4</v>
      </c>
      <c r="C1206" s="58">
        <f t="shared" si="146"/>
        <v>42.68316441728804</v>
      </c>
      <c r="D1206" s="83">
        <f t="shared" si="151"/>
        <v>181.19200815782744</v>
      </c>
      <c r="E1206">
        <f t="shared" si="147"/>
        <v>10.808258959986899</v>
      </c>
      <c r="G1206">
        <v>1156</v>
      </c>
      <c r="H1206" s="13">
        <f t="shared" si="152"/>
        <v>5.1608656820917531E-2</v>
      </c>
      <c r="I1206">
        <f t="shared" si="153"/>
        <v>101.96220219506539</v>
      </c>
      <c r="J1206">
        <f t="shared" si="148"/>
        <v>195.65570786431709</v>
      </c>
      <c r="K1206" s="27">
        <f t="shared" si="149"/>
        <v>1975.2735086890214</v>
      </c>
    </row>
    <row r="1207" spans="1:11">
      <c r="A1207" s="26">
        <v>1157</v>
      </c>
      <c r="B1207" s="82">
        <f t="shared" si="150"/>
        <v>3.2921237647087764E-4</v>
      </c>
      <c r="C1207" s="58">
        <f t="shared" si="146"/>
        <v>42.683493629664511</v>
      </c>
      <c r="D1207" s="83">
        <f t="shared" si="151"/>
        <v>181.1926386294341</v>
      </c>
      <c r="E1207">
        <f t="shared" si="147"/>
        <v>10.808334174727248</v>
      </c>
      <c r="G1207">
        <v>1157</v>
      </c>
      <c r="H1207" s="13">
        <f t="shared" si="152"/>
        <v>5.1608656820917531E-2</v>
      </c>
      <c r="I1207">
        <f t="shared" si="153"/>
        <v>102.0138108518863</v>
      </c>
      <c r="J1207">
        <f t="shared" si="148"/>
        <v>195.61950518324514</v>
      </c>
      <c r="K1207" s="27">
        <f t="shared" si="149"/>
        <v>1974.5413198513136</v>
      </c>
    </row>
    <row r="1208" spans="1:11">
      <c r="A1208" s="26">
        <v>1158</v>
      </c>
      <c r="B1208" s="82">
        <f t="shared" si="150"/>
        <v>3.2921237647087764E-4</v>
      </c>
      <c r="C1208" s="58">
        <f t="shared" si="146"/>
        <v>42.683822842040982</v>
      </c>
      <c r="D1208" s="83">
        <f t="shared" si="151"/>
        <v>181.19326907412284</v>
      </c>
      <c r="E1208">
        <f t="shared" si="147"/>
        <v>10.808409386518095</v>
      </c>
      <c r="G1208">
        <v>1158</v>
      </c>
      <c r="H1208" s="13">
        <f t="shared" si="152"/>
        <v>5.1608656820917531E-2</v>
      </c>
      <c r="I1208">
        <f t="shared" si="153"/>
        <v>102.06541950870722</v>
      </c>
      <c r="J1208">
        <f t="shared" si="148"/>
        <v>195.58318274029151</v>
      </c>
      <c r="K1208" s="27">
        <f t="shared" si="149"/>
        <v>1973.8068452912873</v>
      </c>
    </row>
    <row r="1209" spans="1:11">
      <c r="A1209" s="26">
        <v>1159</v>
      </c>
      <c r="B1209" s="82">
        <f t="shared" si="150"/>
        <v>3.2921237647087764E-4</v>
      </c>
      <c r="C1209" s="58">
        <f t="shared" si="146"/>
        <v>42.684152054417453</v>
      </c>
      <c r="D1209" s="83">
        <f t="shared" si="151"/>
        <v>181.19389949189639</v>
      </c>
      <c r="E1209">
        <f t="shared" si="147"/>
        <v>10.808484595359737</v>
      </c>
      <c r="G1209">
        <v>1159</v>
      </c>
      <c r="H1209" s="13">
        <f t="shared" si="152"/>
        <v>5.1608656820917531E-2</v>
      </c>
      <c r="I1209">
        <f t="shared" si="153"/>
        <v>102.11702816552814</v>
      </c>
      <c r="J1209">
        <f t="shared" si="148"/>
        <v>195.54674014174836</v>
      </c>
      <c r="K1209" s="27">
        <f t="shared" si="149"/>
        <v>1973.0700783839459</v>
      </c>
    </row>
    <row r="1210" spans="1:11">
      <c r="A1210" s="26">
        <v>1160</v>
      </c>
      <c r="B1210" s="82">
        <f t="shared" si="150"/>
        <v>3.2921237647087764E-4</v>
      </c>
      <c r="C1210" s="58">
        <f t="shared" si="146"/>
        <v>42.684481266793924</v>
      </c>
      <c r="D1210" s="83">
        <f t="shared" si="151"/>
        <v>181.19452988275745</v>
      </c>
      <c r="E1210">
        <f t="shared" si="147"/>
        <v>10.808559801252459</v>
      </c>
      <c r="G1210">
        <v>1160</v>
      </c>
      <c r="H1210" s="13">
        <f t="shared" si="152"/>
        <v>5.1608656820917531E-2</v>
      </c>
      <c r="I1210">
        <f t="shared" si="153"/>
        <v>102.16863682234906</v>
      </c>
      <c r="J1210">
        <f t="shared" si="148"/>
        <v>195.51017699086924</v>
      </c>
      <c r="K1210" s="27">
        <f t="shared" si="149"/>
        <v>1972.3310124530974</v>
      </c>
    </row>
    <row r="1211" spans="1:11">
      <c r="A1211" s="26">
        <v>1161</v>
      </c>
      <c r="B1211" s="82">
        <f t="shared" si="150"/>
        <v>3.2921237647087764E-4</v>
      </c>
      <c r="C1211" s="58">
        <f t="shared" si="146"/>
        <v>42.684810479170395</v>
      </c>
      <c r="D1211" s="83">
        <f t="shared" si="151"/>
        <v>181.19516024670875</v>
      </c>
      <c r="E1211">
        <f t="shared" si="147"/>
        <v>10.808635004196553</v>
      </c>
      <c r="G1211">
        <v>1161</v>
      </c>
      <c r="H1211" s="13">
        <f t="shared" si="152"/>
        <v>5.1608656820917531E-2</v>
      </c>
      <c r="I1211">
        <f t="shared" si="153"/>
        <v>102.22024547916998</v>
      </c>
      <c r="J1211">
        <f t="shared" si="148"/>
        <v>195.47349288783789</v>
      </c>
      <c r="K1211" s="27">
        <f t="shared" si="149"/>
        <v>1971.5896407708278</v>
      </c>
    </row>
    <row r="1212" spans="1:11">
      <c r="A1212" s="26">
        <v>1162</v>
      </c>
      <c r="B1212" s="82">
        <f t="shared" si="150"/>
        <v>3.2921237647087764E-4</v>
      </c>
      <c r="C1212" s="58">
        <f t="shared" si="146"/>
        <v>42.685139691546865</v>
      </c>
      <c r="D1212" s="83">
        <f t="shared" si="151"/>
        <v>181.19579058375299</v>
      </c>
      <c r="E1212">
        <f t="shared" si="147"/>
        <v>10.808710204192311</v>
      </c>
      <c r="G1212">
        <v>1162</v>
      </c>
      <c r="H1212" s="13">
        <f t="shared" si="152"/>
        <v>5.1608656820917531E-2</v>
      </c>
      <c r="I1212">
        <f t="shared" si="153"/>
        <v>102.27185413599089</v>
      </c>
      <c r="J1212">
        <f t="shared" si="148"/>
        <v>195.43668742973671</v>
      </c>
      <c r="K1212" s="27">
        <f t="shared" si="149"/>
        <v>1970.8459565569667</v>
      </c>
    </row>
    <row r="1213" spans="1:11">
      <c r="A1213" s="26">
        <v>1163</v>
      </c>
      <c r="B1213" s="82">
        <f t="shared" si="150"/>
        <v>3.2921237647087764E-4</v>
      </c>
      <c r="C1213" s="58">
        <f t="shared" si="146"/>
        <v>42.685468903923336</v>
      </c>
      <c r="D1213" s="83">
        <f t="shared" si="151"/>
        <v>181.19642089389288</v>
      </c>
      <c r="E1213">
        <f t="shared" si="147"/>
        <v>10.808785401240018</v>
      </c>
      <c r="G1213">
        <v>1163</v>
      </c>
      <c r="H1213" s="13">
        <f t="shared" si="152"/>
        <v>5.1608656820917531E-2</v>
      </c>
      <c r="I1213">
        <f t="shared" si="153"/>
        <v>102.32346279281181</v>
      </c>
      <c r="J1213">
        <f t="shared" si="148"/>
        <v>195.39976021051461</v>
      </c>
      <c r="K1213" s="27">
        <f t="shared" si="149"/>
        <v>1970.0999529785486</v>
      </c>
    </row>
    <row r="1214" spans="1:11">
      <c r="A1214" s="26">
        <v>1164</v>
      </c>
      <c r="B1214" s="82">
        <f t="shared" si="150"/>
        <v>3.2921237647087764E-4</v>
      </c>
      <c r="C1214" s="58">
        <f t="shared" si="146"/>
        <v>42.685798116299807</v>
      </c>
      <c r="D1214" s="83">
        <f t="shared" si="151"/>
        <v>181.19705117713113</v>
      </c>
      <c r="E1214">
        <f t="shared" si="147"/>
        <v>10.808860595339965</v>
      </c>
      <c r="G1214">
        <v>1164</v>
      </c>
      <c r="H1214" s="13">
        <f t="shared" si="152"/>
        <v>5.1608656820917531E-2</v>
      </c>
      <c r="I1214">
        <f t="shared" si="153"/>
        <v>102.37507144963273</v>
      </c>
      <c r="J1214">
        <f t="shared" si="148"/>
        <v>195.36271082095476</v>
      </c>
      <c r="K1214" s="27">
        <f t="shared" si="149"/>
        <v>1969.3516231492638</v>
      </c>
    </row>
    <row r="1215" spans="1:11">
      <c r="A1215" s="26">
        <v>1165</v>
      </c>
      <c r="B1215" s="82">
        <f t="shared" si="150"/>
        <v>3.2921237647087764E-4</v>
      </c>
      <c r="C1215" s="58">
        <f t="shared" si="146"/>
        <v>42.686127328676278</v>
      </c>
      <c r="D1215" s="83">
        <f t="shared" si="151"/>
        <v>181.19768143347042</v>
      </c>
      <c r="E1215">
        <f t="shared" si="147"/>
        <v>10.808935786492439</v>
      </c>
      <c r="G1215">
        <v>1165</v>
      </c>
      <c r="H1215" s="13">
        <f t="shared" si="152"/>
        <v>5.1608656820917531E-2</v>
      </c>
      <c r="I1215">
        <f t="shared" si="153"/>
        <v>102.42668010645365</v>
      </c>
      <c r="J1215">
        <f t="shared" si="148"/>
        <v>195.32553884864137</v>
      </c>
      <c r="K1215" s="27">
        <f t="shared" si="149"/>
        <v>1968.6009601289043</v>
      </c>
    </row>
    <row r="1216" spans="1:11">
      <c r="A1216" s="26">
        <v>1166</v>
      </c>
      <c r="B1216" s="82">
        <f t="shared" si="150"/>
        <v>3.2921237647087764E-4</v>
      </c>
      <c r="C1216" s="58">
        <f t="shared" si="146"/>
        <v>42.686456541052749</v>
      </c>
      <c r="D1216" s="83">
        <f t="shared" si="151"/>
        <v>181.19831166291348</v>
      </c>
      <c r="E1216">
        <f t="shared" si="147"/>
        <v>10.809010974697733</v>
      </c>
      <c r="G1216">
        <v>1166</v>
      </c>
      <c r="H1216" s="13">
        <f t="shared" si="152"/>
        <v>5.1608656820917531E-2</v>
      </c>
      <c r="I1216">
        <f t="shared" si="153"/>
        <v>102.47828876327456</v>
      </c>
      <c r="J1216">
        <f t="shared" si="148"/>
        <v>195.28824387792667</v>
      </c>
      <c r="K1216" s="27">
        <f t="shared" si="149"/>
        <v>1967.8479569227973</v>
      </c>
    </row>
    <row r="1217" spans="1:11">
      <c r="A1217" s="26">
        <v>1167</v>
      </c>
      <c r="B1217" s="82">
        <f t="shared" si="150"/>
        <v>3.2921237647087764E-4</v>
      </c>
      <c r="C1217" s="58">
        <f t="shared" si="146"/>
        <v>42.68678575342922</v>
      </c>
      <c r="D1217" s="83">
        <f t="shared" si="151"/>
        <v>181.19894186546301</v>
      </c>
      <c r="E1217">
        <f t="shared" si="147"/>
        <v>10.809086159956136</v>
      </c>
      <c r="G1217">
        <v>1167</v>
      </c>
      <c r="H1217" s="13">
        <f t="shared" si="152"/>
        <v>5.1608656820917531E-2</v>
      </c>
      <c r="I1217">
        <f t="shared" si="153"/>
        <v>102.52989742009548</v>
      </c>
      <c r="J1217">
        <f t="shared" si="148"/>
        <v>195.25082548989678</v>
      </c>
      <c r="K1217" s="27">
        <f t="shared" si="149"/>
        <v>1967.092606481239</v>
      </c>
    </row>
    <row r="1218" spans="1:11">
      <c r="A1218" s="26">
        <v>1168</v>
      </c>
      <c r="B1218" s="82">
        <f t="shared" si="150"/>
        <v>3.2921237647087764E-4</v>
      </c>
      <c r="C1218" s="58">
        <f t="shared" si="146"/>
        <v>42.687114965805691</v>
      </c>
      <c r="D1218" s="83">
        <f t="shared" si="151"/>
        <v>181.19957204112171</v>
      </c>
      <c r="E1218">
        <f t="shared" si="147"/>
        <v>10.809161342267934</v>
      </c>
      <c r="G1218">
        <v>1168</v>
      </c>
      <c r="H1218" s="13">
        <f t="shared" si="152"/>
        <v>5.1608656820917531E-2</v>
      </c>
      <c r="I1218">
        <f t="shared" si="153"/>
        <v>102.5815060769164</v>
      </c>
      <c r="J1218">
        <f t="shared" si="148"/>
        <v>195.2132832623376</v>
      </c>
      <c r="K1218" s="27">
        <f t="shared" si="149"/>
        <v>1966.3349016989114</v>
      </c>
    </row>
    <row r="1219" spans="1:11">
      <c r="A1219" s="26">
        <v>1169</v>
      </c>
      <c r="B1219" s="82">
        <f t="shared" si="150"/>
        <v>3.2921237647087764E-4</v>
      </c>
      <c r="C1219" s="58">
        <f t="shared" si="146"/>
        <v>42.687444178182162</v>
      </c>
      <c r="D1219" s="83">
        <f t="shared" si="151"/>
        <v>181.20020218989231</v>
      </c>
      <c r="E1219">
        <f t="shared" si="147"/>
        <v>10.809236521633421</v>
      </c>
      <c r="G1219">
        <v>1169</v>
      </c>
      <c r="H1219" s="13">
        <f t="shared" si="152"/>
        <v>5.1608656820917531E-2</v>
      </c>
      <c r="I1219">
        <f t="shared" si="153"/>
        <v>102.63311473373732</v>
      </c>
      <c r="J1219">
        <f t="shared" si="148"/>
        <v>195.17561676969999</v>
      </c>
      <c r="K1219" s="27">
        <f t="shared" si="149"/>
        <v>1965.5748354142997</v>
      </c>
    </row>
    <row r="1220" spans="1:11">
      <c r="A1220" s="26">
        <v>1170</v>
      </c>
      <c r="B1220" s="82">
        <f t="shared" si="150"/>
        <v>3.2921237647087764E-4</v>
      </c>
      <c r="C1220" s="58">
        <f t="shared" si="146"/>
        <v>42.687773390558633</v>
      </c>
      <c r="D1220" s="83">
        <f t="shared" si="151"/>
        <v>181.20083231177745</v>
      </c>
      <c r="E1220">
        <f t="shared" si="147"/>
        <v>10.809311698052879</v>
      </c>
      <c r="G1220">
        <v>1170</v>
      </c>
      <c r="H1220" s="13">
        <f t="shared" si="152"/>
        <v>5.1608656820917531E-2</v>
      </c>
      <c r="I1220">
        <f t="shared" si="153"/>
        <v>102.68472339055823</v>
      </c>
      <c r="J1220">
        <f t="shared" si="148"/>
        <v>195.13782558306457</v>
      </c>
      <c r="K1220" s="27">
        <f t="shared" si="149"/>
        <v>1964.8124004090939</v>
      </c>
    </row>
    <row r="1221" spans="1:11">
      <c r="A1221" s="26">
        <v>1171</v>
      </c>
      <c r="B1221" s="82">
        <f t="shared" si="150"/>
        <v>3.2921237647087764E-4</v>
      </c>
      <c r="C1221" s="58">
        <f t="shared" si="146"/>
        <v>42.688102602935103</v>
      </c>
      <c r="D1221" s="83">
        <f t="shared" si="151"/>
        <v>181.20146240677991</v>
      </c>
      <c r="E1221">
        <f t="shared" si="147"/>
        <v>10.8093868715266</v>
      </c>
      <c r="G1221">
        <v>1171</v>
      </c>
      <c r="H1221" s="13">
        <f t="shared" si="152"/>
        <v>5.1608656820917531E-2</v>
      </c>
      <c r="I1221">
        <f t="shared" si="153"/>
        <v>102.73633204737915</v>
      </c>
      <c r="J1221">
        <f t="shared" si="148"/>
        <v>195.09990927010588</v>
      </c>
      <c r="K1221" s="27">
        <f t="shared" si="149"/>
        <v>1964.0475894075864</v>
      </c>
    </row>
    <row r="1222" spans="1:11">
      <c r="A1222" s="26">
        <v>1172</v>
      </c>
      <c r="B1222" s="82">
        <f t="shared" si="150"/>
        <v>3.2921237647087764E-4</v>
      </c>
      <c r="C1222" s="58">
        <f t="shared" si="146"/>
        <v>42.688431815311574</v>
      </c>
      <c r="D1222" s="83">
        <f t="shared" si="151"/>
        <v>181.20209247490232</v>
      </c>
      <c r="E1222">
        <f t="shared" si="147"/>
        <v>10.809462042054877</v>
      </c>
      <c r="G1222">
        <v>1172</v>
      </c>
      <c r="H1222" s="13">
        <f t="shared" si="152"/>
        <v>5.1608656820917531E-2</v>
      </c>
      <c r="I1222">
        <f t="shared" si="153"/>
        <v>102.78794070420007</v>
      </c>
      <c r="J1222">
        <f t="shared" si="148"/>
        <v>195.06186739505625</v>
      </c>
      <c r="K1222" s="27">
        <f t="shared" si="149"/>
        <v>1963.2803950760626</v>
      </c>
    </row>
    <row r="1223" spans="1:11">
      <c r="A1223" s="26">
        <v>1173</v>
      </c>
      <c r="B1223" s="82">
        <f t="shared" si="150"/>
        <v>3.2921237647087764E-4</v>
      </c>
      <c r="C1223" s="58">
        <f t="shared" si="146"/>
        <v>42.688761027688045</v>
      </c>
      <c r="D1223" s="83">
        <f t="shared" si="151"/>
        <v>181.20272251614745</v>
      </c>
      <c r="E1223">
        <f t="shared" si="147"/>
        <v>10.809537209637995</v>
      </c>
      <c r="G1223">
        <v>1173</v>
      </c>
      <c r="H1223" s="13">
        <f t="shared" si="152"/>
        <v>5.1608656820917531E-2</v>
      </c>
      <c r="I1223">
        <f t="shared" si="153"/>
        <v>102.83954936102099</v>
      </c>
      <c r="J1223">
        <f t="shared" si="148"/>
        <v>195.02369951866899</v>
      </c>
      <c r="K1223" s="27">
        <f t="shared" si="149"/>
        <v>1962.5108100221767</v>
      </c>
    </row>
    <row r="1224" spans="1:11">
      <c r="A1224" s="26">
        <v>1174</v>
      </c>
      <c r="B1224" s="82">
        <f t="shared" si="150"/>
        <v>3.2921237647087764E-4</v>
      </c>
      <c r="C1224" s="58">
        <f t="shared" si="146"/>
        <v>42.689090240064516</v>
      </c>
      <c r="D1224" s="83">
        <f t="shared" si="151"/>
        <v>181.20335253051795</v>
      </c>
      <c r="E1224">
        <f t="shared" si="147"/>
        <v>10.809612374276242</v>
      </c>
      <c r="G1224">
        <v>1174</v>
      </c>
      <c r="H1224" s="13">
        <f t="shared" si="152"/>
        <v>5.1608656820917531E-2</v>
      </c>
      <c r="I1224">
        <f t="shared" si="153"/>
        <v>102.8911580178419</v>
      </c>
      <c r="J1224">
        <f t="shared" si="148"/>
        <v>194.98540519818113</v>
      </c>
      <c r="K1224" s="27">
        <f t="shared" si="149"/>
        <v>1961.7388267943259</v>
      </c>
    </row>
    <row r="1225" spans="1:11">
      <c r="A1225" s="26">
        <v>1175</v>
      </c>
      <c r="B1225" s="82">
        <f t="shared" si="150"/>
        <v>3.2921237647087764E-4</v>
      </c>
      <c r="C1225" s="58">
        <f t="shared" si="146"/>
        <v>42.689419452440987</v>
      </c>
      <c r="D1225" s="83">
        <f t="shared" si="151"/>
        <v>181.20398251801655</v>
      </c>
      <c r="E1225">
        <f t="shared" si="147"/>
        <v>10.809687535969914</v>
      </c>
      <c r="G1225">
        <v>1175</v>
      </c>
      <c r="H1225" s="13">
        <f t="shared" si="152"/>
        <v>5.1608656820917531E-2</v>
      </c>
      <c r="I1225">
        <f t="shared" si="153"/>
        <v>102.94276667466282</v>
      </c>
      <c r="J1225">
        <f t="shared" si="148"/>
        <v>194.94698398727564</v>
      </c>
      <c r="K1225" s="27">
        <f t="shared" si="149"/>
        <v>1960.9644378810106</v>
      </c>
    </row>
    <row r="1226" spans="1:11">
      <c r="A1226" s="26">
        <v>1176</v>
      </c>
      <c r="B1226" s="82">
        <f t="shared" si="150"/>
        <v>3.2921237647087764E-4</v>
      </c>
      <c r="C1226" s="58">
        <f t="shared" si="146"/>
        <v>42.689748664817458</v>
      </c>
      <c r="D1226" s="83">
        <f t="shared" si="151"/>
        <v>181.20461247864594</v>
      </c>
      <c r="E1226">
        <f t="shared" si="147"/>
        <v>10.809762694719289</v>
      </c>
      <c r="G1226">
        <v>1176</v>
      </c>
      <c r="H1226" s="13">
        <f t="shared" si="152"/>
        <v>5.1608656820917531E-2</v>
      </c>
      <c r="I1226">
        <f t="shared" si="153"/>
        <v>102.99437533148374</v>
      </c>
      <c r="J1226">
        <f t="shared" si="148"/>
        <v>194.90843543604319</v>
      </c>
      <c r="K1226" s="27">
        <f t="shared" si="149"/>
        <v>1960.1876357101894</v>
      </c>
    </row>
    <row r="1227" spans="1:11">
      <c r="A1227" s="26">
        <v>1177</v>
      </c>
      <c r="B1227" s="82">
        <f t="shared" si="150"/>
        <v>3.2921237647087764E-4</v>
      </c>
      <c r="C1227" s="58">
        <f t="shared" si="146"/>
        <v>42.690077877193929</v>
      </c>
      <c r="D1227" s="83">
        <f t="shared" si="151"/>
        <v>181.20524241240884</v>
      </c>
      <c r="E1227">
        <f t="shared" si="147"/>
        <v>10.80983785052466</v>
      </c>
      <c r="G1227">
        <v>1177</v>
      </c>
      <c r="H1227" s="13">
        <f t="shared" si="152"/>
        <v>5.1608656820917531E-2</v>
      </c>
      <c r="I1227">
        <f t="shared" si="153"/>
        <v>103.04598398830466</v>
      </c>
      <c r="J1227">
        <f t="shared" si="148"/>
        <v>194.86975909094309</v>
      </c>
      <c r="K1227" s="27">
        <f t="shared" si="149"/>
        <v>1959.4084126486212</v>
      </c>
    </row>
    <row r="1228" spans="1:11">
      <c r="A1228" s="26">
        <v>1178</v>
      </c>
      <c r="B1228" s="82">
        <f t="shared" si="150"/>
        <v>3.2921237647087764E-4</v>
      </c>
      <c r="C1228" s="58">
        <f t="shared" si="146"/>
        <v>42.6904070895704</v>
      </c>
      <c r="D1228" s="83">
        <f t="shared" si="151"/>
        <v>181.2058723193079</v>
      </c>
      <c r="E1228">
        <f t="shared" si="147"/>
        <v>10.809913003386322</v>
      </c>
      <c r="G1228">
        <v>1178</v>
      </c>
      <c r="H1228" s="13">
        <f t="shared" si="152"/>
        <v>5.1608656820917531E-2</v>
      </c>
      <c r="I1228">
        <f t="shared" si="153"/>
        <v>103.09759264512557</v>
      </c>
      <c r="J1228">
        <f t="shared" si="148"/>
        <v>194.83095449476406</v>
      </c>
      <c r="K1228" s="27">
        <f t="shared" si="149"/>
        <v>1958.6267610011985</v>
      </c>
    </row>
    <row r="1229" spans="1:11">
      <c r="A1229" s="26">
        <v>1179</v>
      </c>
      <c r="B1229" s="82">
        <f t="shared" si="150"/>
        <v>3.2921237647087764E-4</v>
      </c>
      <c r="C1229" s="58">
        <f t="shared" si="146"/>
        <v>42.69073630194687</v>
      </c>
      <c r="D1229" s="83">
        <f t="shared" si="151"/>
        <v>181.20650219934589</v>
      </c>
      <c r="E1229">
        <f t="shared" si="147"/>
        <v>10.809988153304557</v>
      </c>
      <c r="G1229">
        <v>1179</v>
      </c>
      <c r="H1229" s="13">
        <f t="shared" si="152"/>
        <v>5.1608656820917531E-2</v>
      </c>
      <c r="I1229">
        <f t="shared" si="153"/>
        <v>103.14920130194649</v>
      </c>
      <c r="J1229">
        <f t="shared" si="148"/>
        <v>194.79202118658412</v>
      </c>
      <c r="K1229" s="27">
        <f t="shared" si="149"/>
        <v>1957.8426730102763</v>
      </c>
    </row>
    <row r="1230" spans="1:11">
      <c r="A1230" s="26">
        <v>1180</v>
      </c>
      <c r="B1230" s="82">
        <f t="shared" si="150"/>
        <v>3.2921237647087764E-4</v>
      </c>
      <c r="C1230" s="58">
        <f t="shared" si="146"/>
        <v>42.691065514323341</v>
      </c>
      <c r="D1230" s="83">
        <f t="shared" si="151"/>
        <v>181.20713205252545</v>
      </c>
      <c r="E1230">
        <f t="shared" si="147"/>
        <v>10.810063300279651</v>
      </c>
      <c r="G1230">
        <v>1180</v>
      </c>
      <c r="H1230" s="13">
        <f t="shared" si="152"/>
        <v>5.1608656820917531E-2</v>
      </c>
      <c r="I1230">
        <f t="shared" si="153"/>
        <v>103.20080995876741</v>
      </c>
      <c r="J1230">
        <f t="shared" si="148"/>
        <v>194.75295870173011</v>
      </c>
      <c r="K1230" s="27">
        <f t="shared" si="149"/>
        <v>1957.0561408549845</v>
      </c>
    </row>
    <row r="1231" spans="1:11">
      <c r="A1231" s="26">
        <v>1181</v>
      </c>
      <c r="B1231" s="82">
        <f t="shared" si="150"/>
        <v>3.2921237647087764E-4</v>
      </c>
      <c r="C1231" s="58">
        <f t="shared" si="146"/>
        <v>42.691394726699812</v>
      </c>
      <c r="D1231" s="83">
        <f t="shared" si="151"/>
        <v>181.20776187884928</v>
      </c>
      <c r="E1231">
        <f t="shared" si="147"/>
        <v>10.810138444311901</v>
      </c>
      <c r="G1231">
        <v>1181</v>
      </c>
      <c r="H1231" s="13">
        <f t="shared" si="152"/>
        <v>5.1608656820917531E-2</v>
      </c>
      <c r="I1231">
        <f t="shared" si="153"/>
        <v>103.25241861558833</v>
      </c>
      <c r="J1231">
        <f t="shared" si="148"/>
        <v>194.71376657173653</v>
      </c>
      <c r="K1231" s="27">
        <f t="shared" si="149"/>
        <v>1956.2671566505323</v>
      </c>
    </row>
    <row r="1232" spans="1:11">
      <c r="A1232" s="26">
        <v>1182</v>
      </c>
      <c r="B1232" s="82">
        <f t="shared" si="150"/>
        <v>3.2921237647087764E-4</v>
      </c>
      <c r="C1232" s="58">
        <f t="shared" ref="C1232:C1295" si="154">($C$37-$C$36)/2000+C1231</f>
        <v>42.691723939076283</v>
      </c>
      <c r="D1232" s="83">
        <f t="shared" si="151"/>
        <v>181.20839167832014</v>
      </c>
      <c r="E1232">
        <f t="shared" si="147"/>
        <v>10.810213585401589</v>
      </c>
      <c r="G1232">
        <v>1182</v>
      </c>
      <c r="H1232" s="13">
        <f t="shared" si="152"/>
        <v>5.1608656820917531E-2</v>
      </c>
      <c r="I1232">
        <f t="shared" si="153"/>
        <v>103.30402727240924</v>
      </c>
      <c r="J1232">
        <f t="shared" si="148"/>
        <v>194.67444432430375</v>
      </c>
      <c r="K1232" s="27">
        <f t="shared" si="149"/>
        <v>1955.4757124475072</v>
      </c>
    </row>
    <row r="1233" spans="1:11">
      <c r="A1233" s="26">
        <v>1183</v>
      </c>
      <c r="B1233" s="82">
        <f t="shared" si="150"/>
        <v>3.2921237647087764E-4</v>
      </c>
      <c r="C1233" s="58">
        <f t="shared" si="154"/>
        <v>42.692053151452754</v>
      </c>
      <c r="D1233" s="83">
        <f t="shared" si="151"/>
        <v>181.20902145094064</v>
      </c>
      <c r="E1233">
        <f t="shared" si="147"/>
        <v>10.810288723549002</v>
      </c>
      <c r="G1233">
        <v>1183</v>
      </c>
      <c r="H1233" s="13">
        <f t="shared" si="152"/>
        <v>5.1608656820917531E-2</v>
      </c>
      <c r="I1233">
        <f t="shared" si="153"/>
        <v>103.35563592923016</v>
      </c>
      <c r="J1233">
        <f t="shared" si="148"/>
        <v>194.6349914832557</v>
      </c>
      <c r="K1233" s="27">
        <f t="shared" si="149"/>
        <v>1954.6818002311572</v>
      </c>
    </row>
    <row r="1234" spans="1:11">
      <c r="A1234" s="26">
        <v>1184</v>
      </c>
      <c r="B1234" s="82">
        <f t="shared" si="150"/>
        <v>3.2921237647087764E-4</v>
      </c>
      <c r="C1234" s="58">
        <f t="shared" si="154"/>
        <v>42.692382363829225</v>
      </c>
      <c r="D1234" s="83">
        <f t="shared" si="151"/>
        <v>181.20965119671354</v>
      </c>
      <c r="E1234">
        <f t="shared" si="147"/>
        <v>10.810363858754437</v>
      </c>
      <c r="G1234">
        <v>1184</v>
      </c>
      <c r="H1234" s="13">
        <f t="shared" si="152"/>
        <v>5.1608656820917531E-2</v>
      </c>
      <c r="I1234">
        <f t="shared" si="153"/>
        <v>103.40724458605108</v>
      </c>
      <c r="J1234">
        <f t="shared" si="148"/>
        <v>194.59540756849705</v>
      </c>
      <c r="K1234" s="27">
        <f t="shared" si="149"/>
        <v>1953.8854119206662</v>
      </c>
    </row>
    <row r="1235" spans="1:11">
      <c r="A1235" s="26">
        <v>1185</v>
      </c>
      <c r="B1235" s="82">
        <f t="shared" si="150"/>
        <v>3.2921237647087764E-4</v>
      </c>
      <c r="C1235" s="58">
        <f t="shared" si="154"/>
        <v>42.692711576205696</v>
      </c>
      <c r="D1235" s="83">
        <f t="shared" si="151"/>
        <v>181.21028091564153</v>
      </c>
      <c r="E1235">
        <f t="shared" si="147"/>
        <v>10.810438991018174</v>
      </c>
      <c r="G1235">
        <v>1185</v>
      </c>
      <c r="H1235" s="13">
        <f t="shared" si="152"/>
        <v>5.1608656820917531E-2</v>
      </c>
      <c r="I1235">
        <f t="shared" si="153"/>
        <v>103.458853242872</v>
      </c>
      <c r="J1235">
        <f t="shared" si="148"/>
        <v>194.55569209596939</v>
      </c>
      <c r="K1235" s="27">
        <f t="shared" si="149"/>
        <v>1953.0865393684198</v>
      </c>
    </row>
    <row r="1236" spans="1:11">
      <c r="A1236" s="26">
        <v>1186</v>
      </c>
      <c r="B1236" s="82">
        <f t="shared" si="150"/>
        <v>3.2921237647087764E-4</v>
      </c>
      <c r="C1236" s="58">
        <f t="shared" si="154"/>
        <v>42.693040788582167</v>
      </c>
      <c r="D1236" s="83">
        <f t="shared" si="151"/>
        <v>181.21091060772727</v>
      </c>
      <c r="E1236">
        <f t="shared" si="147"/>
        <v>10.810514120340502</v>
      </c>
      <c r="G1236">
        <v>1186</v>
      </c>
      <c r="H1236" s="13">
        <f t="shared" si="152"/>
        <v>5.1608656820917531E-2</v>
      </c>
      <c r="I1236">
        <f t="shared" si="153"/>
        <v>103.51046189969291</v>
      </c>
      <c r="J1236">
        <f t="shared" si="148"/>
        <v>194.51584457760723</v>
      </c>
      <c r="K1236" s="27">
        <f t="shared" si="149"/>
        <v>1952.2851743592555</v>
      </c>
    </row>
    <row r="1237" spans="1:11">
      <c r="A1237" s="26">
        <v>1187</v>
      </c>
      <c r="B1237" s="82">
        <f t="shared" si="150"/>
        <v>3.2921237647087764E-4</v>
      </c>
      <c r="C1237" s="58">
        <f t="shared" si="154"/>
        <v>42.693370000958637</v>
      </c>
      <c r="D1237" s="83">
        <f t="shared" si="151"/>
        <v>181.21154027297351</v>
      </c>
      <c r="E1237">
        <f t="shared" si="147"/>
        <v>10.810589246721717</v>
      </c>
      <c r="G1237">
        <v>1187</v>
      </c>
      <c r="H1237" s="13">
        <f t="shared" si="152"/>
        <v>5.1608656820917531E-2</v>
      </c>
      <c r="I1237">
        <f t="shared" si="153"/>
        <v>103.56207055651383</v>
      </c>
      <c r="J1237">
        <f t="shared" si="148"/>
        <v>194.47586452129295</v>
      </c>
      <c r="K1237" s="27">
        <f t="shared" si="149"/>
        <v>1951.4813086097074</v>
      </c>
    </row>
    <row r="1238" spans="1:11">
      <c r="A1238" s="26">
        <v>1188</v>
      </c>
      <c r="B1238" s="82">
        <f t="shared" si="150"/>
        <v>3.2921237647087764E-4</v>
      </c>
      <c r="C1238" s="58">
        <f t="shared" si="154"/>
        <v>42.693699213335108</v>
      </c>
      <c r="D1238" s="83">
        <f t="shared" si="151"/>
        <v>181.21216991138289</v>
      </c>
      <c r="E1238">
        <f t="shared" si="147"/>
        <v>10.810664370162099</v>
      </c>
      <c r="G1238">
        <v>1188</v>
      </c>
      <c r="H1238" s="13">
        <f t="shared" si="152"/>
        <v>5.1608656820917531E-2</v>
      </c>
      <c r="I1238">
        <f t="shared" si="153"/>
        <v>103.61367921333475</v>
      </c>
      <c r="J1238">
        <f t="shared" si="148"/>
        <v>194.43575143081145</v>
      </c>
      <c r="K1238" s="27">
        <f t="shared" si="149"/>
        <v>1950.6749337672384</v>
      </c>
    </row>
    <row r="1239" spans="1:11">
      <c r="A1239" s="26">
        <v>1189</v>
      </c>
      <c r="B1239" s="82">
        <f t="shared" si="150"/>
        <v>3.2921237647087764E-4</v>
      </c>
      <c r="C1239" s="58">
        <f t="shared" si="154"/>
        <v>42.694028425711579</v>
      </c>
      <c r="D1239" s="83">
        <f t="shared" si="151"/>
        <v>181.21279952295814</v>
      </c>
      <c r="E1239">
        <f t="shared" si="147"/>
        <v>10.810739490661936</v>
      </c>
      <c r="G1239">
        <v>1189</v>
      </c>
      <c r="H1239" s="13">
        <f t="shared" si="152"/>
        <v>5.1608656820917531E-2</v>
      </c>
      <c r="I1239">
        <f t="shared" si="153"/>
        <v>103.66528787015567</v>
      </c>
      <c r="J1239">
        <f t="shared" si="148"/>
        <v>194.39550480580385</v>
      </c>
      <c r="K1239" s="27">
        <f t="shared" si="149"/>
        <v>1949.8660414094577</v>
      </c>
    </row>
    <row r="1240" spans="1:11">
      <c r="A1240" s="26">
        <v>1190</v>
      </c>
      <c r="B1240" s="82">
        <f t="shared" si="150"/>
        <v>3.2921237647087764E-4</v>
      </c>
      <c r="C1240" s="58">
        <f t="shared" si="154"/>
        <v>42.69435763808805</v>
      </c>
      <c r="D1240" s="83">
        <f t="shared" si="151"/>
        <v>181.21342910770196</v>
      </c>
      <c r="E1240">
        <f t="shared" si="147"/>
        <v>10.81081460822152</v>
      </c>
      <c r="G1240">
        <v>1190</v>
      </c>
      <c r="H1240" s="13">
        <f t="shared" si="152"/>
        <v>5.1608656820917531E-2</v>
      </c>
      <c r="I1240">
        <f t="shared" si="153"/>
        <v>103.71689652697658</v>
      </c>
      <c r="J1240">
        <f t="shared" si="148"/>
        <v>194.35512414172069</v>
      </c>
      <c r="K1240" s="27">
        <f t="shared" si="149"/>
        <v>1949.054623043331</v>
      </c>
    </row>
    <row r="1241" spans="1:11">
      <c r="A1241" s="26">
        <v>1191</v>
      </c>
      <c r="B1241" s="82">
        <f t="shared" si="150"/>
        <v>3.2921237647087764E-4</v>
      </c>
      <c r="C1241" s="58">
        <f t="shared" si="154"/>
        <v>42.694686850464521</v>
      </c>
      <c r="D1241" s="83">
        <f t="shared" si="151"/>
        <v>181.21405866561699</v>
      </c>
      <c r="E1241">
        <f t="shared" si="147"/>
        <v>10.810889722841139</v>
      </c>
      <c r="G1241">
        <v>1191</v>
      </c>
      <c r="H1241" s="13">
        <f t="shared" si="152"/>
        <v>5.1608656820917531E-2</v>
      </c>
      <c r="I1241">
        <f t="shared" si="153"/>
        <v>103.7685051837975</v>
      </c>
      <c r="J1241">
        <f t="shared" si="148"/>
        <v>194.31460892977424</v>
      </c>
      <c r="K1241" s="27">
        <f t="shared" si="149"/>
        <v>1948.2406701043762</v>
      </c>
    </row>
    <row r="1242" spans="1:11">
      <c r="A1242" s="26">
        <v>1192</v>
      </c>
      <c r="B1242" s="82">
        <f t="shared" si="150"/>
        <v>3.2921237647087764E-4</v>
      </c>
      <c r="C1242" s="58">
        <f t="shared" si="154"/>
        <v>42.695016062840992</v>
      </c>
      <c r="D1242" s="83">
        <f t="shared" si="151"/>
        <v>181.21468819670596</v>
      </c>
      <c r="E1242">
        <f t="shared" si="147"/>
        <v>10.810964834521078</v>
      </c>
      <c r="G1242">
        <v>1192</v>
      </c>
      <c r="H1242" s="13">
        <f t="shared" si="152"/>
        <v>5.1608656820917531E-2</v>
      </c>
      <c r="I1242">
        <f t="shared" si="153"/>
        <v>103.82011384061842</v>
      </c>
      <c r="J1242">
        <f t="shared" si="148"/>
        <v>194.27395865689033</v>
      </c>
      <c r="K1242" s="27">
        <f t="shared" si="149"/>
        <v>1947.4241739558474</v>
      </c>
    </row>
    <row r="1243" spans="1:11">
      <c r="A1243" s="26">
        <v>1193</v>
      </c>
      <c r="B1243" s="82">
        <f t="shared" si="150"/>
        <v>3.2921237647087764E-4</v>
      </c>
      <c r="C1243" s="58">
        <f t="shared" si="154"/>
        <v>42.695345275217463</v>
      </c>
      <c r="D1243" s="83">
        <f t="shared" si="151"/>
        <v>181.21531770097158</v>
      </c>
      <c r="E1243">
        <f t="shared" si="147"/>
        <v>10.811039943261628</v>
      </c>
      <c r="G1243">
        <v>1193</v>
      </c>
      <c r="H1243" s="13">
        <f t="shared" si="152"/>
        <v>5.1608656820917531E-2</v>
      </c>
      <c r="I1243">
        <f t="shared" si="153"/>
        <v>103.87172249743934</v>
      </c>
      <c r="J1243">
        <f t="shared" si="148"/>
        <v>194.23317280565925</v>
      </c>
      <c r="K1243" s="27">
        <f t="shared" si="149"/>
        <v>1946.6051258879081</v>
      </c>
    </row>
    <row r="1244" spans="1:11">
      <c r="A1244" s="26">
        <v>1194</v>
      </c>
      <c r="B1244" s="82">
        <f t="shared" si="150"/>
        <v>3.2921237647087764E-4</v>
      </c>
      <c r="C1244" s="58">
        <f t="shared" si="154"/>
        <v>42.695674487593934</v>
      </c>
      <c r="D1244" s="83">
        <f t="shared" si="151"/>
        <v>181.21594717841654</v>
      </c>
      <c r="E1244">
        <f t="shared" si="147"/>
        <v>10.811115049063075</v>
      </c>
      <c r="G1244">
        <v>1194</v>
      </c>
      <c r="H1244" s="13">
        <f t="shared" si="152"/>
        <v>5.1608656820917531E-2</v>
      </c>
      <c r="I1244">
        <f t="shared" si="153"/>
        <v>103.92333115426025</v>
      </c>
      <c r="J1244">
        <f t="shared" si="148"/>
        <v>194.1922508542861</v>
      </c>
      <c r="K1244" s="27">
        <f t="shared" si="149"/>
        <v>1945.7835171167935</v>
      </c>
    </row>
    <row r="1245" spans="1:11">
      <c r="A1245" s="26">
        <v>1195</v>
      </c>
      <c r="B1245" s="82">
        <f t="shared" si="150"/>
        <v>3.2921237647087764E-4</v>
      </c>
      <c r="C1245" s="58">
        <f t="shared" si="154"/>
        <v>42.696003699970404</v>
      </c>
      <c r="D1245" s="83">
        <f t="shared" si="151"/>
        <v>181.21657662904349</v>
      </c>
      <c r="E1245">
        <f t="shared" si="147"/>
        <v>10.811190151925706</v>
      </c>
      <c r="G1245">
        <v>1195</v>
      </c>
      <c r="H1245" s="13">
        <f t="shared" si="152"/>
        <v>5.1608656820917531E-2</v>
      </c>
      <c r="I1245">
        <f t="shared" si="153"/>
        <v>103.97493981108117</v>
      </c>
      <c r="J1245">
        <f t="shared" si="148"/>
        <v>194.15119227654026</v>
      </c>
      <c r="K1245" s="27">
        <f t="shared" si="149"/>
        <v>1944.9593387839523</v>
      </c>
    </row>
    <row r="1246" spans="1:11">
      <c r="A1246" s="26">
        <v>1196</v>
      </c>
      <c r="B1246" s="82">
        <f t="shared" si="150"/>
        <v>3.2921237647087764E-4</v>
      </c>
      <c r="C1246" s="58">
        <f t="shared" si="154"/>
        <v>42.696332912346875</v>
      </c>
      <c r="D1246" s="83">
        <f t="shared" si="151"/>
        <v>181.21720605285515</v>
      </c>
      <c r="E1246">
        <f t="shared" si="147"/>
        <v>10.811265251849811</v>
      </c>
      <c r="G1246">
        <v>1196</v>
      </c>
      <c r="H1246" s="13">
        <f t="shared" si="152"/>
        <v>5.1608656820917531E-2</v>
      </c>
      <c r="I1246">
        <f t="shared" si="153"/>
        <v>104.02654846790209</v>
      </c>
      <c r="J1246">
        <f t="shared" si="148"/>
        <v>194.10999654170411</v>
      </c>
      <c r="K1246" s="27">
        <f t="shared" si="149"/>
        <v>1944.1325819551855</v>
      </c>
    </row>
    <row r="1247" spans="1:11">
      <c r="A1247" s="26">
        <v>1197</v>
      </c>
      <c r="B1247" s="82">
        <f t="shared" si="150"/>
        <v>3.2921237647087764E-4</v>
      </c>
      <c r="C1247" s="58">
        <f t="shared" si="154"/>
        <v>42.696662124723346</v>
      </c>
      <c r="D1247" s="83">
        <f t="shared" si="151"/>
        <v>181.21783544985422</v>
      </c>
      <c r="E1247">
        <f t="shared" si="147"/>
        <v>10.811340348835676</v>
      </c>
      <c r="G1247">
        <v>1197</v>
      </c>
      <c r="H1247" s="13">
        <f t="shared" si="152"/>
        <v>5.1608656820917531E-2</v>
      </c>
      <c r="I1247">
        <f t="shared" si="153"/>
        <v>104.07815712472301</v>
      </c>
      <c r="J1247">
        <f t="shared" si="148"/>
        <v>194.06866311452103</v>
      </c>
      <c r="K1247" s="27">
        <f t="shared" si="149"/>
        <v>1943.3032376197673</v>
      </c>
    </row>
    <row r="1248" spans="1:11">
      <c r="A1248" s="26">
        <v>1198</v>
      </c>
      <c r="B1248" s="82">
        <f t="shared" si="150"/>
        <v>3.2921237647087764E-4</v>
      </c>
      <c r="C1248" s="58">
        <f t="shared" si="154"/>
        <v>42.696991337099817</v>
      </c>
      <c r="D1248" s="83">
        <f t="shared" si="151"/>
        <v>181.21846482004338</v>
      </c>
      <c r="E1248">
        <f t="shared" si="147"/>
        <v>10.811415442883591</v>
      </c>
      <c r="G1248">
        <v>1198</v>
      </c>
      <c r="H1248" s="13">
        <f t="shared" si="152"/>
        <v>5.1608656820917531E-2</v>
      </c>
      <c r="I1248">
        <f t="shared" si="153"/>
        <v>104.12976578154392</v>
      </c>
      <c r="J1248">
        <f t="shared" si="148"/>
        <v>194.02719145514263</v>
      </c>
      <c r="K1248" s="27">
        <f t="shared" si="149"/>
        <v>1942.4712966895502</v>
      </c>
    </row>
    <row r="1249" spans="1:11">
      <c r="A1249" s="26">
        <v>1199</v>
      </c>
      <c r="B1249" s="82">
        <f t="shared" si="150"/>
        <v>3.2921237647087764E-4</v>
      </c>
      <c r="C1249" s="58">
        <f t="shared" si="154"/>
        <v>42.697320549476288</v>
      </c>
      <c r="D1249" s="83">
        <f t="shared" si="151"/>
        <v>181.21909416342532</v>
      </c>
      <c r="E1249">
        <f t="shared" si="147"/>
        <v>10.81149053399384</v>
      </c>
      <c r="G1249">
        <v>1199</v>
      </c>
      <c r="H1249" s="13">
        <f t="shared" si="152"/>
        <v>5.1608656820917531E-2</v>
      </c>
      <c r="I1249">
        <f t="shared" si="153"/>
        <v>104.18137443836484</v>
      </c>
      <c r="J1249">
        <f t="shared" si="148"/>
        <v>193.98558101907497</v>
      </c>
      <c r="K1249" s="27">
        <f t="shared" si="149"/>
        <v>1941.6367499980622</v>
      </c>
    </row>
    <row r="1250" spans="1:11">
      <c r="A1250" s="26">
        <v>1200</v>
      </c>
      <c r="B1250" s="82">
        <f t="shared" si="150"/>
        <v>3.2921237647087764E-4</v>
      </c>
      <c r="C1250" s="58">
        <f t="shared" si="154"/>
        <v>42.697649761852759</v>
      </c>
      <c r="D1250" s="83">
        <f t="shared" si="151"/>
        <v>181.21972348000273</v>
      </c>
      <c r="E1250">
        <f t="shared" si="147"/>
        <v>10.811565622166711</v>
      </c>
      <c r="G1250">
        <v>1200</v>
      </c>
      <c r="H1250" s="13">
        <f t="shared" si="152"/>
        <v>5.1608656820917531E-2</v>
      </c>
      <c r="I1250">
        <f t="shared" si="153"/>
        <v>104.23298309518576</v>
      </c>
      <c r="J1250">
        <f t="shared" si="148"/>
        <v>193.94383125712434</v>
      </c>
      <c r="K1250" s="27">
        <f t="shared" si="149"/>
        <v>1940.7995882995856</v>
      </c>
    </row>
    <row r="1251" spans="1:11">
      <c r="A1251" s="26">
        <v>1201</v>
      </c>
      <c r="B1251" s="82">
        <f t="shared" si="150"/>
        <v>3.2921237647087764E-4</v>
      </c>
      <c r="C1251" s="58">
        <f t="shared" si="154"/>
        <v>42.69797897422923</v>
      </c>
      <c r="D1251" s="83">
        <f t="shared" si="151"/>
        <v>181.22035276977829</v>
      </c>
      <c r="E1251">
        <f t="shared" si="147"/>
        <v>10.811640707402494</v>
      </c>
      <c r="G1251">
        <v>1201</v>
      </c>
      <c r="H1251" s="13">
        <f t="shared" si="152"/>
        <v>5.1608656820917531E-2</v>
      </c>
      <c r="I1251">
        <f t="shared" si="153"/>
        <v>104.28459175200668</v>
      </c>
      <c r="J1251">
        <f t="shared" si="148"/>
        <v>193.9019416153418</v>
      </c>
      <c r="K1251" s="27">
        <f t="shared" si="149"/>
        <v>1939.9598022682237</v>
      </c>
    </row>
    <row r="1252" spans="1:11">
      <c r="A1252" s="26">
        <v>1202</v>
      </c>
      <c r="B1252" s="82">
        <f t="shared" si="150"/>
        <v>3.2921237647087764E-4</v>
      </c>
      <c r="C1252" s="58">
        <f t="shared" si="154"/>
        <v>42.698308186605701</v>
      </c>
      <c r="D1252" s="83">
        <f t="shared" si="151"/>
        <v>181.22098203275468</v>
      </c>
      <c r="E1252">
        <f t="shared" si="147"/>
        <v>10.811715789701475</v>
      </c>
      <c r="G1252">
        <v>1202</v>
      </c>
      <c r="H1252" s="13">
        <f t="shared" si="152"/>
        <v>5.1608656820917531E-2</v>
      </c>
      <c r="I1252">
        <f t="shared" si="153"/>
        <v>104.33620040882759</v>
      </c>
      <c r="J1252">
        <f t="shared" si="148"/>
        <v>193.85991153496707</v>
      </c>
      <c r="K1252" s="27">
        <f t="shared" si="149"/>
        <v>1939.1173824969521</v>
      </c>
    </row>
    <row r="1253" spans="1:11">
      <c r="A1253" s="26">
        <v>1203</v>
      </c>
      <c r="B1253" s="82">
        <f t="shared" si="150"/>
        <v>3.2921237647087764E-4</v>
      </c>
      <c r="C1253" s="58">
        <f t="shared" si="154"/>
        <v>42.698637398982171</v>
      </c>
      <c r="D1253" s="83">
        <f t="shared" si="151"/>
        <v>181.22161126893462</v>
      </c>
      <c r="E1253">
        <f t="shared" si="147"/>
        <v>10.811790869063943</v>
      </c>
      <c r="G1253">
        <v>1203</v>
      </c>
      <c r="H1253" s="13">
        <f t="shared" si="152"/>
        <v>5.1608656820917531E-2</v>
      </c>
      <c r="I1253">
        <f t="shared" si="153"/>
        <v>104.38780906564851</v>
      </c>
      <c r="J1253">
        <f t="shared" si="148"/>
        <v>193.81774045237159</v>
      </c>
      <c r="K1253" s="27">
        <f t="shared" si="149"/>
        <v>1938.2723194966568</v>
      </c>
    </row>
    <row r="1254" spans="1:11">
      <c r="A1254" s="26">
        <v>1204</v>
      </c>
      <c r="B1254" s="82">
        <f t="shared" si="150"/>
        <v>3.2921237647087764E-4</v>
      </c>
      <c r="C1254" s="58">
        <f t="shared" si="154"/>
        <v>42.698966611358642</v>
      </c>
      <c r="D1254" s="83">
        <f t="shared" si="151"/>
        <v>181.22224047832077</v>
      </c>
      <c r="E1254">
        <f t="shared" si="147"/>
        <v>10.811865945490181</v>
      </c>
      <c r="G1254">
        <v>1204</v>
      </c>
      <c r="H1254" s="13">
        <f t="shared" si="152"/>
        <v>5.1608656820917531E-2</v>
      </c>
      <c r="I1254">
        <f t="shared" si="153"/>
        <v>104.43941772246943</v>
      </c>
      <c r="J1254">
        <f t="shared" si="148"/>
        <v>193.77542779900062</v>
      </c>
      <c r="K1254" s="27">
        <f t="shared" si="149"/>
        <v>1937.4246036951552</v>
      </c>
    </row>
    <row r="1255" spans="1:11">
      <c r="A1255" s="26">
        <v>1205</v>
      </c>
      <c r="B1255" s="82">
        <f t="shared" si="150"/>
        <v>3.2921237647087764E-4</v>
      </c>
      <c r="C1255" s="58">
        <f t="shared" si="154"/>
        <v>42.699295823735113</v>
      </c>
      <c r="D1255" s="83">
        <f t="shared" si="151"/>
        <v>181.22286966091585</v>
      </c>
      <c r="E1255">
        <f t="shared" si="147"/>
        <v>10.811941018980482</v>
      </c>
      <c r="G1255">
        <v>1205</v>
      </c>
      <c r="H1255" s="13">
        <f t="shared" si="152"/>
        <v>5.1608656820917531E-2</v>
      </c>
      <c r="I1255">
        <f t="shared" si="153"/>
        <v>104.49102637929035</v>
      </c>
      <c r="J1255">
        <f t="shared" si="148"/>
        <v>193.73297300131441</v>
      </c>
      <c r="K1255" s="27">
        <f t="shared" si="149"/>
        <v>1936.5742254362028</v>
      </c>
    </row>
    <row r="1256" spans="1:11">
      <c r="A1256" s="26">
        <v>1206</v>
      </c>
      <c r="B1256" s="82">
        <f t="shared" si="150"/>
        <v>3.2921237647087764E-4</v>
      </c>
      <c r="C1256" s="58">
        <f t="shared" si="154"/>
        <v>42.699625036111584</v>
      </c>
      <c r="D1256" s="83">
        <f t="shared" si="151"/>
        <v>181.2234988167225</v>
      </c>
      <c r="E1256">
        <f t="shared" si="147"/>
        <v>10.812016089535133</v>
      </c>
      <c r="G1256">
        <v>1206</v>
      </c>
      <c r="H1256" s="13">
        <f t="shared" si="152"/>
        <v>5.1608656820917531E-2</v>
      </c>
      <c r="I1256">
        <f t="shared" si="153"/>
        <v>104.54263503611126</v>
      </c>
      <c r="J1256">
        <f t="shared" si="148"/>
        <v>193.69037548072853</v>
      </c>
      <c r="K1256" s="27">
        <f t="shared" si="149"/>
        <v>1935.7211749784865</v>
      </c>
    </row>
    <row r="1257" spans="1:11">
      <c r="A1257" s="26">
        <v>1207</v>
      </c>
      <c r="B1257" s="82">
        <f t="shared" si="150"/>
        <v>3.2921237647087764E-4</v>
      </c>
      <c r="C1257" s="58">
        <f t="shared" si="154"/>
        <v>42.699954248488055</v>
      </c>
      <c r="D1257" s="83">
        <f t="shared" si="151"/>
        <v>181.22412794574345</v>
      </c>
      <c r="E1257">
        <f t="shared" si="147"/>
        <v>10.812091157154413</v>
      </c>
      <c r="G1257">
        <v>1207</v>
      </c>
      <c r="H1257" s="13">
        <f t="shared" si="152"/>
        <v>5.1608656820917531E-2</v>
      </c>
      <c r="I1257">
        <f t="shared" si="153"/>
        <v>104.59424369293218</v>
      </c>
      <c r="J1257">
        <f t="shared" si="148"/>
        <v>193.64763465355321</v>
      </c>
      <c r="K1257" s="27">
        <f t="shared" si="149"/>
        <v>1934.8654424945969</v>
      </c>
    </row>
    <row r="1258" spans="1:11">
      <c r="A1258" s="26">
        <v>1208</v>
      </c>
      <c r="B1258" s="82">
        <f t="shared" si="150"/>
        <v>3.2921237647087764E-4</v>
      </c>
      <c r="C1258" s="58">
        <f t="shared" si="154"/>
        <v>42.700283460864526</v>
      </c>
      <c r="D1258" s="83">
        <f t="shared" si="151"/>
        <v>181.22475704798134</v>
      </c>
      <c r="E1258">
        <f t="shared" si="147"/>
        <v>10.812166221838618</v>
      </c>
      <c r="G1258">
        <v>1208</v>
      </c>
      <c r="H1258" s="13">
        <f t="shared" si="152"/>
        <v>5.1608656820917531E-2</v>
      </c>
      <c r="I1258">
        <f t="shared" si="153"/>
        <v>104.6458523497531</v>
      </c>
      <c r="J1258">
        <f t="shared" si="148"/>
        <v>193.60474993093172</v>
      </c>
      <c r="K1258" s="27">
        <f t="shared" si="149"/>
        <v>1934.0070180699906</v>
      </c>
    </row>
    <row r="1259" spans="1:11">
      <c r="A1259" s="26">
        <v>1209</v>
      </c>
      <c r="B1259" s="82">
        <f t="shared" si="150"/>
        <v>3.2921237647087764E-4</v>
      </c>
      <c r="C1259" s="58">
        <f t="shared" si="154"/>
        <v>42.700612673240997</v>
      </c>
      <c r="D1259" s="83">
        <f t="shared" si="151"/>
        <v>181.22538612343891</v>
      </c>
      <c r="E1259">
        <f t="shared" si="147"/>
        <v>10.812241283588031</v>
      </c>
      <c r="G1259">
        <v>1209</v>
      </c>
      <c r="H1259" s="13">
        <f t="shared" si="152"/>
        <v>5.1608656820917531E-2</v>
      </c>
      <c r="I1259">
        <f t="shared" si="153"/>
        <v>104.69746100657402</v>
      </c>
      <c r="J1259">
        <f t="shared" si="148"/>
        <v>193.56172071877785</v>
      </c>
      <c r="K1259" s="27">
        <f t="shared" si="149"/>
        <v>1933.1458917019315</v>
      </c>
    </row>
    <row r="1260" spans="1:11">
      <c r="A1260" s="26">
        <v>1210</v>
      </c>
      <c r="B1260" s="82">
        <f t="shared" si="150"/>
        <v>3.2921237647087764E-4</v>
      </c>
      <c r="C1260" s="58">
        <f t="shared" si="154"/>
        <v>42.700941885617468</v>
      </c>
      <c r="D1260" s="83">
        <f t="shared" si="151"/>
        <v>181.22601517211879</v>
      </c>
      <c r="E1260">
        <f t="shared" si="147"/>
        <v>10.812316342402942</v>
      </c>
      <c r="G1260">
        <v>1210</v>
      </c>
      <c r="H1260" s="13">
        <f t="shared" si="152"/>
        <v>5.1608656820917531E-2</v>
      </c>
      <c r="I1260">
        <f t="shared" si="153"/>
        <v>104.74906966339493</v>
      </c>
      <c r="J1260">
        <f t="shared" si="148"/>
        <v>193.51854641771234</v>
      </c>
      <c r="K1260" s="27">
        <f t="shared" si="149"/>
        <v>1932.2820532984181</v>
      </c>
    </row>
    <row r="1261" spans="1:11">
      <c r="A1261" s="26">
        <v>1211</v>
      </c>
      <c r="B1261" s="82">
        <f t="shared" si="150"/>
        <v>3.2921237647087764E-4</v>
      </c>
      <c r="C1261" s="58">
        <f t="shared" si="154"/>
        <v>42.701271097993938</v>
      </c>
      <c r="D1261" s="83">
        <f t="shared" si="151"/>
        <v>181.22664419402369</v>
      </c>
      <c r="E1261">
        <f t="shared" si="147"/>
        <v>10.81239139828363</v>
      </c>
      <c r="G1261">
        <v>1211</v>
      </c>
      <c r="H1261" s="13">
        <f t="shared" si="152"/>
        <v>5.1608656820917531E-2</v>
      </c>
      <c r="I1261">
        <f t="shared" si="153"/>
        <v>104.80067832021585</v>
      </c>
      <c r="J1261">
        <f t="shared" si="148"/>
        <v>193.47522642299825</v>
      </c>
      <c r="K1261" s="27">
        <f t="shared" si="149"/>
        <v>1931.4154926770889</v>
      </c>
    </row>
    <row r="1262" spans="1:11">
      <c r="A1262" s="26">
        <v>1212</v>
      </c>
      <c r="B1262" s="82">
        <f t="shared" si="150"/>
        <v>3.2921237647087764E-4</v>
      </c>
      <c r="C1262" s="58">
        <f t="shared" si="154"/>
        <v>42.701600310370409</v>
      </c>
      <c r="D1262" s="83">
        <f t="shared" si="151"/>
        <v>181.22727318915631</v>
      </c>
      <c r="E1262">
        <f t="shared" si="147"/>
        <v>10.812466451230394</v>
      </c>
      <c r="G1262">
        <v>1212</v>
      </c>
      <c r="H1262" s="13">
        <f t="shared" si="152"/>
        <v>5.1608656820917531E-2</v>
      </c>
      <c r="I1262">
        <f t="shared" si="153"/>
        <v>104.85228697703677</v>
      </c>
      <c r="J1262">
        <f t="shared" si="148"/>
        <v>193.4317601244754</v>
      </c>
      <c r="K1262" s="27">
        <f t="shared" si="149"/>
        <v>1930.5461995641188</v>
      </c>
    </row>
    <row r="1263" spans="1:11">
      <c r="A1263" s="26">
        <v>1213</v>
      </c>
      <c r="B1263" s="82">
        <f t="shared" si="150"/>
        <v>3.2921237647087764E-4</v>
      </c>
      <c r="C1263" s="58">
        <f t="shared" si="154"/>
        <v>42.70192952274688</v>
      </c>
      <c r="D1263" s="83">
        <f t="shared" si="151"/>
        <v>181.22790215751931</v>
      </c>
      <c r="E1263">
        <f t="shared" si="147"/>
        <v>10.812541501243516</v>
      </c>
      <c r="G1263">
        <v>1213</v>
      </c>
      <c r="H1263" s="13">
        <f t="shared" si="152"/>
        <v>5.1608656820917531E-2</v>
      </c>
      <c r="I1263">
        <f t="shared" si="153"/>
        <v>104.90389563385769</v>
      </c>
      <c r="J1263">
        <f t="shared" si="148"/>
        <v>193.38814690649372</v>
      </c>
      <c r="K1263" s="27">
        <f t="shared" si="149"/>
        <v>1929.67416359309</v>
      </c>
    </row>
    <row r="1264" spans="1:11">
      <c r="A1264" s="26">
        <v>1214</v>
      </c>
      <c r="B1264" s="82">
        <f t="shared" si="150"/>
        <v>3.2921237647087764E-4</v>
      </c>
      <c r="C1264" s="58">
        <f t="shared" si="154"/>
        <v>42.702258735123351</v>
      </c>
      <c r="D1264" s="83">
        <f t="shared" si="151"/>
        <v>181.2285310991154</v>
      </c>
      <c r="E1264">
        <f t="shared" si="147"/>
        <v>10.812616548323277</v>
      </c>
      <c r="G1264">
        <v>1214</v>
      </c>
      <c r="H1264" s="13">
        <f t="shared" si="152"/>
        <v>5.1608656820917531E-2</v>
      </c>
      <c r="I1264">
        <f t="shared" si="153"/>
        <v>104.9555042906786</v>
      </c>
      <c r="J1264">
        <f t="shared" si="148"/>
        <v>193.34438614784554</v>
      </c>
      <c r="K1264" s="27">
        <f t="shared" si="149"/>
        <v>1928.799374303848</v>
      </c>
    </row>
    <row r="1265" spans="1:11">
      <c r="A1265" s="26">
        <v>1215</v>
      </c>
      <c r="B1265" s="82">
        <f t="shared" si="150"/>
        <v>3.2921237647087764E-4</v>
      </c>
      <c r="C1265" s="58">
        <f t="shared" si="154"/>
        <v>42.702587947499822</v>
      </c>
      <c r="D1265" s="83">
        <f t="shared" si="151"/>
        <v>181.22916001394719</v>
      </c>
      <c r="E1265">
        <f t="shared" si="147"/>
        <v>10.812691592469967</v>
      </c>
      <c r="G1265">
        <v>1215</v>
      </c>
      <c r="H1265" s="13">
        <f t="shared" si="152"/>
        <v>5.1608656820917531E-2</v>
      </c>
      <c r="I1265">
        <f t="shared" si="153"/>
        <v>105.00711294749952</v>
      </c>
      <c r="J1265">
        <f t="shared" si="148"/>
        <v>193.30047722169667</v>
      </c>
      <c r="K1265" s="27">
        <f t="shared" si="149"/>
        <v>1927.9218211413381</v>
      </c>
    </row>
    <row r="1266" spans="1:11">
      <c r="A1266" s="26">
        <v>1216</v>
      </c>
      <c r="B1266" s="82">
        <f t="shared" si="150"/>
        <v>3.2921237647087764E-4</v>
      </c>
      <c r="C1266" s="58">
        <f t="shared" si="154"/>
        <v>42.702917159876293</v>
      </c>
      <c r="D1266" s="83">
        <f t="shared" si="151"/>
        <v>181.22978890201745</v>
      </c>
      <c r="E1266">
        <f t="shared" si="147"/>
        <v>10.81276663368388</v>
      </c>
      <c r="G1266">
        <v>1216</v>
      </c>
      <c r="H1266" s="13">
        <f t="shared" si="152"/>
        <v>5.1608656820917531E-2</v>
      </c>
      <c r="I1266">
        <f t="shared" si="153"/>
        <v>105.05872160432044</v>
      </c>
      <c r="J1266">
        <f t="shared" si="148"/>
        <v>193.25641949551658</v>
      </c>
      <c r="K1266" s="27">
        <f t="shared" si="149"/>
        <v>1927.041493454426</v>
      </c>
    </row>
    <row r="1267" spans="1:11">
      <c r="A1267" s="26">
        <v>1217</v>
      </c>
      <c r="B1267" s="82">
        <f t="shared" si="150"/>
        <v>3.2921237647087764E-4</v>
      </c>
      <c r="C1267" s="58">
        <f t="shared" si="154"/>
        <v>42.703246372252764</v>
      </c>
      <c r="D1267" s="83">
        <f t="shared" si="151"/>
        <v>181.23041776332883</v>
      </c>
      <c r="E1267">
        <f t="shared" ref="E1267:E1330" si="155">((D1267^2)+(D1267*D1268)+(D1268^2))*B1268/3</f>
        <v>10.812841671965295</v>
      </c>
      <c r="G1267">
        <v>1217</v>
      </c>
      <c r="H1267" s="13">
        <f t="shared" si="152"/>
        <v>5.1608656820917531E-2</v>
      </c>
      <c r="I1267">
        <f t="shared" si="153"/>
        <v>105.11033026114136</v>
      </c>
      <c r="J1267">
        <f t="shared" ref="J1267:J1330" si="156">IF($G$28&lt;$C$14,0,((($C$11^2)-((I1267-$C$13)^2))^0.5)+$C$16)</f>
        <v>193.21221233100735</v>
      </c>
      <c r="K1267" s="27">
        <f t="shared" ref="K1267:K1330" si="157">((J1267^2)+(J1267*J1268)+(J1268^2))*H1268/3</f>
        <v>1926.1583804946929</v>
      </c>
    </row>
    <row r="1268" spans="1:11">
      <c r="A1268" s="26">
        <v>1218</v>
      </c>
      <c r="B1268" s="82">
        <f t="shared" ref="B1268:B1331" si="158">C1268-C1267</f>
        <v>3.2921237647087764E-4</v>
      </c>
      <c r="C1268" s="58">
        <f t="shared" si="154"/>
        <v>42.703575584629235</v>
      </c>
      <c r="D1268" s="83">
        <f t="shared" ref="D1268:D1331" si="159">IF($G$28&lt;$C$14,0,((($C$11^2)-((C1268-$C$13)^2))^0.5)+$C$16)</f>
        <v>181.23104659788399</v>
      </c>
      <c r="E1268">
        <f t="shared" si="155"/>
        <v>10.812916707314498</v>
      </c>
      <c r="G1268">
        <v>1218</v>
      </c>
      <c r="H1268" s="13">
        <f t="shared" ref="H1268:H1331" si="160">I1268-I1267</f>
        <v>5.1608656820917531E-2</v>
      </c>
      <c r="I1268">
        <f t="shared" ref="I1268:I1331" si="161">($G$27-$C$14)/2000+I1267</f>
        <v>105.16193891796227</v>
      </c>
      <c r="J1268">
        <f t="shared" si="156"/>
        <v>193.16785508403126</v>
      </c>
      <c r="K1268" s="27">
        <f t="shared" si="157"/>
        <v>1925.2724714152182</v>
      </c>
    </row>
    <row r="1269" spans="1:11">
      <c r="A1269" s="26">
        <v>1219</v>
      </c>
      <c r="B1269" s="82">
        <f t="shared" si="158"/>
        <v>3.2921237647087764E-4</v>
      </c>
      <c r="C1269" s="58">
        <f t="shared" si="154"/>
        <v>42.703904797005706</v>
      </c>
      <c r="D1269" s="83">
        <f t="shared" si="159"/>
        <v>181.23167540568562</v>
      </c>
      <c r="E1269">
        <f t="shared" si="155"/>
        <v>10.81299173973178</v>
      </c>
      <c r="G1269">
        <v>1219</v>
      </c>
      <c r="H1269" s="13">
        <f t="shared" si="160"/>
        <v>5.1608656820917531E-2</v>
      </c>
      <c r="I1269">
        <f t="shared" si="161"/>
        <v>105.21354757478319</v>
      </c>
      <c r="J1269">
        <f t="shared" si="156"/>
        <v>193.12334710453757</v>
      </c>
      <c r="K1269" s="27">
        <f t="shared" si="157"/>
        <v>1924.3837552693374</v>
      </c>
    </row>
    <row r="1270" spans="1:11">
      <c r="A1270" s="26">
        <v>1220</v>
      </c>
      <c r="B1270" s="82">
        <f t="shared" si="158"/>
        <v>3.2921237647087764E-4</v>
      </c>
      <c r="C1270" s="58">
        <f t="shared" si="154"/>
        <v>42.704234009382176</v>
      </c>
      <c r="D1270" s="83">
        <f t="shared" si="159"/>
        <v>181.23230418673643</v>
      </c>
      <c r="E1270">
        <f t="shared" si="155"/>
        <v>10.813066769217427</v>
      </c>
      <c r="G1270">
        <v>1220</v>
      </c>
      <c r="H1270" s="13">
        <f t="shared" si="160"/>
        <v>5.1608656820917531E-2</v>
      </c>
      <c r="I1270">
        <f t="shared" si="161"/>
        <v>105.26515623160411</v>
      </c>
      <c r="J1270">
        <f t="shared" si="156"/>
        <v>193.07868773648784</v>
      </c>
      <c r="K1270" s="27">
        <f t="shared" si="157"/>
        <v>1923.4922210093816</v>
      </c>
    </row>
    <row r="1271" spans="1:11">
      <c r="A1271" s="26">
        <v>1221</v>
      </c>
      <c r="B1271" s="82">
        <f t="shared" si="158"/>
        <v>3.2921237647087764E-4</v>
      </c>
      <c r="C1271" s="58">
        <f t="shared" si="154"/>
        <v>42.704563221758647</v>
      </c>
      <c r="D1271" s="83">
        <f t="shared" si="159"/>
        <v>181.23293294103905</v>
      </c>
      <c r="E1271">
        <f t="shared" si="155"/>
        <v>10.813141795771722</v>
      </c>
      <c r="G1271">
        <v>1221</v>
      </c>
      <c r="H1271" s="13">
        <f t="shared" si="160"/>
        <v>5.1608656820917531E-2</v>
      </c>
      <c r="I1271">
        <f t="shared" si="161"/>
        <v>105.31676488842503</v>
      </c>
      <c r="J1271">
        <f t="shared" si="156"/>
        <v>193.03387631778</v>
      </c>
      <c r="K1271" s="27">
        <f t="shared" si="157"/>
        <v>1922.5978574853941</v>
      </c>
    </row>
    <row r="1272" spans="1:11">
      <c r="A1272" s="26">
        <v>1222</v>
      </c>
      <c r="B1272" s="82">
        <f t="shared" si="158"/>
        <v>3.2921237647087764E-4</v>
      </c>
      <c r="C1272" s="58">
        <f t="shared" si="154"/>
        <v>42.704892434135118</v>
      </c>
      <c r="D1272" s="83">
        <f t="shared" si="159"/>
        <v>181.2335616685962</v>
      </c>
      <c r="E1272">
        <f t="shared" si="155"/>
        <v>10.813216819394954</v>
      </c>
      <c r="G1272">
        <v>1222</v>
      </c>
      <c r="H1272" s="13">
        <f t="shared" si="160"/>
        <v>5.1608656820917531E-2</v>
      </c>
      <c r="I1272">
        <f t="shared" si="161"/>
        <v>105.36837354524594</v>
      </c>
      <c r="J1272">
        <f t="shared" si="156"/>
        <v>192.98891218017138</v>
      </c>
      <c r="K1272" s="27">
        <f t="shared" si="157"/>
        <v>1921.700653443829</v>
      </c>
    </row>
    <row r="1273" spans="1:11">
      <c r="A1273" s="26">
        <v>1223</v>
      </c>
      <c r="B1273" s="82">
        <f t="shared" si="158"/>
        <v>3.2921237647087764E-4</v>
      </c>
      <c r="C1273" s="58">
        <f t="shared" si="154"/>
        <v>42.705221646511589</v>
      </c>
      <c r="D1273" s="83">
        <f t="shared" si="159"/>
        <v>181.23419036941056</v>
      </c>
      <c r="E1273">
        <f t="shared" si="155"/>
        <v>10.813291840087409</v>
      </c>
      <c r="G1273">
        <v>1223</v>
      </c>
      <c r="H1273" s="13">
        <f t="shared" si="160"/>
        <v>5.1608656820917531E-2</v>
      </c>
      <c r="I1273">
        <f t="shared" si="161"/>
        <v>105.41998220206686</v>
      </c>
      <c r="J1273">
        <f t="shared" si="156"/>
        <v>192.9437946492003</v>
      </c>
      <c r="K1273" s="27">
        <f t="shared" si="157"/>
        <v>1920.8005975262261</v>
      </c>
    </row>
    <row r="1274" spans="1:11">
      <c r="A1274" s="26">
        <v>1224</v>
      </c>
      <c r="B1274" s="82">
        <f t="shared" si="158"/>
        <v>3.2921237647087764E-4</v>
      </c>
      <c r="C1274" s="58">
        <f t="shared" si="154"/>
        <v>42.70555085888806</v>
      </c>
      <c r="D1274" s="83">
        <f t="shared" si="159"/>
        <v>181.23481904348475</v>
      </c>
      <c r="E1274">
        <f t="shared" si="155"/>
        <v>10.813366857849369</v>
      </c>
      <c r="G1274">
        <v>1224</v>
      </c>
      <c r="H1274" s="13">
        <f t="shared" si="160"/>
        <v>5.1608656820917531E-2</v>
      </c>
      <c r="I1274">
        <f t="shared" si="161"/>
        <v>105.47159085888778</v>
      </c>
      <c r="J1274">
        <f t="shared" si="156"/>
        <v>192.89852304410618</v>
      </c>
      <c r="K1274" s="27">
        <f t="shared" si="157"/>
        <v>1919.8976782678619</v>
      </c>
    </row>
    <row r="1275" spans="1:11">
      <c r="A1275" s="26">
        <v>1225</v>
      </c>
      <c r="B1275" s="82">
        <f t="shared" si="158"/>
        <v>3.2921237647087764E-4</v>
      </c>
      <c r="C1275" s="58">
        <f t="shared" si="154"/>
        <v>42.705880071264531</v>
      </c>
      <c r="D1275" s="83">
        <f t="shared" si="159"/>
        <v>181.2354476908215</v>
      </c>
      <c r="E1275">
        <f t="shared" si="155"/>
        <v>10.81344187268113</v>
      </c>
      <c r="G1275">
        <v>1225</v>
      </c>
      <c r="H1275" s="13">
        <f t="shared" si="160"/>
        <v>5.1608656820917531E-2</v>
      </c>
      <c r="I1275">
        <f t="shared" si="161"/>
        <v>105.5231995157087</v>
      </c>
      <c r="J1275">
        <f t="shared" si="156"/>
        <v>192.85309667774888</v>
      </c>
      <c r="K1275" s="27">
        <f t="shared" si="157"/>
        <v>1918.991884096383</v>
      </c>
    </row>
    <row r="1276" spans="1:11">
      <c r="A1276" s="26">
        <v>1226</v>
      </c>
      <c r="B1276" s="82">
        <f t="shared" si="158"/>
        <v>3.2921237647087764E-4</v>
      </c>
      <c r="C1276" s="58">
        <f t="shared" si="154"/>
        <v>42.706209283641002</v>
      </c>
      <c r="D1276" s="83">
        <f t="shared" si="159"/>
        <v>181.23607631142349</v>
      </c>
      <c r="E1276">
        <f t="shared" si="155"/>
        <v>10.813516884582969</v>
      </c>
      <c r="G1276">
        <v>1226</v>
      </c>
      <c r="H1276" s="13">
        <f t="shared" si="160"/>
        <v>5.1608656820917531E-2</v>
      </c>
      <c r="I1276">
        <f t="shared" si="161"/>
        <v>105.57480817252961</v>
      </c>
      <c r="J1276">
        <f t="shared" si="156"/>
        <v>192.80751485652593</v>
      </c>
      <c r="K1276" s="27">
        <f t="shared" si="157"/>
        <v>1918.0832033304105</v>
      </c>
    </row>
    <row r="1277" spans="1:11">
      <c r="A1277" s="26">
        <v>1227</v>
      </c>
      <c r="B1277" s="82">
        <f t="shared" si="158"/>
        <v>3.2921237647087764E-4</v>
      </c>
      <c r="C1277" s="58">
        <f t="shared" si="154"/>
        <v>42.706538496017473</v>
      </c>
      <c r="D1277" s="83">
        <f t="shared" si="159"/>
        <v>181.23670490529335</v>
      </c>
      <c r="E1277">
        <f t="shared" si="155"/>
        <v>10.813591893555179</v>
      </c>
      <c r="G1277">
        <v>1227</v>
      </c>
      <c r="H1277" s="13">
        <f t="shared" si="160"/>
        <v>5.1608656820917531E-2</v>
      </c>
      <c r="I1277">
        <f t="shared" si="161"/>
        <v>105.62641682935053</v>
      </c>
      <c r="J1277">
        <f t="shared" si="156"/>
        <v>192.76177688028901</v>
      </c>
      <c r="K1277" s="27">
        <f t="shared" si="157"/>
        <v>1917.1716241781269</v>
      </c>
    </row>
    <row r="1278" spans="1:11">
      <c r="A1278" s="26">
        <v>1228</v>
      </c>
      <c r="B1278" s="82">
        <f t="shared" si="158"/>
        <v>3.2921237647087764E-4</v>
      </c>
      <c r="C1278" s="58">
        <f t="shared" si="154"/>
        <v>42.706867708393943</v>
      </c>
      <c r="D1278" s="83">
        <f t="shared" si="159"/>
        <v>181.23733347243382</v>
      </c>
      <c r="E1278">
        <f t="shared" si="155"/>
        <v>10.81366689959804</v>
      </c>
      <c r="G1278">
        <v>1228</v>
      </c>
      <c r="H1278" s="13">
        <f t="shared" si="160"/>
        <v>5.1608656820917531E-2</v>
      </c>
      <c r="I1278">
        <f t="shared" si="161"/>
        <v>105.67802548617145</v>
      </c>
      <c r="J1278">
        <f t="shared" si="156"/>
        <v>192.71588204225867</v>
      </c>
      <c r="K1278" s="27">
        <f t="shared" si="157"/>
        <v>1916.257134735831</v>
      </c>
    </row>
    <row r="1279" spans="1:11">
      <c r="A1279" s="26">
        <v>1229</v>
      </c>
      <c r="B1279" s="82">
        <f t="shared" si="158"/>
        <v>3.2921237647087764E-4</v>
      </c>
      <c r="C1279" s="58">
        <f t="shared" si="154"/>
        <v>42.707196920770414</v>
      </c>
      <c r="D1279" s="83">
        <f t="shared" si="159"/>
        <v>181.23796201284753</v>
      </c>
      <c r="E1279">
        <f t="shared" si="155"/>
        <v>10.813741902711842</v>
      </c>
      <c r="G1279">
        <v>1229</v>
      </c>
      <c r="H1279" s="13">
        <f t="shared" si="160"/>
        <v>5.1608656820917531E-2</v>
      </c>
      <c r="I1279">
        <f t="shared" si="161"/>
        <v>105.72963414299237</v>
      </c>
      <c r="J1279">
        <f t="shared" si="156"/>
        <v>192.66982962893766</v>
      </c>
      <c r="K1279" s="27">
        <f t="shared" si="157"/>
        <v>1915.3397229864797</v>
      </c>
    </row>
    <row r="1280" spans="1:11">
      <c r="A1280" s="26">
        <v>1230</v>
      </c>
      <c r="B1280" s="82">
        <f t="shared" si="158"/>
        <v>3.2921237647087764E-4</v>
      </c>
      <c r="C1280" s="58">
        <f t="shared" si="154"/>
        <v>42.707526133146885</v>
      </c>
      <c r="D1280" s="83">
        <f t="shared" si="159"/>
        <v>181.23859052653717</v>
      </c>
      <c r="E1280">
        <f t="shared" si="155"/>
        <v>10.813816902896873</v>
      </c>
      <c r="G1280">
        <v>1230</v>
      </c>
      <c r="H1280" s="13">
        <f t="shared" si="160"/>
        <v>5.1608656820917531E-2</v>
      </c>
      <c r="I1280">
        <f t="shared" si="161"/>
        <v>105.78124279981328</v>
      </c>
      <c r="J1280">
        <f t="shared" si="156"/>
        <v>192.62361892002292</v>
      </c>
      <c r="K1280" s="27">
        <f t="shared" si="157"/>
        <v>1914.4193767981942</v>
      </c>
    </row>
    <row r="1281" spans="1:11">
      <c r="A1281" s="26">
        <v>1231</v>
      </c>
      <c r="B1281" s="82">
        <f t="shared" si="158"/>
        <v>3.2921237647087764E-4</v>
      </c>
      <c r="C1281" s="58">
        <f t="shared" si="154"/>
        <v>42.707855345523356</v>
      </c>
      <c r="D1281" s="83">
        <f t="shared" si="159"/>
        <v>181.23921901350542</v>
      </c>
      <c r="E1281">
        <f t="shared" si="155"/>
        <v>10.813891900153415</v>
      </c>
      <c r="G1281">
        <v>1231</v>
      </c>
      <c r="H1281" s="13">
        <f t="shared" si="160"/>
        <v>5.1608656820917531E-2</v>
      </c>
      <c r="I1281">
        <f t="shared" si="161"/>
        <v>105.8328514566342</v>
      </c>
      <c r="J1281">
        <f t="shared" si="156"/>
        <v>192.57724918831576</v>
      </c>
      <c r="K1281" s="27">
        <f t="shared" si="157"/>
        <v>1913.4960839227433</v>
      </c>
    </row>
    <row r="1282" spans="1:11">
      <c r="A1282" s="26">
        <v>1232</v>
      </c>
      <c r="B1282" s="82">
        <f t="shared" si="158"/>
        <v>3.2921237647087764E-4</v>
      </c>
      <c r="C1282" s="58">
        <f t="shared" si="154"/>
        <v>42.708184557899827</v>
      </c>
      <c r="D1282" s="83">
        <f t="shared" si="159"/>
        <v>181.23984747375493</v>
      </c>
      <c r="E1282">
        <f t="shared" si="155"/>
        <v>10.813966894481752</v>
      </c>
      <c r="G1282">
        <v>1232</v>
      </c>
      <c r="H1282" s="13">
        <f t="shared" si="160"/>
        <v>5.1608656820917531E-2</v>
      </c>
      <c r="I1282">
        <f t="shared" si="161"/>
        <v>105.88446011345512</v>
      </c>
      <c r="J1282">
        <f t="shared" si="156"/>
        <v>192.53071969963085</v>
      </c>
      <c r="K1282" s="27">
        <f t="shared" si="157"/>
        <v>1912.5698319940054</v>
      </c>
    </row>
    <row r="1283" spans="1:11">
      <c r="A1283" s="26">
        <v>1233</v>
      </c>
      <c r="B1283" s="82">
        <f t="shared" si="158"/>
        <v>3.2921237647087764E-4</v>
      </c>
      <c r="C1283" s="58">
        <f t="shared" si="154"/>
        <v>42.708513770276298</v>
      </c>
      <c r="D1283" s="83">
        <f t="shared" si="159"/>
        <v>181.24047590728841</v>
      </c>
      <c r="E1283">
        <f t="shared" si="155"/>
        <v>10.814041885882174</v>
      </c>
      <c r="G1283">
        <v>1233</v>
      </c>
      <c r="H1283" s="13">
        <f t="shared" si="160"/>
        <v>5.1608656820917531E-2</v>
      </c>
      <c r="I1283">
        <f t="shared" si="161"/>
        <v>105.93606877027604</v>
      </c>
      <c r="J1283">
        <f t="shared" si="156"/>
        <v>192.48402971270343</v>
      </c>
      <c r="K1283" s="27">
        <f t="shared" si="157"/>
        <v>1911.6406085263995</v>
      </c>
    </row>
    <row r="1284" spans="1:11">
      <c r="A1284" s="26">
        <v>1234</v>
      </c>
      <c r="B1284" s="82">
        <f t="shared" si="158"/>
        <v>3.2921237647087764E-4</v>
      </c>
      <c r="C1284" s="58">
        <f t="shared" si="154"/>
        <v>42.708842982652769</v>
      </c>
      <c r="D1284" s="83">
        <f t="shared" si="159"/>
        <v>181.2411043141085</v>
      </c>
      <c r="E1284">
        <f t="shared" si="155"/>
        <v>10.814116874354967</v>
      </c>
      <c r="G1284">
        <v>1234</v>
      </c>
      <c r="H1284" s="13">
        <f t="shared" si="160"/>
        <v>5.1608656820917531E-2</v>
      </c>
      <c r="I1284">
        <f t="shared" si="161"/>
        <v>105.98767742709695</v>
      </c>
      <c r="J1284">
        <f t="shared" si="156"/>
        <v>192.43717847909497</v>
      </c>
      <c r="K1284" s="27">
        <f t="shared" si="157"/>
        <v>1910.7084009132877</v>
      </c>
    </row>
    <row r="1285" spans="1:11">
      <c r="A1285" s="26">
        <v>1235</v>
      </c>
      <c r="B1285" s="82">
        <f t="shared" si="158"/>
        <v>3.2921237647087764E-4</v>
      </c>
      <c r="C1285" s="58">
        <f t="shared" si="154"/>
        <v>42.70917219502924</v>
      </c>
      <c r="D1285" s="83">
        <f t="shared" si="159"/>
        <v>181.24173269421792</v>
      </c>
      <c r="E1285">
        <f t="shared" si="155"/>
        <v>10.814191859900419</v>
      </c>
      <c r="G1285">
        <v>1235</v>
      </c>
      <c r="H1285" s="13">
        <f t="shared" si="160"/>
        <v>5.1608656820917531E-2</v>
      </c>
      <c r="I1285">
        <f t="shared" si="161"/>
        <v>106.03928608391787</v>
      </c>
      <c r="J1285">
        <f t="shared" si="156"/>
        <v>192.39016524309716</v>
      </c>
      <c r="K1285" s="27">
        <f t="shared" si="157"/>
        <v>1909.7731964253562</v>
      </c>
    </row>
    <row r="1286" spans="1:11">
      <c r="A1286" s="26">
        <v>1236</v>
      </c>
      <c r="B1286" s="82">
        <f t="shared" si="158"/>
        <v>3.2921237647087764E-4</v>
      </c>
      <c r="C1286" s="58">
        <f t="shared" si="154"/>
        <v>42.70950140740571</v>
      </c>
      <c r="D1286" s="83">
        <f t="shared" si="159"/>
        <v>181.24236104761928</v>
      </c>
      <c r="E1286">
        <f t="shared" si="155"/>
        <v>10.814266842518803</v>
      </c>
      <c r="G1286">
        <v>1236</v>
      </c>
      <c r="H1286" s="13">
        <f t="shared" si="160"/>
        <v>5.1608656820917531E-2</v>
      </c>
      <c r="I1286">
        <f t="shared" si="161"/>
        <v>106.09089474073879</v>
      </c>
      <c r="J1286">
        <f t="shared" si="156"/>
        <v>192.34298924163417</v>
      </c>
      <c r="K1286" s="27">
        <f t="shared" si="157"/>
        <v>1908.8349822089588</v>
      </c>
    </row>
    <row r="1287" spans="1:11">
      <c r="A1287" s="26">
        <v>1237</v>
      </c>
      <c r="B1287" s="82">
        <f t="shared" si="158"/>
        <v>3.2921237647087764E-4</v>
      </c>
      <c r="C1287" s="58">
        <f t="shared" si="154"/>
        <v>42.709830619782181</v>
      </c>
      <c r="D1287" s="83">
        <f t="shared" si="159"/>
        <v>181.24298937431527</v>
      </c>
      <c r="E1287">
        <f t="shared" si="155"/>
        <v>10.814341822210421</v>
      </c>
      <c r="G1287">
        <v>1237</v>
      </c>
      <c r="H1287" s="13">
        <f t="shared" si="160"/>
        <v>5.1608656820917531E-2</v>
      </c>
      <c r="I1287">
        <f t="shared" si="161"/>
        <v>106.14250339755971</v>
      </c>
      <c r="J1287">
        <f t="shared" si="156"/>
        <v>192.29564970416348</v>
      </c>
      <c r="K1287" s="27">
        <f t="shared" si="157"/>
        <v>1907.8937452844414</v>
      </c>
    </row>
    <row r="1288" spans="1:11">
      <c r="A1288" s="26">
        <v>1238</v>
      </c>
      <c r="B1288" s="82">
        <f t="shared" si="158"/>
        <v>3.2921237647087764E-4</v>
      </c>
      <c r="C1288" s="58">
        <f t="shared" si="154"/>
        <v>42.710159832158652</v>
      </c>
      <c r="D1288" s="83">
        <f t="shared" si="159"/>
        <v>181.24361767430861</v>
      </c>
      <c r="E1288">
        <f t="shared" si="155"/>
        <v>10.814416798975548</v>
      </c>
      <c r="G1288">
        <v>1238</v>
      </c>
      <c r="H1288" s="13">
        <f t="shared" si="160"/>
        <v>5.1608656820917531E-2</v>
      </c>
      <c r="I1288">
        <f t="shared" si="161"/>
        <v>106.19411205438062</v>
      </c>
      <c r="J1288">
        <f t="shared" si="156"/>
        <v>192.24814585257454</v>
      </c>
      <c r="K1288" s="27">
        <f t="shared" si="157"/>
        <v>1906.9494725444274</v>
      </c>
    </row>
    <row r="1289" spans="1:11">
      <c r="A1289" s="26">
        <v>1239</v>
      </c>
      <c r="B1289" s="82">
        <f t="shared" si="158"/>
        <v>3.2921237647087764E-4</v>
      </c>
      <c r="C1289" s="58">
        <f t="shared" si="154"/>
        <v>42.710489044535123</v>
      </c>
      <c r="D1289" s="83">
        <f t="shared" si="159"/>
        <v>181.24424594760191</v>
      </c>
      <c r="E1289">
        <f t="shared" si="155"/>
        <v>10.814491772814476</v>
      </c>
      <c r="G1289">
        <v>1239</v>
      </c>
      <c r="H1289" s="13">
        <f t="shared" si="160"/>
        <v>5.1608656820917531E-2</v>
      </c>
      <c r="I1289">
        <f t="shared" si="161"/>
        <v>106.24572071120154</v>
      </c>
      <c r="J1289">
        <f t="shared" si="156"/>
        <v>192.20047690108595</v>
      </c>
      <c r="K1289" s="27">
        <f t="shared" si="157"/>
        <v>1906.0021507520814</v>
      </c>
    </row>
    <row r="1290" spans="1:11">
      <c r="A1290" s="26">
        <v>1240</v>
      </c>
      <c r="B1290" s="82">
        <f t="shared" si="158"/>
        <v>3.2921237647087764E-4</v>
      </c>
      <c r="C1290" s="58">
        <f t="shared" si="154"/>
        <v>42.710818256911594</v>
      </c>
      <c r="D1290" s="83">
        <f t="shared" si="159"/>
        <v>181.24487419419785</v>
      </c>
      <c r="E1290">
        <f t="shared" si="155"/>
        <v>10.814566743727482</v>
      </c>
      <c r="G1290">
        <v>1240</v>
      </c>
      <c r="H1290" s="13">
        <f t="shared" si="160"/>
        <v>5.1608656820917531E-2</v>
      </c>
      <c r="I1290">
        <f t="shared" si="161"/>
        <v>106.29732936802246</v>
      </c>
      <c r="J1290">
        <f t="shared" si="156"/>
        <v>192.15264205614073</v>
      </c>
      <c r="K1290" s="27">
        <f t="shared" si="157"/>
        <v>1905.0517665393343</v>
      </c>
    </row>
    <row r="1291" spans="1:11">
      <c r="A1291" s="26">
        <v>1241</v>
      </c>
      <c r="B1291" s="82">
        <f t="shared" si="158"/>
        <v>3.2921237647087764E-4</v>
      </c>
      <c r="C1291" s="58">
        <f t="shared" si="154"/>
        <v>42.711147469288065</v>
      </c>
      <c r="D1291" s="83">
        <f t="shared" si="159"/>
        <v>181.24550241409912</v>
      </c>
      <c r="E1291">
        <f t="shared" si="155"/>
        <v>10.814641711714863</v>
      </c>
      <c r="G1291">
        <v>1241</v>
      </c>
      <c r="H1291" s="13">
        <f t="shared" si="160"/>
        <v>5.1608656820917531E-2</v>
      </c>
      <c r="I1291">
        <f t="shared" si="161"/>
        <v>106.34893802484338</v>
      </c>
      <c r="J1291">
        <f t="shared" si="156"/>
        <v>192.1046405162997</v>
      </c>
      <c r="K1291" s="27">
        <f t="shared" si="157"/>
        <v>1904.0983064050827</v>
      </c>
    </row>
    <row r="1292" spans="1:11">
      <c r="A1292" s="26">
        <v>1242</v>
      </c>
      <c r="B1292" s="82">
        <f t="shared" si="158"/>
        <v>3.2921237647087764E-4</v>
      </c>
      <c r="C1292" s="58">
        <f t="shared" si="154"/>
        <v>42.711476681664536</v>
      </c>
      <c r="D1292" s="83">
        <f t="shared" si="159"/>
        <v>181.2461306073084</v>
      </c>
      <c r="E1292">
        <f t="shared" si="155"/>
        <v>10.814716676776897</v>
      </c>
      <c r="G1292">
        <v>1242</v>
      </c>
      <c r="H1292" s="13">
        <f t="shared" si="160"/>
        <v>5.1608656820917531E-2</v>
      </c>
      <c r="I1292">
        <f t="shared" si="161"/>
        <v>106.4005466816643</v>
      </c>
      <c r="J1292">
        <f t="shared" si="156"/>
        <v>192.05647147213293</v>
      </c>
      <c r="K1292" s="27">
        <f t="shared" si="157"/>
        <v>1903.1417567133533</v>
      </c>
    </row>
    <row r="1293" spans="1:11">
      <c r="A1293" s="26">
        <v>1243</v>
      </c>
      <c r="B1293" s="82">
        <f t="shared" si="158"/>
        <v>3.2921237647087764E-4</v>
      </c>
      <c r="C1293" s="58">
        <f t="shared" si="154"/>
        <v>42.711805894041007</v>
      </c>
      <c r="D1293" s="83">
        <f t="shared" si="159"/>
        <v>181.24675877382833</v>
      </c>
      <c r="E1293">
        <f t="shared" si="155"/>
        <v>10.814791638913869</v>
      </c>
      <c r="G1293">
        <v>1243</v>
      </c>
      <c r="H1293" s="13">
        <f t="shared" si="160"/>
        <v>5.1608656820917531E-2</v>
      </c>
      <c r="I1293">
        <f t="shared" si="161"/>
        <v>106.45215533848521</v>
      </c>
      <c r="J1293">
        <f t="shared" si="156"/>
        <v>192.0081341061094</v>
      </c>
      <c r="K1293" s="27">
        <f t="shared" si="157"/>
        <v>1902.1821036914343</v>
      </c>
    </row>
    <row r="1294" spans="1:11">
      <c r="A1294" s="26">
        <v>1244</v>
      </c>
      <c r="B1294" s="82">
        <f t="shared" si="158"/>
        <v>3.2921237647087764E-4</v>
      </c>
      <c r="C1294" s="58">
        <f t="shared" si="154"/>
        <v>42.712135106417477</v>
      </c>
      <c r="D1294" s="83">
        <f t="shared" si="159"/>
        <v>181.24738691366161</v>
      </c>
      <c r="E1294">
        <f t="shared" si="155"/>
        <v>10.814866598126068</v>
      </c>
      <c r="G1294">
        <v>1244</v>
      </c>
      <c r="H1294" s="13">
        <f t="shared" si="160"/>
        <v>5.1608656820917531E-2</v>
      </c>
      <c r="I1294">
        <f t="shared" si="161"/>
        <v>106.50376399530613</v>
      </c>
      <c r="J1294">
        <f t="shared" si="156"/>
        <v>191.9596275924844</v>
      </c>
      <c r="K1294" s="27">
        <f t="shared" si="157"/>
        <v>1901.2193334279727</v>
      </c>
    </row>
    <row r="1295" spans="1:11">
      <c r="A1295" s="26">
        <v>1245</v>
      </c>
      <c r="B1295" s="82">
        <f t="shared" si="158"/>
        <v>3.2921237647087764E-4</v>
      </c>
      <c r="C1295" s="58">
        <f t="shared" si="154"/>
        <v>42.712464318793948</v>
      </c>
      <c r="D1295" s="83">
        <f t="shared" si="159"/>
        <v>181.24801502681089</v>
      </c>
      <c r="E1295">
        <f t="shared" si="155"/>
        <v>10.814941554413778</v>
      </c>
      <c r="G1295">
        <v>1245</v>
      </c>
      <c r="H1295" s="13">
        <f t="shared" si="160"/>
        <v>5.1608656820917531E-2</v>
      </c>
      <c r="I1295">
        <f t="shared" si="161"/>
        <v>106.55537265212705</v>
      </c>
      <c r="J1295">
        <f t="shared" si="156"/>
        <v>191.91095109718515</v>
      </c>
      <c r="K1295" s="27">
        <f t="shared" si="157"/>
        <v>1900.2534318710398</v>
      </c>
    </row>
    <row r="1296" spans="1:11">
      <c r="A1296" s="26">
        <v>1246</v>
      </c>
      <c r="B1296" s="82">
        <f t="shared" si="158"/>
        <v>3.2921237647087764E-4</v>
      </c>
      <c r="C1296" s="58">
        <f t="shared" ref="C1296:C1359" si="162">($C$37-$C$36)/2000+C1295</f>
        <v>42.712793531170419</v>
      </c>
      <c r="D1296" s="83">
        <f t="shared" si="159"/>
        <v>181.24864311327883</v>
      </c>
      <c r="E1296">
        <f t="shared" si="155"/>
        <v>10.815016507777282</v>
      </c>
      <c r="G1296">
        <v>1246</v>
      </c>
      <c r="H1296" s="13">
        <f t="shared" si="160"/>
        <v>5.1608656820917531E-2</v>
      </c>
      <c r="I1296">
        <f t="shared" si="161"/>
        <v>106.60698130894797</v>
      </c>
      <c r="J1296">
        <f t="shared" si="156"/>
        <v>191.86210377769422</v>
      </c>
      <c r="K1296" s="27">
        <f t="shared" si="157"/>
        <v>1899.2843848261575</v>
      </c>
    </row>
    <row r="1297" spans="1:11">
      <c r="A1297" s="26">
        <v>1247</v>
      </c>
      <c r="B1297" s="82">
        <f t="shared" si="158"/>
        <v>3.2921237647087764E-4</v>
      </c>
      <c r="C1297" s="58">
        <f t="shared" si="162"/>
        <v>42.71312274354689</v>
      </c>
      <c r="D1297" s="83">
        <f t="shared" si="159"/>
        <v>181.24927117306811</v>
      </c>
      <c r="E1297">
        <f t="shared" si="155"/>
        <v>10.815091458216868</v>
      </c>
      <c r="G1297">
        <v>1247</v>
      </c>
      <c r="H1297" s="13">
        <f t="shared" si="160"/>
        <v>5.1608656820917531E-2</v>
      </c>
      <c r="I1297">
        <f t="shared" si="161"/>
        <v>106.65858996576888</v>
      </c>
      <c r="J1297">
        <f t="shared" si="156"/>
        <v>191.81308478293082</v>
      </c>
      <c r="K1297" s="27">
        <f t="shared" si="157"/>
        <v>1898.3121779542919</v>
      </c>
    </row>
    <row r="1298" spans="1:11">
      <c r="A1298" s="26">
        <v>1248</v>
      </c>
      <c r="B1298" s="82">
        <f t="shared" si="158"/>
        <v>3.2921237647087764E-4</v>
      </c>
      <c r="C1298" s="58">
        <f t="shared" si="162"/>
        <v>42.713451955923361</v>
      </c>
      <c r="D1298" s="83">
        <f t="shared" si="159"/>
        <v>181.24989920618137</v>
      </c>
      <c r="E1298">
        <f t="shared" si="155"/>
        <v>10.815166405732818</v>
      </c>
      <c r="G1298">
        <v>1248</v>
      </c>
      <c r="H1298" s="13">
        <f t="shared" si="160"/>
        <v>5.1608656820917531E-2</v>
      </c>
      <c r="I1298">
        <f t="shared" si="161"/>
        <v>106.7101986225898</v>
      </c>
      <c r="J1298">
        <f t="shared" si="156"/>
        <v>191.76389325312996</v>
      </c>
      <c r="K1298" s="27">
        <f t="shared" si="157"/>
        <v>1897.3367967698084</v>
      </c>
    </row>
    <row r="1299" spans="1:11">
      <c r="A1299" s="26">
        <v>1249</v>
      </c>
      <c r="B1299" s="82">
        <f t="shared" si="158"/>
        <v>3.2921237647087764E-4</v>
      </c>
      <c r="C1299" s="58">
        <f t="shared" si="162"/>
        <v>42.713781168299832</v>
      </c>
      <c r="D1299" s="83">
        <f t="shared" si="159"/>
        <v>181.25052721262131</v>
      </c>
      <c r="E1299">
        <f t="shared" si="155"/>
        <v>10.815241350325421</v>
      </c>
      <c r="G1299">
        <v>1249</v>
      </c>
      <c r="H1299" s="13">
        <f t="shared" si="160"/>
        <v>5.1608656820917531E-2</v>
      </c>
      <c r="I1299">
        <f t="shared" si="161"/>
        <v>106.76180727941072</v>
      </c>
      <c r="J1299">
        <f t="shared" si="156"/>
        <v>191.71452831971936</v>
      </c>
      <c r="K1299" s="27">
        <f t="shared" si="157"/>
        <v>1896.3582266383885</v>
      </c>
    </row>
    <row r="1300" spans="1:11">
      <c r="A1300" s="26">
        <v>1250</v>
      </c>
      <c r="B1300" s="82">
        <f t="shared" si="158"/>
        <v>3.2921237647087764E-4</v>
      </c>
      <c r="C1300" s="58">
        <f t="shared" si="162"/>
        <v>42.714110380676303</v>
      </c>
      <c r="D1300" s="83">
        <f t="shared" si="159"/>
        <v>181.25115519239057</v>
      </c>
      <c r="E1300">
        <f t="shared" si="155"/>
        <v>10.815316291994959</v>
      </c>
      <c r="G1300">
        <v>1250</v>
      </c>
      <c r="H1300" s="13">
        <f t="shared" si="160"/>
        <v>5.1608656820917531E-2</v>
      </c>
      <c r="I1300">
        <f t="shared" si="161"/>
        <v>106.81341593623164</v>
      </c>
      <c r="J1300">
        <f t="shared" si="156"/>
        <v>191.66498910519408</v>
      </c>
      <c r="K1300" s="27">
        <f t="shared" si="157"/>
        <v>1895.3764527749115</v>
      </c>
    </row>
    <row r="1301" spans="1:11">
      <c r="A1301" s="26">
        <v>1251</v>
      </c>
      <c r="B1301" s="82">
        <f t="shared" si="158"/>
        <v>3.2921237647087764E-4</v>
      </c>
      <c r="C1301" s="58">
        <f t="shared" si="162"/>
        <v>42.714439593052774</v>
      </c>
      <c r="D1301" s="83">
        <f t="shared" si="159"/>
        <v>181.25178314549186</v>
      </c>
      <c r="E1301">
        <f t="shared" si="155"/>
        <v>10.815391230741717</v>
      </c>
      <c r="G1301">
        <v>1251</v>
      </c>
      <c r="H1301" s="13">
        <f t="shared" si="160"/>
        <v>5.1608656820917531E-2</v>
      </c>
      <c r="I1301">
        <f t="shared" si="161"/>
        <v>106.86502459305255</v>
      </c>
      <c r="J1301">
        <f t="shared" si="156"/>
        <v>191.61527472298886</v>
      </c>
      <c r="K1301" s="27">
        <f t="shared" si="157"/>
        <v>1894.3914602412897</v>
      </c>
    </row>
    <row r="1302" spans="1:11">
      <c r="A1302" s="26">
        <v>1252</v>
      </c>
      <c r="B1302" s="82">
        <f t="shared" si="158"/>
        <v>3.2921237647087764E-4</v>
      </c>
      <c r="C1302" s="58">
        <f t="shared" si="162"/>
        <v>42.714768805429244</v>
      </c>
      <c r="D1302" s="83">
        <f t="shared" si="159"/>
        <v>181.25241107192778</v>
      </c>
      <c r="E1302">
        <f t="shared" si="155"/>
        <v>10.815466166565983</v>
      </c>
      <c r="G1302">
        <v>1252</v>
      </c>
      <c r="H1302" s="13">
        <f t="shared" si="160"/>
        <v>5.1608656820917531E-2</v>
      </c>
      <c r="I1302">
        <f t="shared" si="161"/>
        <v>106.91663324987347</v>
      </c>
      <c r="J1302">
        <f t="shared" si="156"/>
        <v>191.56538427734796</v>
      </c>
      <c r="K1302" s="27">
        <f t="shared" si="157"/>
        <v>1893.4032339442736</v>
      </c>
    </row>
    <row r="1303" spans="1:11">
      <c r="A1303" s="26">
        <v>1253</v>
      </c>
      <c r="B1303" s="82">
        <f t="shared" si="158"/>
        <v>3.2921237647087764E-4</v>
      </c>
      <c r="C1303" s="58">
        <f t="shared" si="162"/>
        <v>42.715098017805715</v>
      </c>
      <c r="D1303" s="83">
        <f t="shared" si="159"/>
        <v>181.25303897170105</v>
      </c>
      <c r="E1303">
        <f t="shared" si="155"/>
        <v>10.815541099468041</v>
      </c>
      <c r="G1303">
        <v>1253</v>
      </c>
      <c r="H1303" s="13">
        <f t="shared" si="160"/>
        <v>5.1608656820917531E-2</v>
      </c>
      <c r="I1303">
        <f t="shared" si="161"/>
        <v>106.96824190669439</v>
      </c>
      <c r="J1303">
        <f t="shared" si="156"/>
        <v>191.51531686319285</v>
      </c>
      <c r="K1303" s="27">
        <f t="shared" si="157"/>
        <v>1892.411758633205</v>
      </c>
    </row>
    <row r="1304" spans="1:11">
      <c r="A1304" s="26">
        <v>1254</v>
      </c>
      <c r="B1304" s="82">
        <f t="shared" si="158"/>
        <v>3.2921237647087764E-4</v>
      </c>
      <c r="C1304" s="58">
        <f t="shared" si="162"/>
        <v>42.715427230182186</v>
      </c>
      <c r="D1304" s="83">
        <f t="shared" si="159"/>
        <v>181.25366684481432</v>
      </c>
      <c r="E1304">
        <f t="shared" si="155"/>
        <v>10.815616029448174</v>
      </c>
      <c r="G1304">
        <v>1254</v>
      </c>
      <c r="H1304" s="13">
        <f t="shared" si="160"/>
        <v>5.1608656820917531E-2</v>
      </c>
      <c r="I1304">
        <f t="shared" si="161"/>
        <v>107.01985056351531</v>
      </c>
      <c r="J1304">
        <f t="shared" si="156"/>
        <v>191.46507156598707</v>
      </c>
      <c r="K1304" s="27">
        <f t="shared" si="157"/>
        <v>1891.4170188977369</v>
      </c>
    </row>
    <row r="1305" spans="1:11">
      <c r="A1305" s="26">
        <v>1255</v>
      </c>
      <c r="B1305" s="82">
        <f t="shared" si="158"/>
        <v>3.2921237647087764E-4</v>
      </c>
      <c r="C1305" s="58">
        <f t="shared" si="162"/>
        <v>42.715756442558657</v>
      </c>
      <c r="D1305" s="83">
        <f t="shared" si="159"/>
        <v>181.25429469127022</v>
      </c>
      <c r="E1305">
        <f t="shared" si="155"/>
        <v>10.815690956506664</v>
      </c>
      <c r="G1305">
        <v>1255</v>
      </c>
      <c r="H1305" s="13">
        <f t="shared" si="160"/>
        <v>5.1608656820917531E-2</v>
      </c>
      <c r="I1305">
        <f t="shared" si="161"/>
        <v>107.07145922033622</v>
      </c>
      <c r="J1305">
        <f t="shared" si="156"/>
        <v>191.4146474615988</v>
      </c>
      <c r="K1305" s="27">
        <f t="shared" si="157"/>
        <v>1890.4189991655037</v>
      </c>
    </row>
    <row r="1306" spans="1:11">
      <c r="A1306" s="26">
        <v>1256</v>
      </c>
      <c r="B1306" s="82">
        <f t="shared" si="158"/>
        <v>3.2921237647087764E-4</v>
      </c>
      <c r="C1306" s="58">
        <f t="shared" si="162"/>
        <v>42.716085654935128</v>
      </c>
      <c r="D1306" s="83">
        <f t="shared" si="159"/>
        <v>181.25492251107144</v>
      </c>
      <c r="E1306">
        <f t="shared" si="155"/>
        <v>10.815765880643802</v>
      </c>
      <c r="G1306">
        <v>1256</v>
      </c>
      <c r="H1306" s="13">
        <f t="shared" si="160"/>
        <v>5.1608656820917531E-2</v>
      </c>
      <c r="I1306">
        <f t="shared" si="161"/>
        <v>107.12306787715714</v>
      </c>
      <c r="J1306">
        <f t="shared" si="156"/>
        <v>191.36404361616064</v>
      </c>
      <c r="K1306" s="27">
        <f t="shared" si="157"/>
        <v>1889.4176836997506</v>
      </c>
    </row>
    <row r="1307" spans="1:11">
      <c r="A1307" s="26">
        <v>1257</v>
      </c>
      <c r="B1307" s="82">
        <f t="shared" si="158"/>
        <v>3.2921237647087764E-4</v>
      </c>
      <c r="C1307" s="58">
        <f t="shared" si="162"/>
        <v>42.716414867311599</v>
      </c>
      <c r="D1307" s="83">
        <f t="shared" si="159"/>
        <v>181.25555030422066</v>
      </c>
      <c r="E1307">
        <f t="shared" si="155"/>
        <v>10.815840801859871</v>
      </c>
      <c r="G1307">
        <v>1257</v>
      </c>
      <c r="H1307" s="13">
        <f t="shared" si="160"/>
        <v>5.1608656820917531E-2</v>
      </c>
      <c r="I1307">
        <f t="shared" si="161"/>
        <v>107.17467653397806</v>
      </c>
      <c r="J1307">
        <f t="shared" si="156"/>
        <v>191.31325908592686</v>
      </c>
      <c r="K1307" s="27">
        <f t="shared" si="157"/>
        <v>1888.4130565969183</v>
      </c>
    </row>
    <row r="1308" spans="1:11">
      <c r="A1308" s="26">
        <v>1258</v>
      </c>
      <c r="B1308" s="82">
        <f t="shared" si="158"/>
        <v>3.2921237647087764E-4</v>
      </c>
      <c r="C1308" s="58">
        <f t="shared" si="162"/>
        <v>42.71674407968807</v>
      </c>
      <c r="D1308" s="83">
        <f t="shared" si="159"/>
        <v>181.25617807072052</v>
      </c>
      <c r="E1308">
        <f t="shared" si="155"/>
        <v>10.815915720155152</v>
      </c>
      <c r="G1308">
        <v>1258</v>
      </c>
      <c r="H1308" s="13">
        <f t="shared" si="160"/>
        <v>5.1608656820917531E-2</v>
      </c>
      <c r="I1308">
        <f t="shared" si="161"/>
        <v>107.22628519079898</v>
      </c>
      <c r="J1308">
        <f t="shared" si="156"/>
        <v>191.26229291712787</v>
      </c>
      <c r="K1308" s="27">
        <f t="shared" si="157"/>
        <v>1887.4051017841782</v>
      </c>
    </row>
    <row r="1309" spans="1:11">
      <c r="A1309" s="26">
        <v>1259</v>
      </c>
      <c r="B1309" s="82">
        <f t="shared" si="158"/>
        <v>3.2921237647087764E-4</v>
      </c>
      <c r="C1309" s="58">
        <f t="shared" si="162"/>
        <v>42.717073292064541</v>
      </c>
      <c r="D1309" s="83">
        <f t="shared" si="159"/>
        <v>181.25680581057367</v>
      </c>
      <c r="E1309">
        <f t="shared" si="155"/>
        <v>10.815990635529934</v>
      </c>
      <c r="G1309">
        <v>1259</v>
      </c>
      <c r="H1309" s="13">
        <f t="shared" si="160"/>
        <v>5.1608656820917531E-2</v>
      </c>
      <c r="I1309">
        <f t="shared" si="161"/>
        <v>107.27789384761989</v>
      </c>
      <c r="J1309">
        <f t="shared" si="156"/>
        <v>191.21114414582195</v>
      </c>
      <c r="K1309" s="27">
        <f t="shared" si="157"/>
        <v>1886.3938030169245</v>
      </c>
    </row>
    <row r="1310" spans="1:11">
      <c r="A1310" s="26">
        <v>1260</v>
      </c>
      <c r="B1310" s="82">
        <f t="shared" si="158"/>
        <v>3.2921237647087764E-4</v>
      </c>
      <c r="C1310" s="58">
        <f t="shared" si="162"/>
        <v>42.717402504441012</v>
      </c>
      <c r="D1310" s="83">
        <f t="shared" si="159"/>
        <v>181.25743352378279</v>
      </c>
      <c r="E1310">
        <f t="shared" si="155"/>
        <v>10.816065547984499</v>
      </c>
      <c r="G1310">
        <v>1260</v>
      </c>
      <c r="H1310" s="13">
        <f t="shared" si="160"/>
        <v>5.1608656820917531E-2</v>
      </c>
      <c r="I1310">
        <f t="shared" si="161"/>
        <v>107.32950250444081</v>
      </c>
      <c r="J1310">
        <f t="shared" si="156"/>
        <v>191.15981179774394</v>
      </c>
      <c r="K1310" s="27">
        <f t="shared" si="157"/>
        <v>1885.379143876213</v>
      </c>
    </row>
    <row r="1311" spans="1:11">
      <c r="A1311" s="26">
        <v>1261</v>
      </c>
      <c r="B1311" s="82">
        <f t="shared" si="158"/>
        <v>3.2921237647087764E-4</v>
      </c>
      <c r="C1311" s="58">
        <f t="shared" si="162"/>
        <v>42.717731716817482</v>
      </c>
      <c r="D1311" s="83">
        <f t="shared" si="159"/>
        <v>181.25806121035055</v>
      </c>
      <c r="E1311">
        <f t="shared" si="155"/>
        <v>10.816140457519131</v>
      </c>
      <c r="G1311">
        <v>1261</v>
      </c>
      <c r="H1311" s="13">
        <f t="shared" si="160"/>
        <v>5.1608656820917531E-2</v>
      </c>
      <c r="I1311">
        <f t="shared" si="161"/>
        <v>107.38111116126173</v>
      </c>
      <c r="J1311">
        <f t="shared" si="156"/>
        <v>191.10829488815136</v>
      </c>
      <c r="K1311" s="27">
        <f t="shared" si="157"/>
        <v>1884.361107766156</v>
      </c>
    </row>
    <row r="1312" spans="1:11">
      <c r="A1312" s="26">
        <v>1262</v>
      </c>
      <c r="B1312" s="82">
        <f t="shared" si="158"/>
        <v>3.2921237647087764E-4</v>
      </c>
      <c r="C1312" s="58">
        <f t="shared" si="162"/>
        <v>42.718060929193953</v>
      </c>
      <c r="D1312" s="83">
        <f t="shared" si="159"/>
        <v>181.25868887027957</v>
      </c>
      <c r="E1312">
        <f t="shared" si="155"/>
        <v>10.816215364134111</v>
      </c>
      <c r="G1312">
        <v>1262</v>
      </c>
      <c r="H1312" s="13">
        <f t="shared" si="160"/>
        <v>5.1608656820917531E-2</v>
      </c>
      <c r="I1312">
        <f t="shared" si="161"/>
        <v>107.43271981808265</v>
      </c>
      <c r="J1312">
        <f t="shared" si="156"/>
        <v>191.05659242166703</v>
      </c>
      <c r="K1312" s="27">
        <f t="shared" si="157"/>
        <v>1883.3396779112597</v>
      </c>
    </row>
    <row r="1313" spans="1:11">
      <c r="A1313" s="26">
        <v>1263</v>
      </c>
      <c r="B1313" s="82">
        <f t="shared" si="158"/>
        <v>3.2921237647087764E-4</v>
      </c>
      <c r="C1313" s="58">
        <f t="shared" si="162"/>
        <v>42.718390141570424</v>
      </c>
      <c r="D1313" s="83">
        <f t="shared" si="159"/>
        <v>181.25931650357256</v>
      </c>
      <c r="E1313">
        <f t="shared" si="155"/>
        <v>10.816290267829736</v>
      </c>
      <c r="G1313">
        <v>1263</v>
      </c>
      <c r="H1313" s="13">
        <f t="shared" si="160"/>
        <v>5.1608656820917531E-2</v>
      </c>
      <c r="I1313">
        <f t="shared" si="161"/>
        <v>107.48432847490356</v>
      </c>
      <c r="J1313">
        <f t="shared" si="156"/>
        <v>191.00470339211915</v>
      </c>
      <c r="K1313" s="27">
        <f t="shared" si="157"/>
        <v>1882.3148373537163</v>
      </c>
    </row>
    <row r="1314" spans="1:11">
      <c r="A1314" s="26">
        <v>1264</v>
      </c>
      <c r="B1314" s="82">
        <f t="shared" si="158"/>
        <v>3.2921237647087764E-4</v>
      </c>
      <c r="C1314" s="58">
        <f t="shared" si="162"/>
        <v>42.718719353946895</v>
      </c>
      <c r="D1314" s="83">
        <f t="shared" si="159"/>
        <v>181.25994411023214</v>
      </c>
      <c r="E1314">
        <f t="shared" si="155"/>
        <v>10.816365168606277</v>
      </c>
      <c r="G1314">
        <v>1264</v>
      </c>
      <c r="H1314" s="13">
        <f t="shared" si="160"/>
        <v>5.1608656820917531E-2</v>
      </c>
      <c r="I1314">
        <f t="shared" si="161"/>
        <v>107.53593713172448</v>
      </c>
      <c r="J1314">
        <f t="shared" si="156"/>
        <v>190.95262678237793</v>
      </c>
      <c r="K1314" s="27">
        <f t="shared" si="157"/>
        <v>1881.2865689506386</v>
      </c>
    </row>
    <row r="1315" spans="1:11">
      <c r="A1315" s="26">
        <v>1265</v>
      </c>
      <c r="B1315" s="82">
        <f t="shared" si="158"/>
        <v>3.2921237647087764E-4</v>
      </c>
      <c r="C1315" s="58">
        <f t="shared" si="162"/>
        <v>42.719048566323366</v>
      </c>
      <c r="D1315" s="83">
        <f t="shared" si="159"/>
        <v>181.26057169026097</v>
      </c>
      <c r="E1315">
        <f t="shared" si="155"/>
        <v>10.816440066464025</v>
      </c>
      <c r="G1315">
        <v>1265</v>
      </c>
      <c r="H1315" s="13">
        <f t="shared" si="160"/>
        <v>5.1608656820917531E-2</v>
      </c>
      <c r="I1315">
        <f t="shared" si="161"/>
        <v>107.5875457885454</v>
      </c>
      <c r="J1315">
        <f t="shared" si="156"/>
        <v>190.90036156418896</v>
      </c>
      <c r="K1315" s="27">
        <f t="shared" si="157"/>
        <v>1880.2548553712404</v>
      </c>
    </row>
    <row r="1316" spans="1:11">
      <c r="A1316" s="26">
        <v>1266</v>
      </c>
      <c r="B1316" s="82">
        <f t="shared" si="158"/>
        <v>3.2921237647087764E-4</v>
      </c>
      <c r="C1316" s="58">
        <f t="shared" si="162"/>
        <v>42.719377778699837</v>
      </c>
      <c r="D1316" s="83">
        <f t="shared" si="159"/>
        <v>181.26119924366176</v>
      </c>
      <c r="E1316">
        <f t="shared" si="155"/>
        <v>10.816514961403264</v>
      </c>
      <c r="G1316">
        <v>1266</v>
      </c>
      <c r="H1316" s="13">
        <f t="shared" si="160"/>
        <v>5.1608656820917531E-2</v>
      </c>
      <c r="I1316">
        <f t="shared" si="161"/>
        <v>107.63915444536632</v>
      </c>
      <c r="J1316">
        <f t="shared" si="156"/>
        <v>190.84790669800356</v>
      </c>
      <c r="K1316" s="27">
        <f t="shared" si="157"/>
        <v>1879.2196790939622</v>
      </c>
    </row>
    <row r="1317" spans="1:11">
      <c r="A1317" s="26">
        <v>1267</v>
      </c>
      <c r="B1317" s="82">
        <f t="shared" si="158"/>
        <v>3.2921237647087764E-4</v>
      </c>
      <c r="C1317" s="58">
        <f t="shared" si="162"/>
        <v>42.719706991076308</v>
      </c>
      <c r="D1317" s="83">
        <f t="shared" si="159"/>
        <v>181.2618267704371</v>
      </c>
      <c r="E1317">
        <f t="shared" si="155"/>
        <v>10.816589853424276</v>
      </c>
      <c r="G1317">
        <v>1267</v>
      </c>
      <c r="H1317" s="13">
        <f t="shared" si="160"/>
        <v>5.1608656820917531E-2</v>
      </c>
      <c r="I1317">
        <f t="shared" si="161"/>
        <v>107.69076310218723</v>
      </c>
      <c r="J1317">
        <f t="shared" si="156"/>
        <v>190.79526113280548</v>
      </c>
      <c r="K1317" s="27">
        <f t="shared" si="157"/>
        <v>1878.1810224035396</v>
      </c>
    </row>
    <row r="1318" spans="1:11">
      <c r="A1318" s="26">
        <v>1268</v>
      </c>
      <c r="B1318" s="82">
        <f t="shared" si="158"/>
        <v>3.2921237647087764E-4</v>
      </c>
      <c r="C1318" s="58">
        <f t="shared" si="162"/>
        <v>42.720036203452779</v>
      </c>
      <c r="D1318" s="83">
        <f t="shared" si="159"/>
        <v>181.2624542705897</v>
      </c>
      <c r="E1318">
        <f t="shared" si="155"/>
        <v>10.816664742527344</v>
      </c>
      <c r="G1318">
        <v>1268</v>
      </c>
      <c r="H1318" s="13">
        <f t="shared" si="160"/>
        <v>5.1608656820917531E-2</v>
      </c>
      <c r="I1318">
        <f t="shared" si="161"/>
        <v>107.74237175900815</v>
      </c>
      <c r="J1318">
        <f t="shared" si="156"/>
        <v>190.74242380593438</v>
      </c>
      <c r="K1318" s="27">
        <f t="shared" si="157"/>
        <v>1877.1388673880126</v>
      </c>
    </row>
    <row r="1319" spans="1:11">
      <c r="A1319" s="26">
        <v>1269</v>
      </c>
      <c r="B1319" s="82">
        <f t="shared" si="158"/>
        <v>3.2921237647087764E-4</v>
      </c>
      <c r="C1319" s="58">
        <f t="shared" si="162"/>
        <v>42.720365415829249</v>
      </c>
      <c r="D1319" s="83">
        <f t="shared" si="159"/>
        <v>181.26308174412219</v>
      </c>
      <c r="E1319">
        <f t="shared" si="155"/>
        <v>10.816739628712755</v>
      </c>
      <c r="G1319">
        <v>1269</v>
      </c>
      <c r="H1319" s="13">
        <f t="shared" si="160"/>
        <v>5.1608656820917531E-2</v>
      </c>
      <c r="I1319">
        <f t="shared" si="161"/>
        <v>107.79398041582907</v>
      </c>
      <c r="J1319">
        <f t="shared" si="156"/>
        <v>190.68939364290543</v>
      </c>
      <c r="K1319" s="27">
        <f t="shared" si="157"/>
        <v>1876.093195935674</v>
      </c>
    </row>
    <row r="1320" spans="1:11">
      <c r="A1320" s="26">
        <v>1270</v>
      </c>
      <c r="B1320" s="82">
        <f t="shared" si="158"/>
        <v>3.2921237647087764E-4</v>
      </c>
      <c r="C1320" s="58">
        <f t="shared" si="162"/>
        <v>42.72069462820572</v>
      </c>
      <c r="D1320" s="83">
        <f t="shared" si="159"/>
        <v>181.26370919103721</v>
      </c>
      <c r="E1320">
        <f t="shared" si="155"/>
        <v>10.816814511980793</v>
      </c>
      <c r="G1320">
        <v>1270</v>
      </c>
      <c r="H1320" s="13">
        <f t="shared" si="160"/>
        <v>5.1608656820917531E-2</v>
      </c>
      <c r="I1320">
        <f t="shared" si="161"/>
        <v>107.84558907264999</v>
      </c>
      <c r="J1320">
        <f t="shared" si="156"/>
        <v>190.63616955722577</v>
      </c>
      <c r="K1320" s="27">
        <f t="shared" si="157"/>
        <v>1875.0439897319586</v>
      </c>
    </row>
    <row r="1321" spans="1:11">
      <c r="A1321" s="26">
        <v>1271</v>
      </c>
      <c r="B1321" s="82">
        <f t="shared" si="158"/>
        <v>3.2921237647087764E-4</v>
      </c>
      <c r="C1321" s="58">
        <f t="shared" si="162"/>
        <v>42.721023840582191</v>
      </c>
      <c r="D1321" s="83">
        <f t="shared" si="159"/>
        <v>181.26433661133746</v>
      </c>
      <c r="E1321">
        <f t="shared" si="155"/>
        <v>10.816889392331738</v>
      </c>
      <c r="G1321">
        <v>1271</v>
      </c>
      <c r="H1321" s="13">
        <f t="shared" si="160"/>
        <v>5.1608656820917531E-2</v>
      </c>
      <c r="I1321">
        <f t="shared" si="161"/>
        <v>107.8971977294709</v>
      </c>
      <c r="J1321">
        <f t="shared" si="156"/>
        <v>190.58275045020679</v>
      </c>
      <c r="K1321" s="27">
        <f t="shared" si="157"/>
        <v>1873.9912302562664</v>
      </c>
    </row>
    <row r="1322" spans="1:11">
      <c r="A1322" s="26">
        <v>1272</v>
      </c>
      <c r="B1322" s="82">
        <f t="shared" si="158"/>
        <v>3.2921237647087764E-4</v>
      </c>
      <c r="C1322" s="58">
        <f t="shared" si="162"/>
        <v>42.721353052958662</v>
      </c>
      <c r="D1322" s="83">
        <f t="shared" si="159"/>
        <v>181.26496400502555</v>
      </c>
      <c r="E1322">
        <f t="shared" si="155"/>
        <v>10.816964269765881</v>
      </c>
      <c r="G1322">
        <v>1272</v>
      </c>
      <c r="H1322" s="13">
        <f t="shared" si="160"/>
        <v>5.1608656820917531E-2</v>
      </c>
      <c r="I1322">
        <f t="shared" si="161"/>
        <v>107.94880638629182</v>
      </c>
      <c r="J1322">
        <f t="shared" si="156"/>
        <v>190.52913521077286</v>
      </c>
      <c r="K1322" s="27">
        <f t="shared" si="157"/>
        <v>1872.9348987787234</v>
      </c>
    </row>
    <row r="1323" spans="1:11">
      <c r="A1323" s="26">
        <v>1273</v>
      </c>
      <c r="B1323" s="82">
        <f t="shared" si="158"/>
        <v>3.2921237647087764E-4</v>
      </c>
      <c r="C1323" s="58">
        <f t="shared" si="162"/>
        <v>42.721682265335133</v>
      </c>
      <c r="D1323" s="83">
        <f t="shared" si="159"/>
        <v>181.26559137210415</v>
      </c>
      <c r="E1323">
        <f t="shared" si="155"/>
        <v>10.817039144283498</v>
      </c>
      <c r="G1323">
        <v>1273</v>
      </c>
      <c r="H1323" s="13">
        <f t="shared" si="160"/>
        <v>5.1608656820917531E-2</v>
      </c>
      <c r="I1323">
        <f t="shared" si="161"/>
        <v>108.00041504311274</v>
      </c>
      <c r="J1323">
        <f t="shared" si="156"/>
        <v>190.47532271526603</v>
      </c>
      <c r="K1323" s="27">
        <f t="shared" si="157"/>
        <v>1871.874976356874</v>
      </c>
    </row>
    <row r="1324" spans="1:11">
      <c r="A1324" s="26">
        <v>1274</v>
      </c>
      <c r="B1324" s="82">
        <f t="shared" si="158"/>
        <v>3.2921237647087764E-4</v>
      </c>
      <c r="C1324" s="58">
        <f t="shared" si="162"/>
        <v>42.722011477711604</v>
      </c>
      <c r="D1324" s="83">
        <f t="shared" si="159"/>
        <v>181.26621871257595</v>
      </c>
      <c r="E1324">
        <f t="shared" si="155"/>
        <v>10.817114015884878</v>
      </c>
      <c r="G1324">
        <v>1274</v>
      </c>
      <c r="H1324" s="13">
        <f t="shared" si="160"/>
        <v>5.1608656820917531E-2</v>
      </c>
      <c r="I1324">
        <f t="shared" si="161"/>
        <v>108.05202369993366</v>
      </c>
      <c r="J1324">
        <f t="shared" si="156"/>
        <v>190.42131182724691</v>
      </c>
      <c r="K1324" s="27">
        <f t="shared" si="157"/>
        <v>1870.8114438323089</v>
      </c>
    </row>
    <row r="1325" spans="1:11">
      <c r="A1325" s="26">
        <v>1275</v>
      </c>
      <c r="B1325" s="82">
        <f t="shared" si="158"/>
        <v>3.2921237647087764E-4</v>
      </c>
      <c r="C1325" s="58">
        <f t="shared" si="162"/>
        <v>42.722340690088075</v>
      </c>
      <c r="D1325" s="83">
        <f t="shared" si="159"/>
        <v>181.26684602644357</v>
      </c>
      <c r="E1325">
        <f t="shared" si="155"/>
        <v>10.817188884570305</v>
      </c>
      <c r="G1325">
        <v>1275</v>
      </c>
      <c r="H1325" s="13">
        <f t="shared" si="160"/>
        <v>5.1608656820917531E-2</v>
      </c>
      <c r="I1325">
        <f t="shared" si="161"/>
        <v>108.10363235675457</v>
      </c>
      <c r="J1325">
        <f t="shared" si="156"/>
        <v>190.36710139729115</v>
      </c>
      <c r="K1325" s="27">
        <f t="shared" si="157"/>
        <v>1869.7442818272186</v>
      </c>
    </row>
    <row r="1326" spans="1:11">
      <c r="A1326" s="26">
        <v>1276</v>
      </c>
      <c r="B1326" s="82">
        <f t="shared" si="158"/>
        <v>3.2921237647087764E-4</v>
      </c>
      <c r="C1326" s="58">
        <f t="shared" si="162"/>
        <v>42.722669902464546</v>
      </c>
      <c r="D1326" s="83">
        <f t="shared" si="159"/>
        <v>181.26747331370967</v>
      </c>
      <c r="E1326">
        <f t="shared" si="155"/>
        <v>10.817263750340059</v>
      </c>
      <c r="G1326">
        <v>1276</v>
      </c>
      <c r="H1326" s="13">
        <f t="shared" si="160"/>
        <v>5.1608656820917531E-2</v>
      </c>
      <c r="I1326">
        <f t="shared" si="161"/>
        <v>108.15524101357549</v>
      </c>
      <c r="J1326">
        <f t="shared" si="156"/>
        <v>190.31269026278198</v>
      </c>
      <c r="K1326" s="27">
        <f t="shared" si="157"/>
        <v>1868.6734707408798</v>
      </c>
    </row>
    <row r="1327" spans="1:11">
      <c r="A1327" s="26">
        <v>1277</v>
      </c>
      <c r="B1327" s="82">
        <f t="shared" si="158"/>
        <v>3.2921237647087764E-4</v>
      </c>
      <c r="C1327" s="58">
        <f t="shared" si="162"/>
        <v>42.722999114841016</v>
      </c>
      <c r="D1327" s="83">
        <f t="shared" si="159"/>
        <v>181.26810057437689</v>
      </c>
      <c r="E1327">
        <f t="shared" si="155"/>
        <v>10.817338613194428</v>
      </c>
      <c r="G1327">
        <v>1277</v>
      </c>
      <c r="H1327" s="13">
        <f t="shared" si="160"/>
        <v>5.1608656820917531E-2</v>
      </c>
      <c r="I1327">
        <f t="shared" si="161"/>
        <v>108.20684967039641</v>
      </c>
      <c r="J1327">
        <f t="shared" si="156"/>
        <v>190.25807724769828</v>
      </c>
      <c r="K1327" s="27">
        <f t="shared" si="157"/>
        <v>1867.5989907460655</v>
      </c>
    </row>
    <row r="1328" spans="1:11">
      <c r="A1328" s="26">
        <v>1278</v>
      </c>
      <c r="B1328" s="82">
        <f t="shared" si="158"/>
        <v>3.2921237647087764E-4</v>
      </c>
      <c r="C1328" s="58">
        <f t="shared" si="162"/>
        <v>42.723328327217487</v>
      </c>
      <c r="D1328" s="83">
        <f t="shared" si="159"/>
        <v>181.26872780844792</v>
      </c>
      <c r="E1328">
        <f t="shared" si="155"/>
        <v>10.817413473133692</v>
      </c>
      <c r="G1328">
        <v>1278</v>
      </c>
      <c r="H1328" s="13">
        <f t="shared" si="160"/>
        <v>5.1608656820917531E-2</v>
      </c>
      <c r="I1328">
        <f t="shared" si="161"/>
        <v>108.25845832721733</v>
      </c>
      <c r="J1328">
        <f t="shared" si="156"/>
        <v>190.20326116239835</v>
      </c>
      <c r="K1328" s="27">
        <f t="shared" si="157"/>
        <v>1866.5208217853813</v>
      </c>
    </row>
    <row r="1329" spans="1:11">
      <c r="A1329" s="26">
        <v>1279</v>
      </c>
      <c r="B1329" s="82">
        <f t="shared" si="158"/>
        <v>3.2921237647087764E-4</v>
      </c>
      <c r="C1329" s="58">
        <f t="shared" si="162"/>
        <v>42.723657539593958</v>
      </c>
      <c r="D1329" s="83">
        <f t="shared" si="159"/>
        <v>181.26935501592538</v>
      </c>
      <c r="E1329">
        <f t="shared" si="155"/>
        <v>10.817488330158136</v>
      </c>
      <c r="G1329">
        <v>1279</v>
      </c>
      <c r="H1329" s="13">
        <f t="shared" si="160"/>
        <v>5.1608656820917531E-2</v>
      </c>
      <c r="I1329">
        <f t="shared" si="161"/>
        <v>108.31006698403824</v>
      </c>
      <c r="J1329">
        <f t="shared" si="156"/>
        <v>190.14824080339895</v>
      </c>
      <c r="K1329" s="27">
        <f t="shared" si="157"/>
        <v>1865.4389435675241</v>
      </c>
    </row>
    <row r="1330" spans="1:11">
      <c r="A1330" s="26">
        <v>1280</v>
      </c>
      <c r="B1330" s="82">
        <f t="shared" si="158"/>
        <v>3.2921237647087764E-4</v>
      </c>
      <c r="C1330" s="58">
        <f t="shared" si="162"/>
        <v>42.723986751970429</v>
      </c>
      <c r="D1330" s="83">
        <f t="shared" si="159"/>
        <v>181.26998219681192</v>
      </c>
      <c r="E1330">
        <f t="shared" si="155"/>
        <v>10.817563184268044</v>
      </c>
      <c r="G1330">
        <v>1280</v>
      </c>
      <c r="H1330" s="13">
        <f t="shared" si="160"/>
        <v>5.1608656820917531E-2</v>
      </c>
      <c r="I1330">
        <f t="shared" si="161"/>
        <v>108.36167564085916</v>
      </c>
      <c r="J1330">
        <f t="shared" si="156"/>
        <v>190.09301495314989</v>
      </c>
      <c r="K1330" s="27">
        <f t="shared" si="157"/>
        <v>1864.3533355634652</v>
      </c>
    </row>
    <row r="1331" spans="1:11">
      <c r="A1331" s="26">
        <v>1281</v>
      </c>
      <c r="B1331" s="82">
        <f t="shared" si="158"/>
        <v>3.2921237647087764E-4</v>
      </c>
      <c r="C1331" s="58">
        <f t="shared" si="162"/>
        <v>42.7243159643469</v>
      </c>
      <c r="D1331" s="83">
        <f t="shared" si="159"/>
        <v>181.27060935111018</v>
      </c>
      <c r="E1331">
        <f t="shared" ref="E1331:E1394" si="163">((D1331^2)+(D1331*D1332)+(D1332^2))*B1332/3</f>
        <v>10.817638035463695</v>
      </c>
      <c r="G1331">
        <v>1281</v>
      </c>
      <c r="H1331" s="13">
        <f t="shared" si="160"/>
        <v>5.1608656820917531E-2</v>
      </c>
      <c r="I1331">
        <f t="shared" si="161"/>
        <v>108.41328429768008</v>
      </c>
      <c r="J1331">
        <f t="shared" ref="J1331:J1394" si="164">IF($G$28&lt;$C$14,0,((($C$11^2)-((I1331-$C$13)^2))^0.5)+$C$16)</f>
        <v>190.03758237980367</v>
      </c>
      <c r="K1331" s="27">
        <f t="shared" ref="K1331:K1394" si="165">((J1331^2)+(J1331*J1332)+(J1332^2))*H1332/3</f>
        <v>1863.2639770025423</v>
      </c>
    </row>
    <row r="1332" spans="1:11">
      <c r="A1332" s="26">
        <v>1282</v>
      </c>
      <c r="B1332" s="82">
        <f t="shared" ref="B1332:B1395" si="166">C1332-C1331</f>
        <v>3.2921237647087764E-4</v>
      </c>
      <c r="C1332" s="58">
        <f t="shared" si="162"/>
        <v>42.724645176723371</v>
      </c>
      <c r="D1332" s="83">
        <f t="shared" ref="D1332:D1395" si="167">IF($G$28&lt;$C$14,0,((($C$11^2)-((C1332-$C$13)^2))^0.5)+$C$16)</f>
        <v>181.27123647882286</v>
      </c>
      <c r="E1332">
        <f t="shared" si="163"/>
        <v>10.817712883745385</v>
      </c>
      <c r="G1332">
        <v>1282</v>
      </c>
      <c r="H1332" s="13">
        <f t="shared" ref="H1332:H1395" si="168">I1332-I1331</f>
        <v>5.1608656820917531E-2</v>
      </c>
      <c r="I1332">
        <f t="shared" ref="I1332:I1395" si="169">($G$27-$C$14)/2000+I1331</f>
        <v>108.464892954501</v>
      </c>
      <c r="J1332">
        <f t="shared" si="164"/>
        <v>189.98194183698035</v>
      </c>
      <c r="K1332" s="27">
        <f t="shared" si="165"/>
        <v>1862.1708468684808</v>
      </c>
    </row>
    <row r="1333" spans="1:11">
      <c r="A1333" s="26">
        <v>1283</v>
      </c>
      <c r="B1333" s="82">
        <f t="shared" si="166"/>
        <v>3.2921237647087764E-4</v>
      </c>
      <c r="C1333" s="58">
        <f t="shared" si="162"/>
        <v>42.724974389099842</v>
      </c>
      <c r="D1333" s="83">
        <f t="shared" si="167"/>
        <v>181.27186357995259</v>
      </c>
      <c r="E1333">
        <f t="shared" si="163"/>
        <v>10.817787729113382</v>
      </c>
      <c r="G1333">
        <v>1283</v>
      </c>
      <c r="H1333" s="13">
        <f t="shared" si="168"/>
        <v>5.1608656820917531E-2</v>
      </c>
      <c r="I1333">
        <f t="shared" si="169"/>
        <v>108.51650161132191</v>
      </c>
      <c r="J1333">
        <f t="shared" si="164"/>
        <v>189.92609206352731</v>
      </c>
      <c r="K1333" s="27">
        <f t="shared" si="165"/>
        <v>1861.0739238953236</v>
      </c>
    </row>
    <row r="1334" spans="1:11">
      <c r="A1334" s="26">
        <v>1284</v>
      </c>
      <c r="B1334" s="82">
        <f t="shared" si="166"/>
        <v>3.2921237647087764E-4</v>
      </c>
      <c r="C1334" s="58">
        <f t="shared" si="162"/>
        <v>42.725303601476313</v>
      </c>
      <c r="D1334" s="83">
        <f t="shared" si="167"/>
        <v>181.27249065450201</v>
      </c>
      <c r="E1334">
        <f t="shared" si="163"/>
        <v>10.817862571567979</v>
      </c>
      <c r="G1334">
        <v>1284</v>
      </c>
      <c r="H1334" s="13">
        <f t="shared" si="168"/>
        <v>5.1608656820917531E-2</v>
      </c>
      <c r="I1334">
        <f t="shared" si="169"/>
        <v>108.56811026814283</v>
      </c>
      <c r="J1334">
        <f t="shared" si="164"/>
        <v>189.8700317832739</v>
      </c>
      <c r="K1334" s="27">
        <f t="shared" si="165"/>
        <v>1859.9731865632696</v>
      </c>
    </row>
    <row r="1335" spans="1:11">
      <c r="A1335" s="26">
        <v>1285</v>
      </c>
      <c r="B1335" s="82">
        <f t="shared" si="166"/>
        <v>3.2921237647087764E-4</v>
      </c>
      <c r="C1335" s="58">
        <f t="shared" si="162"/>
        <v>42.725632813852783</v>
      </c>
      <c r="D1335" s="83">
        <f t="shared" si="167"/>
        <v>181.27311770247374</v>
      </c>
      <c r="E1335">
        <f t="shared" si="163"/>
        <v>10.817937411109453</v>
      </c>
      <c r="G1335">
        <v>1285</v>
      </c>
      <c r="H1335" s="13">
        <f t="shared" si="168"/>
        <v>5.1608656820917531E-2</v>
      </c>
      <c r="I1335">
        <f t="shared" si="169"/>
        <v>108.61971892496375</v>
      </c>
      <c r="J1335">
        <f t="shared" si="164"/>
        <v>189.81375970478072</v>
      </c>
      <c r="K1335" s="27">
        <f t="shared" si="165"/>
        <v>1858.8686130944304</v>
      </c>
    </row>
    <row r="1336" spans="1:11">
      <c r="A1336" s="26">
        <v>1286</v>
      </c>
      <c r="B1336" s="82">
        <f t="shared" si="166"/>
        <v>3.2921237647087764E-4</v>
      </c>
      <c r="C1336" s="58">
        <f t="shared" si="162"/>
        <v>42.725962026229254</v>
      </c>
      <c r="D1336" s="83">
        <f t="shared" si="167"/>
        <v>181.27374472387049</v>
      </c>
      <c r="E1336">
        <f t="shared" si="163"/>
        <v>10.818012247738094</v>
      </c>
      <c r="G1336">
        <v>1286</v>
      </c>
      <c r="H1336" s="13">
        <f t="shared" si="168"/>
        <v>5.1608656820917531E-2</v>
      </c>
      <c r="I1336">
        <f t="shared" si="169"/>
        <v>108.67132758178467</v>
      </c>
      <c r="J1336">
        <f t="shared" si="164"/>
        <v>189.75727452108342</v>
      </c>
      <c r="K1336" s="27">
        <f t="shared" si="165"/>
        <v>1857.7601814484858</v>
      </c>
    </row>
    <row r="1337" spans="1:11">
      <c r="A1337" s="26">
        <v>1287</v>
      </c>
      <c r="B1337" s="82">
        <f t="shared" si="166"/>
        <v>3.2921237647087764E-4</v>
      </c>
      <c r="C1337" s="58">
        <f t="shared" si="162"/>
        <v>42.726291238605725</v>
      </c>
      <c r="D1337" s="83">
        <f t="shared" si="167"/>
        <v>181.27437171869485</v>
      </c>
      <c r="E1337">
        <f t="shared" si="163"/>
        <v>10.818087081454179</v>
      </c>
      <c r="G1337">
        <v>1287</v>
      </c>
      <c r="H1337" s="13">
        <f t="shared" si="168"/>
        <v>5.1608656820917531E-2</v>
      </c>
      <c r="I1337">
        <f t="shared" si="169"/>
        <v>108.72293623860558</v>
      </c>
      <c r="J1337">
        <f t="shared" si="164"/>
        <v>189.7005749094312</v>
      </c>
      <c r="K1337" s="27">
        <f t="shared" si="165"/>
        <v>1856.6478693182528</v>
      </c>
    </row>
    <row r="1338" spans="1:11">
      <c r="A1338" s="26">
        <v>1288</v>
      </c>
      <c r="B1338" s="82">
        <f t="shared" si="166"/>
        <v>3.2921237647087764E-4</v>
      </c>
      <c r="C1338" s="58">
        <f t="shared" si="162"/>
        <v>42.726620450982196</v>
      </c>
      <c r="D1338" s="83">
        <f t="shared" si="167"/>
        <v>181.27499868694952</v>
      </c>
      <c r="E1338">
        <f t="shared" si="163"/>
        <v>10.818161912257997</v>
      </c>
      <c r="G1338">
        <v>1288</v>
      </c>
      <c r="H1338" s="13">
        <f t="shared" si="168"/>
        <v>5.1608656820917531E-2</v>
      </c>
      <c r="I1338">
        <f t="shared" si="169"/>
        <v>108.7745448954265</v>
      </c>
      <c r="J1338">
        <f t="shared" si="164"/>
        <v>189.64365953101915</v>
      </c>
      <c r="K1338" s="27">
        <f t="shared" si="165"/>
        <v>1855.5316541251516</v>
      </c>
    </row>
    <row r="1339" spans="1:11">
      <c r="A1339" s="26">
        <v>1289</v>
      </c>
      <c r="B1339" s="82">
        <f t="shared" si="166"/>
        <v>3.2921237647087764E-4</v>
      </c>
      <c r="C1339" s="58">
        <f t="shared" si="162"/>
        <v>42.726949663358667</v>
      </c>
      <c r="D1339" s="83">
        <f t="shared" si="167"/>
        <v>181.27562562863713</v>
      </c>
      <c r="E1339">
        <f t="shared" si="163"/>
        <v>10.818236740149827</v>
      </c>
      <c r="G1339">
        <v>1289</v>
      </c>
      <c r="H1339" s="13">
        <f t="shared" si="168"/>
        <v>5.1608656820917531E-2</v>
      </c>
      <c r="I1339">
        <f t="shared" si="169"/>
        <v>108.82615355224742</v>
      </c>
      <c r="J1339">
        <f t="shared" si="164"/>
        <v>189.58652703071505</v>
      </c>
      <c r="K1339" s="27">
        <f t="shared" si="165"/>
        <v>1854.4115130145719</v>
      </c>
    </row>
    <row r="1340" spans="1:11">
      <c r="A1340" s="26">
        <v>1290</v>
      </c>
      <c r="B1340" s="82">
        <f t="shared" si="166"/>
        <v>3.2921237647087764E-4</v>
      </c>
      <c r="C1340" s="58">
        <f t="shared" si="162"/>
        <v>42.727278875735138</v>
      </c>
      <c r="D1340" s="83">
        <f t="shared" si="167"/>
        <v>181.27625254376031</v>
      </c>
      <c r="E1340">
        <f t="shared" si="163"/>
        <v>10.818311565129948</v>
      </c>
      <c r="G1340">
        <v>1290</v>
      </c>
      <c r="H1340" s="13">
        <f t="shared" si="168"/>
        <v>5.1608656820917531E-2</v>
      </c>
      <c r="I1340">
        <f t="shared" si="169"/>
        <v>108.87776220906834</v>
      </c>
      <c r="J1340">
        <f t="shared" si="164"/>
        <v>189.52917603677986</v>
      </c>
      <c r="K1340" s="27">
        <f t="shared" si="165"/>
        <v>1853.2874228511389</v>
      </c>
    </row>
    <row r="1341" spans="1:11">
      <c r="A1341" s="26">
        <v>1291</v>
      </c>
      <c r="B1341" s="82">
        <f t="shared" si="166"/>
        <v>3.2921237647087764E-4</v>
      </c>
      <c r="C1341" s="58">
        <f t="shared" si="162"/>
        <v>42.727608088111609</v>
      </c>
      <c r="D1341" s="83">
        <f t="shared" si="167"/>
        <v>181.27687943232172</v>
      </c>
      <c r="E1341">
        <f t="shared" si="163"/>
        <v>10.818386387198656</v>
      </c>
      <c r="G1341">
        <v>1291</v>
      </c>
      <c r="H1341" s="13">
        <f t="shared" si="168"/>
        <v>5.1608656820917531E-2</v>
      </c>
      <c r="I1341">
        <f t="shared" si="169"/>
        <v>108.92937086588925</v>
      </c>
      <c r="J1341">
        <f t="shared" si="164"/>
        <v>189.47160516058227</v>
      </c>
      <c r="K1341" s="27">
        <f t="shared" si="165"/>
        <v>1852.1593602138717</v>
      </c>
    </row>
    <row r="1342" spans="1:11">
      <c r="A1342" s="26">
        <v>1292</v>
      </c>
      <c r="B1342" s="82">
        <f t="shared" si="166"/>
        <v>3.2921237647087764E-4</v>
      </c>
      <c r="C1342" s="58">
        <f t="shared" si="162"/>
        <v>42.72793730048808</v>
      </c>
      <c r="D1342" s="83">
        <f t="shared" si="167"/>
        <v>181.27750629432401</v>
      </c>
      <c r="E1342">
        <f t="shared" si="163"/>
        <v>10.818461206356224</v>
      </c>
      <c r="G1342">
        <v>1292</v>
      </c>
      <c r="H1342" s="13">
        <f t="shared" si="168"/>
        <v>5.1608656820917531E-2</v>
      </c>
      <c r="I1342">
        <f t="shared" si="169"/>
        <v>108.98097952271017</v>
      </c>
      <c r="J1342">
        <f t="shared" si="164"/>
        <v>189.41381299630655</v>
      </c>
      <c r="K1342" s="27">
        <f t="shared" si="165"/>
        <v>1851.027301391234</v>
      </c>
    </row>
    <row r="1343" spans="1:11">
      <c r="A1343" s="26">
        <v>1293</v>
      </c>
      <c r="B1343" s="82">
        <f t="shared" si="166"/>
        <v>3.2921237647087764E-4</v>
      </c>
      <c r="C1343" s="58">
        <f t="shared" si="162"/>
        <v>42.72826651286455</v>
      </c>
      <c r="D1343" s="83">
        <f t="shared" si="167"/>
        <v>181.27813312976983</v>
      </c>
      <c r="E1343">
        <f t="shared" si="163"/>
        <v>10.818536022602933</v>
      </c>
      <c r="G1343">
        <v>1293</v>
      </c>
      <c r="H1343" s="13">
        <f t="shared" si="168"/>
        <v>5.1608656820917531E-2</v>
      </c>
      <c r="I1343">
        <f t="shared" si="169"/>
        <v>109.03258817953109</v>
      </c>
      <c r="J1343">
        <f t="shared" si="164"/>
        <v>189.35579812065407</v>
      </c>
      <c r="K1343" s="27">
        <f t="shared" si="165"/>
        <v>1849.8912223760738</v>
      </c>
    </row>
    <row r="1344" spans="1:11">
      <c r="A1344" s="26">
        <v>1294</v>
      </c>
      <c r="B1344" s="82">
        <f t="shared" si="166"/>
        <v>3.2921237647087764E-4</v>
      </c>
      <c r="C1344" s="58">
        <f t="shared" si="162"/>
        <v>42.728595725241021</v>
      </c>
      <c r="D1344" s="83">
        <f t="shared" si="167"/>
        <v>181.27875993866178</v>
      </c>
      <c r="E1344">
        <f t="shared" si="163"/>
        <v>10.81861083593907</v>
      </c>
      <c r="G1344">
        <v>1294</v>
      </c>
      <c r="H1344" s="13">
        <f t="shared" si="168"/>
        <v>5.1608656820917531E-2</v>
      </c>
      <c r="I1344">
        <f t="shared" si="169"/>
        <v>109.08419683635201</v>
      </c>
      <c r="J1344">
        <f t="shared" si="164"/>
        <v>189.29755909253808</v>
      </c>
      <c r="K1344" s="27">
        <f t="shared" si="165"/>
        <v>1848.7510988604463</v>
      </c>
    </row>
    <row r="1345" spans="1:11">
      <c r="A1345" s="26">
        <v>1295</v>
      </c>
      <c r="B1345" s="82">
        <f t="shared" si="166"/>
        <v>3.2921237647087764E-4</v>
      </c>
      <c r="C1345" s="58">
        <f t="shared" si="162"/>
        <v>42.728924937617492</v>
      </c>
      <c r="D1345" s="83">
        <f t="shared" si="167"/>
        <v>181.27938672100257</v>
      </c>
      <c r="E1345">
        <f t="shared" si="163"/>
        <v>10.818685646364921</v>
      </c>
      <c r="G1345">
        <v>1295</v>
      </c>
      <c r="H1345" s="13">
        <f t="shared" si="168"/>
        <v>5.1608656820917531E-2</v>
      </c>
      <c r="I1345">
        <f t="shared" si="169"/>
        <v>109.13580549317292</v>
      </c>
      <c r="J1345">
        <f t="shared" si="164"/>
        <v>189.23909445277133</v>
      </c>
      <c r="K1345" s="27">
        <f t="shared" si="165"/>
        <v>1847.6069062303213</v>
      </c>
    </row>
    <row r="1346" spans="1:11">
      <c r="A1346" s="26">
        <v>1296</v>
      </c>
      <c r="B1346" s="82">
        <f t="shared" si="166"/>
        <v>3.2921237647087764E-4</v>
      </c>
      <c r="C1346" s="58">
        <f t="shared" si="162"/>
        <v>42.729254149993963</v>
      </c>
      <c r="D1346" s="83">
        <f t="shared" si="167"/>
        <v>181.28001347679481</v>
      </c>
      <c r="E1346">
        <f t="shared" si="163"/>
        <v>10.818760453880762</v>
      </c>
      <c r="G1346">
        <v>1296</v>
      </c>
      <c r="H1346" s="13">
        <f t="shared" si="168"/>
        <v>5.1608656820917531E-2</v>
      </c>
      <c r="I1346">
        <f t="shared" si="169"/>
        <v>109.18741414999384</v>
      </c>
      <c r="J1346">
        <f t="shared" si="164"/>
        <v>189.18040272374679</v>
      </c>
      <c r="K1346" s="27">
        <f t="shared" si="165"/>
        <v>1846.4586195601687</v>
      </c>
    </row>
    <row r="1347" spans="1:11">
      <c r="A1347" s="26">
        <v>1297</v>
      </c>
      <c r="B1347" s="82">
        <f t="shared" si="166"/>
        <v>3.2921237647087764E-4</v>
      </c>
      <c r="C1347" s="58">
        <f t="shared" si="162"/>
        <v>42.729583362370434</v>
      </c>
      <c r="D1347" s="83">
        <f t="shared" si="167"/>
        <v>181.28064020604114</v>
      </c>
      <c r="E1347">
        <f t="shared" si="163"/>
        <v>10.81883525848688</v>
      </c>
      <c r="G1347">
        <v>1297</v>
      </c>
      <c r="H1347" s="13">
        <f t="shared" si="168"/>
        <v>5.1608656820917531E-2</v>
      </c>
      <c r="I1347">
        <f t="shared" si="169"/>
        <v>109.23902280681476</v>
      </c>
      <c r="J1347">
        <f t="shared" si="164"/>
        <v>189.12148240911105</v>
      </c>
      <c r="K1347" s="27">
        <f t="shared" si="165"/>
        <v>1845.3062136074193</v>
      </c>
    </row>
    <row r="1348" spans="1:11">
      <c r="A1348" s="26">
        <v>1298</v>
      </c>
      <c r="B1348" s="82">
        <f t="shared" si="166"/>
        <v>3.2921237647087764E-4</v>
      </c>
      <c r="C1348" s="58">
        <f t="shared" si="162"/>
        <v>42.729912574746905</v>
      </c>
      <c r="D1348" s="83">
        <f t="shared" si="167"/>
        <v>181.28126690874421</v>
      </c>
      <c r="E1348">
        <f t="shared" si="163"/>
        <v>10.818910060183557</v>
      </c>
      <c r="G1348">
        <v>1298</v>
      </c>
      <c r="H1348" s="13">
        <f t="shared" si="168"/>
        <v>5.1608656820917531E-2</v>
      </c>
      <c r="I1348">
        <f t="shared" si="169"/>
        <v>109.29063146363568</v>
      </c>
      <c r="J1348">
        <f t="shared" si="164"/>
        <v>189.06233199343001</v>
      </c>
      <c r="K1348" s="27">
        <f t="shared" si="165"/>
        <v>1844.1496628067987</v>
      </c>
    </row>
    <row r="1349" spans="1:11">
      <c r="A1349" s="26">
        <v>1299</v>
      </c>
      <c r="B1349" s="82">
        <f t="shared" si="166"/>
        <v>3.2921237647087764E-4</v>
      </c>
      <c r="C1349" s="58">
        <f t="shared" si="162"/>
        <v>42.730241787123376</v>
      </c>
      <c r="D1349" s="83">
        <f t="shared" si="167"/>
        <v>181.28189358490667</v>
      </c>
      <c r="E1349">
        <f t="shared" si="163"/>
        <v>10.818984858971076</v>
      </c>
      <c r="G1349">
        <v>1299</v>
      </c>
      <c r="H1349" s="13">
        <f t="shared" si="168"/>
        <v>5.1608656820917531E-2</v>
      </c>
      <c r="I1349">
        <f t="shared" si="169"/>
        <v>109.34224012045659</v>
      </c>
      <c r="J1349">
        <f t="shared" si="164"/>
        <v>189.00294994184691</v>
      </c>
      <c r="K1349" s="27">
        <f t="shared" si="165"/>
        <v>1842.9889412645259</v>
      </c>
    </row>
    <row r="1350" spans="1:11">
      <c r="A1350" s="26">
        <v>1300</v>
      </c>
      <c r="B1350" s="82">
        <f t="shared" si="166"/>
        <v>3.2921237647087764E-4</v>
      </c>
      <c r="C1350" s="58">
        <f t="shared" si="162"/>
        <v>42.730570999499847</v>
      </c>
      <c r="D1350" s="83">
        <f t="shared" si="167"/>
        <v>181.28252023453118</v>
      </c>
      <c r="E1350">
        <f t="shared" si="163"/>
        <v>10.819059654849715</v>
      </c>
      <c r="G1350">
        <v>1300</v>
      </c>
      <c r="H1350" s="13">
        <f t="shared" si="168"/>
        <v>5.1608656820917531E-2</v>
      </c>
      <c r="I1350">
        <f t="shared" si="169"/>
        <v>109.39384877727751</v>
      </c>
      <c r="J1350">
        <f t="shared" si="164"/>
        <v>188.94333469973256</v>
      </c>
      <c r="K1350" s="27">
        <f t="shared" si="165"/>
        <v>1841.8240227523829</v>
      </c>
    </row>
    <row r="1351" spans="1:11">
      <c r="A1351" s="26">
        <v>1301</v>
      </c>
      <c r="B1351" s="82">
        <f t="shared" si="166"/>
        <v>3.2921237647087764E-4</v>
      </c>
      <c r="C1351" s="58">
        <f t="shared" si="162"/>
        <v>42.730900211876317</v>
      </c>
      <c r="D1351" s="83">
        <f t="shared" si="167"/>
        <v>181.28314685762032</v>
      </c>
      <c r="E1351">
        <f t="shared" si="163"/>
        <v>10.819134447819762</v>
      </c>
      <c r="G1351">
        <v>1301</v>
      </c>
      <c r="H1351" s="13">
        <f t="shared" si="168"/>
        <v>5.1608656820917531E-2</v>
      </c>
      <c r="I1351">
        <f t="shared" si="169"/>
        <v>109.44545743409843</v>
      </c>
      <c r="J1351">
        <f t="shared" si="164"/>
        <v>188.88348469232707</v>
      </c>
      <c r="K1351" s="27">
        <f t="shared" si="165"/>
        <v>1840.6548807016379</v>
      </c>
    </row>
    <row r="1352" spans="1:11">
      <c r="A1352" s="26">
        <v>1302</v>
      </c>
      <c r="B1352" s="82">
        <f t="shared" si="166"/>
        <v>3.2921237647087764E-4</v>
      </c>
      <c r="C1352" s="58">
        <f t="shared" si="162"/>
        <v>42.731229424252788</v>
      </c>
      <c r="D1352" s="83">
        <f t="shared" si="167"/>
        <v>181.28377345417681</v>
      </c>
      <c r="E1352">
        <f t="shared" si="163"/>
        <v>10.8192092378815</v>
      </c>
      <c r="G1352">
        <v>1302</v>
      </c>
      <c r="H1352" s="13">
        <f t="shared" si="168"/>
        <v>5.1608656820917531E-2</v>
      </c>
      <c r="I1352">
        <f t="shared" si="169"/>
        <v>109.49706609091935</v>
      </c>
      <c r="J1352">
        <f t="shared" si="164"/>
        <v>188.82339832437344</v>
      </c>
      <c r="K1352" s="27">
        <f t="shared" si="165"/>
        <v>1839.4814881968314</v>
      </c>
    </row>
    <row r="1353" spans="1:11">
      <c r="A1353" s="26">
        <v>1303</v>
      </c>
      <c r="B1353" s="82">
        <f t="shared" si="166"/>
        <v>3.2921237647087764E-4</v>
      </c>
      <c r="C1353" s="58">
        <f t="shared" si="162"/>
        <v>42.731558636629259</v>
      </c>
      <c r="D1353" s="83">
        <f t="shared" si="167"/>
        <v>181.28440002420322</v>
      </c>
      <c r="E1353">
        <f t="shared" si="163"/>
        <v>10.819284025035204</v>
      </c>
      <c r="G1353">
        <v>1303</v>
      </c>
      <c r="H1353" s="13">
        <f t="shared" si="168"/>
        <v>5.1608656820917531E-2</v>
      </c>
      <c r="I1353">
        <f t="shared" si="169"/>
        <v>109.54867474774026</v>
      </c>
      <c r="J1353">
        <f t="shared" si="164"/>
        <v>188.76307397974225</v>
      </c>
      <c r="K1353" s="27">
        <f t="shared" si="165"/>
        <v>1838.3038179694076</v>
      </c>
    </row>
    <row r="1354" spans="1:11">
      <c r="A1354" s="26">
        <v>1304</v>
      </c>
      <c r="B1354" s="82">
        <f t="shared" si="166"/>
        <v>3.2921237647087764E-4</v>
      </c>
      <c r="C1354" s="58">
        <f t="shared" si="162"/>
        <v>42.73188784900573</v>
      </c>
      <c r="D1354" s="83">
        <f t="shared" si="167"/>
        <v>181.28502656770223</v>
      </c>
      <c r="E1354">
        <f t="shared" si="163"/>
        <v>10.819358809281164</v>
      </c>
      <c r="G1354">
        <v>1304</v>
      </c>
      <c r="H1354" s="13">
        <f t="shared" si="168"/>
        <v>5.1608656820917531E-2</v>
      </c>
      <c r="I1354">
        <f t="shared" si="169"/>
        <v>109.60028340456118</v>
      </c>
      <c r="J1354">
        <f t="shared" si="164"/>
        <v>188.70251002104752</v>
      </c>
      <c r="K1354" s="27">
        <f t="shared" si="165"/>
        <v>1837.1218423912044</v>
      </c>
    </row>
    <row r="1355" spans="1:11">
      <c r="A1355" s="26">
        <v>1305</v>
      </c>
      <c r="B1355" s="82">
        <f t="shared" si="166"/>
        <v>3.2921237647087764E-4</v>
      </c>
      <c r="C1355" s="58">
        <f t="shared" si="162"/>
        <v>42.732217061382201</v>
      </c>
      <c r="D1355" s="83">
        <f t="shared" si="167"/>
        <v>181.28565308467648</v>
      </c>
      <c r="E1355">
        <f t="shared" si="163"/>
        <v>10.81943359061966</v>
      </c>
      <c r="G1355">
        <v>1305</v>
      </c>
      <c r="H1355" s="13">
        <f t="shared" si="168"/>
        <v>5.1608656820917531E-2</v>
      </c>
      <c r="I1355">
        <f t="shared" si="169"/>
        <v>109.6518920613821</v>
      </c>
      <c r="J1355">
        <f t="shared" si="164"/>
        <v>188.64170478925351</v>
      </c>
      <c r="K1355" s="27">
        <f t="shared" si="165"/>
        <v>1835.9355334677741</v>
      </c>
    </row>
    <row r="1356" spans="1:11">
      <c r="A1356" s="26">
        <v>1306</v>
      </c>
      <c r="B1356" s="82">
        <f t="shared" si="166"/>
        <v>3.2921237647087764E-4</v>
      </c>
      <c r="C1356" s="58">
        <f t="shared" si="162"/>
        <v>42.732546273758672</v>
      </c>
      <c r="D1356" s="83">
        <f t="shared" si="167"/>
        <v>181.28627957512862</v>
      </c>
      <c r="E1356">
        <f t="shared" si="163"/>
        <v>10.819508369050974</v>
      </c>
      <c r="G1356">
        <v>1306</v>
      </c>
      <c r="H1356" s="13">
        <f t="shared" si="168"/>
        <v>5.1608656820917531E-2</v>
      </c>
      <c r="I1356">
        <f t="shared" si="169"/>
        <v>109.70350071820302</v>
      </c>
      <c r="J1356">
        <f t="shared" si="164"/>
        <v>188.58065660327176</v>
      </c>
      <c r="K1356" s="27">
        <f t="shared" si="165"/>
        <v>1834.7448628315562</v>
      </c>
    </row>
    <row r="1357" spans="1:11">
      <c r="A1357" s="26">
        <v>1307</v>
      </c>
      <c r="B1357" s="82">
        <f t="shared" si="166"/>
        <v>3.2921237647087764E-4</v>
      </c>
      <c r="C1357" s="58">
        <f t="shared" si="162"/>
        <v>42.732875486135143</v>
      </c>
      <c r="D1357" s="83">
        <f t="shared" si="167"/>
        <v>181.28690603906125</v>
      </c>
      <c r="E1357">
        <f t="shared" si="163"/>
        <v>10.819583144575384</v>
      </c>
      <c r="G1357">
        <v>1307</v>
      </c>
      <c r="H1357" s="13">
        <f t="shared" si="168"/>
        <v>5.1608656820917531E-2</v>
      </c>
      <c r="I1357">
        <f t="shared" si="169"/>
        <v>109.75510937502393</v>
      </c>
      <c r="J1357">
        <f t="shared" si="164"/>
        <v>188.51936375954872</v>
      </c>
      <c r="K1357" s="27">
        <f t="shared" si="165"/>
        <v>1833.5498017348743</v>
      </c>
    </row>
    <row r="1358" spans="1:11">
      <c r="A1358" s="26">
        <v>1308</v>
      </c>
      <c r="B1358" s="82">
        <f t="shared" si="166"/>
        <v>3.2921237647087764E-4</v>
      </c>
      <c r="C1358" s="58">
        <f t="shared" si="162"/>
        <v>42.733204698511614</v>
      </c>
      <c r="D1358" s="83">
        <f t="shared" si="167"/>
        <v>181.28753247647703</v>
      </c>
      <c r="E1358">
        <f t="shared" si="163"/>
        <v>10.819657917193183</v>
      </c>
      <c r="G1358">
        <v>1308</v>
      </c>
      <c r="H1358" s="13">
        <f t="shared" si="168"/>
        <v>5.1608656820917531E-2</v>
      </c>
      <c r="I1358">
        <f t="shared" si="169"/>
        <v>109.80671803184485</v>
      </c>
      <c r="J1358">
        <f t="shared" si="164"/>
        <v>188.45782453164307</v>
      </c>
      <c r="K1358" s="27">
        <f t="shared" si="165"/>
        <v>1832.3503210427677</v>
      </c>
    </row>
    <row r="1359" spans="1:11">
      <c r="A1359" s="26">
        <v>1309</v>
      </c>
      <c r="B1359" s="82">
        <f t="shared" si="166"/>
        <v>3.2921237647087764E-4</v>
      </c>
      <c r="C1359" s="58">
        <f t="shared" si="162"/>
        <v>42.733533910888085</v>
      </c>
      <c r="D1359" s="83">
        <f t="shared" si="167"/>
        <v>181.28815888737861</v>
      </c>
      <c r="E1359">
        <f t="shared" si="163"/>
        <v>10.819732686904642</v>
      </c>
      <c r="G1359">
        <v>1309</v>
      </c>
      <c r="H1359" s="13">
        <f t="shared" si="168"/>
        <v>5.1608656820917531E-2</v>
      </c>
      <c r="I1359">
        <f t="shared" si="169"/>
        <v>109.85832668866577</v>
      </c>
      <c r="J1359">
        <f t="shared" si="164"/>
        <v>188.39603716979289</v>
      </c>
      <c r="K1359" s="27">
        <f t="shared" si="165"/>
        <v>1831.1463912256465</v>
      </c>
    </row>
    <row r="1360" spans="1:11">
      <c r="A1360" s="26">
        <v>1310</v>
      </c>
      <c r="B1360" s="82">
        <f t="shared" si="166"/>
        <v>3.2921237647087764E-4</v>
      </c>
      <c r="C1360" s="58">
        <f t="shared" ref="C1360:C1423" si="170">($C$37-$C$36)/2000+C1359</f>
        <v>42.733863123264555</v>
      </c>
      <c r="D1360" s="83">
        <f t="shared" si="167"/>
        <v>181.2887852717686</v>
      </c>
      <c r="E1360">
        <f t="shared" si="163"/>
        <v>10.819807453710043</v>
      </c>
      <c r="G1360">
        <v>1310</v>
      </c>
      <c r="H1360" s="13">
        <f t="shared" si="168"/>
        <v>5.1608656820917531E-2</v>
      </c>
      <c r="I1360">
        <f t="shared" si="169"/>
        <v>109.90993534548669</v>
      </c>
      <c r="J1360">
        <f t="shared" si="164"/>
        <v>188.33399990047218</v>
      </c>
      <c r="K1360" s="27">
        <f t="shared" si="165"/>
        <v>1829.9379823517631</v>
      </c>
    </row>
    <row r="1361" spans="1:11">
      <c r="A1361" s="26">
        <v>1311</v>
      </c>
      <c r="B1361" s="82">
        <f t="shared" si="166"/>
        <v>3.2921237647087764E-4</v>
      </c>
      <c r="C1361" s="58">
        <f t="shared" si="170"/>
        <v>42.734192335641026</v>
      </c>
      <c r="D1361" s="83">
        <f t="shared" si="167"/>
        <v>181.28941162964966</v>
      </c>
      <c r="E1361">
        <f t="shared" si="163"/>
        <v>10.819882217609679</v>
      </c>
      <c r="G1361">
        <v>1311</v>
      </c>
      <c r="H1361" s="13">
        <f t="shared" si="168"/>
        <v>5.1608656820917531E-2</v>
      </c>
      <c r="I1361">
        <f t="shared" si="169"/>
        <v>109.9615440023076</v>
      </c>
      <c r="J1361">
        <f t="shared" si="164"/>
        <v>188.27171092593625</v>
      </c>
      <c r="K1361" s="27">
        <f t="shared" si="165"/>
        <v>1828.7250640795035</v>
      </c>
    </row>
    <row r="1362" spans="1:11">
      <c r="A1362" s="26">
        <v>1312</v>
      </c>
      <c r="B1362" s="82">
        <f t="shared" si="166"/>
        <v>3.2921237647087764E-4</v>
      </c>
      <c r="C1362" s="58">
        <f t="shared" si="170"/>
        <v>42.734521548017497</v>
      </c>
      <c r="D1362" s="83">
        <f t="shared" si="167"/>
        <v>181.29003796102444</v>
      </c>
      <c r="E1362">
        <f t="shared" si="163"/>
        <v>10.819956978603825</v>
      </c>
      <c r="G1362">
        <v>1312</v>
      </c>
      <c r="H1362" s="13">
        <f t="shared" si="168"/>
        <v>5.1608656820917531E-2</v>
      </c>
      <c r="I1362">
        <f t="shared" si="169"/>
        <v>110.01315265912852</v>
      </c>
      <c r="J1362">
        <f t="shared" si="164"/>
        <v>188.20916842375613</v>
      </c>
      <c r="K1362" s="27">
        <f t="shared" si="165"/>
        <v>1827.5076056494772</v>
      </c>
    </row>
    <row r="1363" spans="1:11">
      <c r="A1363" s="26">
        <v>1313</v>
      </c>
      <c r="B1363" s="82">
        <f t="shared" si="166"/>
        <v>3.2921237647087764E-4</v>
      </c>
      <c r="C1363" s="58">
        <f t="shared" si="170"/>
        <v>42.734850760393968</v>
      </c>
      <c r="D1363" s="83">
        <f t="shared" si="167"/>
        <v>181.29066426589554</v>
      </c>
      <c r="E1363">
        <f t="shared" si="163"/>
        <v>10.82003173669276</v>
      </c>
      <c r="G1363">
        <v>1313</v>
      </c>
      <c r="H1363" s="13">
        <f t="shared" si="168"/>
        <v>5.1608656820917531E-2</v>
      </c>
      <c r="I1363">
        <f t="shared" si="169"/>
        <v>110.06476131594944</v>
      </c>
      <c r="J1363">
        <f t="shared" si="164"/>
        <v>188.14637054634099</v>
      </c>
      <c r="K1363" s="27">
        <f t="shared" si="165"/>
        <v>1826.2855758764174</v>
      </c>
    </row>
    <row r="1364" spans="1:11">
      <c r="A1364" s="26">
        <v>1314</v>
      </c>
      <c r="B1364" s="82">
        <f t="shared" si="166"/>
        <v>3.2921237647087764E-4</v>
      </c>
      <c r="C1364" s="58">
        <f t="shared" si="170"/>
        <v>42.735179972770439</v>
      </c>
      <c r="D1364" s="83">
        <f t="shared" si="167"/>
        <v>181.29129054426562</v>
      </c>
      <c r="E1364">
        <f t="shared" si="163"/>
        <v>10.820106491876766</v>
      </c>
      <c r="G1364">
        <v>1314</v>
      </c>
      <c r="H1364" s="13">
        <f t="shared" si="168"/>
        <v>5.1608656820917531E-2</v>
      </c>
      <c r="I1364">
        <f t="shared" si="169"/>
        <v>110.11636997277036</v>
      </c>
      <c r="J1364">
        <f t="shared" si="164"/>
        <v>188.08331542044874</v>
      </c>
      <c r="K1364" s="27">
        <f t="shared" si="165"/>
        <v>1825.0589431408714</v>
      </c>
    </row>
    <row r="1365" spans="1:11">
      <c r="A1365" s="26">
        <v>1315</v>
      </c>
      <c r="B1365" s="82">
        <f t="shared" si="166"/>
        <v>3.2921237647087764E-4</v>
      </c>
      <c r="C1365" s="58">
        <f t="shared" si="170"/>
        <v>42.73550918514691</v>
      </c>
      <c r="D1365" s="83">
        <f t="shared" si="167"/>
        <v>181.29191679613731</v>
      </c>
      <c r="E1365">
        <f t="shared" si="163"/>
        <v>10.820181244156133</v>
      </c>
      <c r="G1365">
        <v>1315</v>
      </c>
      <c r="H1365" s="13">
        <f t="shared" si="168"/>
        <v>5.1608656820917531E-2</v>
      </c>
      <c r="I1365">
        <f t="shared" si="169"/>
        <v>110.16797862959127</v>
      </c>
      <c r="J1365">
        <f t="shared" si="164"/>
        <v>188.02000114668436</v>
      </c>
      <c r="K1365" s="27">
        <f t="shared" si="165"/>
        <v>1823.8276753806833</v>
      </c>
    </row>
    <row r="1366" spans="1:11">
      <c r="A1366" s="26">
        <v>1316</v>
      </c>
      <c r="B1366" s="82">
        <f t="shared" si="166"/>
        <v>3.2921237647087764E-4</v>
      </c>
      <c r="C1366" s="58">
        <f t="shared" si="170"/>
        <v>42.735838397523381</v>
      </c>
      <c r="D1366" s="83">
        <f t="shared" si="167"/>
        <v>181.29254302151327</v>
      </c>
      <c r="E1366">
        <f t="shared" si="163"/>
        <v>10.820255993531136</v>
      </c>
      <c r="G1366">
        <v>1316</v>
      </c>
      <c r="H1366" s="13">
        <f t="shared" si="168"/>
        <v>5.1608656820917531E-2</v>
      </c>
      <c r="I1366">
        <f t="shared" si="169"/>
        <v>110.21958728641219</v>
      </c>
      <c r="J1366">
        <f t="shared" si="164"/>
        <v>187.95642579898524</v>
      </c>
      <c r="K1366" s="27">
        <f t="shared" si="165"/>
        <v>1822.5917400822589</v>
      </c>
    </row>
    <row r="1367" spans="1:11">
      <c r="A1367" s="26">
        <v>1317</v>
      </c>
      <c r="B1367" s="82">
        <f t="shared" si="166"/>
        <v>3.2921237647087764E-4</v>
      </c>
      <c r="C1367" s="58">
        <f t="shared" si="170"/>
        <v>42.736167609899852</v>
      </c>
      <c r="D1367" s="83">
        <f t="shared" si="167"/>
        <v>181.29316922039607</v>
      </c>
      <c r="E1367">
        <f t="shared" si="163"/>
        <v>10.820330740002058</v>
      </c>
      <c r="G1367">
        <v>1317</v>
      </c>
      <c r="H1367" s="13">
        <f t="shared" si="168"/>
        <v>5.1608656820917531E-2</v>
      </c>
      <c r="I1367">
        <f t="shared" si="169"/>
        <v>110.27119594323311</v>
      </c>
      <c r="J1367">
        <f t="shared" si="164"/>
        <v>187.89258742409353</v>
      </c>
      <c r="K1367" s="27">
        <f t="shared" si="165"/>
        <v>1821.3511042716054</v>
      </c>
    </row>
    <row r="1368" spans="1:11">
      <c r="A1368" s="26">
        <v>1318</v>
      </c>
      <c r="B1368" s="82">
        <f t="shared" si="166"/>
        <v>3.2921237647087764E-4</v>
      </c>
      <c r="C1368" s="58">
        <f t="shared" si="170"/>
        <v>42.736496822276322</v>
      </c>
      <c r="D1368" s="83">
        <f t="shared" si="167"/>
        <v>181.29379539278841</v>
      </c>
      <c r="E1368">
        <f t="shared" si="163"/>
        <v>10.82040548356918</v>
      </c>
      <c r="G1368">
        <v>1318</v>
      </c>
      <c r="H1368" s="13">
        <f t="shared" si="168"/>
        <v>5.1608656820917531E-2</v>
      </c>
      <c r="I1368">
        <f t="shared" si="169"/>
        <v>110.32280460005403</v>
      </c>
      <c r="J1368">
        <f t="shared" si="164"/>
        <v>187.82848404101483</v>
      </c>
      <c r="K1368" s="27">
        <f t="shared" si="165"/>
        <v>1820.1057345051431</v>
      </c>
    </row>
    <row r="1369" spans="1:11">
      <c r="A1369" s="26">
        <v>1319</v>
      </c>
      <c r="B1369" s="82">
        <f t="shared" si="166"/>
        <v>3.2921237647087764E-4</v>
      </c>
      <c r="C1369" s="58">
        <f t="shared" si="170"/>
        <v>42.736826034652793</v>
      </c>
      <c r="D1369" s="83">
        <f t="shared" si="167"/>
        <v>181.29442153869286</v>
      </c>
      <c r="E1369">
        <f t="shared" si="163"/>
        <v>10.820480224232787</v>
      </c>
      <c r="G1369">
        <v>1319</v>
      </c>
      <c r="H1369" s="13">
        <f t="shared" si="168"/>
        <v>5.1608656820917531E-2</v>
      </c>
      <c r="I1369">
        <f t="shared" si="169"/>
        <v>110.37441325687494</v>
      </c>
      <c r="J1369">
        <f t="shared" si="164"/>
        <v>187.76411364046305</v>
      </c>
      <c r="K1369" s="27">
        <f t="shared" si="165"/>
        <v>1818.8555968602743</v>
      </c>
    </row>
    <row r="1370" spans="1:11">
      <c r="A1370" s="26">
        <v>1320</v>
      </c>
      <c r="B1370" s="82">
        <f t="shared" si="166"/>
        <v>3.2921237647087764E-4</v>
      </c>
      <c r="C1370" s="58">
        <f t="shared" si="170"/>
        <v>42.737155247029264</v>
      </c>
      <c r="D1370" s="83">
        <f t="shared" si="167"/>
        <v>181.29504765811214</v>
      </c>
      <c r="E1370">
        <f t="shared" si="163"/>
        <v>10.820554961993155</v>
      </c>
      <c r="G1370">
        <v>1320</v>
      </c>
      <c r="H1370" s="13">
        <f t="shared" si="168"/>
        <v>5.1608656820917531E-2</v>
      </c>
      <c r="I1370">
        <f t="shared" si="169"/>
        <v>110.42602191369586</v>
      </c>
      <c r="J1370">
        <f t="shared" si="164"/>
        <v>187.69947418429052</v>
      </c>
      <c r="K1370" s="27">
        <f t="shared" si="165"/>
        <v>1817.6006569257108</v>
      </c>
    </row>
    <row r="1371" spans="1:11">
      <c r="A1371" s="26">
        <v>1321</v>
      </c>
      <c r="B1371" s="82">
        <f t="shared" si="166"/>
        <v>3.2921237647087764E-4</v>
      </c>
      <c r="C1371" s="58">
        <f t="shared" si="170"/>
        <v>42.737484459405735</v>
      </c>
      <c r="D1371" s="83">
        <f t="shared" si="167"/>
        <v>181.29567375104881</v>
      </c>
      <c r="E1371">
        <f t="shared" si="163"/>
        <v>10.820629696850569</v>
      </c>
      <c r="G1371">
        <v>1321</v>
      </c>
      <c r="H1371" s="13">
        <f t="shared" si="168"/>
        <v>5.1608656820917531E-2</v>
      </c>
      <c r="I1371">
        <f t="shared" si="169"/>
        <v>110.47763057051678</v>
      </c>
      <c r="J1371">
        <f t="shared" si="164"/>
        <v>187.63456360490358</v>
      </c>
      <c r="K1371" s="27">
        <f t="shared" si="165"/>
        <v>1816.3408797915429</v>
      </c>
    </row>
    <row r="1372" spans="1:11">
      <c r="A1372" s="26">
        <v>1322</v>
      </c>
      <c r="B1372" s="82">
        <f t="shared" si="166"/>
        <v>3.2921237647087764E-4</v>
      </c>
      <c r="C1372" s="58">
        <f t="shared" si="170"/>
        <v>42.737813671782206</v>
      </c>
      <c r="D1372" s="83">
        <f t="shared" si="167"/>
        <v>181.29629981750551</v>
      </c>
      <c r="E1372">
        <f t="shared" si="163"/>
        <v>10.820704428805309</v>
      </c>
      <c r="G1372">
        <v>1322</v>
      </c>
      <c r="H1372" s="13">
        <f t="shared" si="168"/>
        <v>5.1608656820917531E-2</v>
      </c>
      <c r="I1372">
        <f t="shared" si="169"/>
        <v>110.5292392273377</v>
      </c>
      <c r="J1372">
        <f t="shared" si="164"/>
        <v>187.56937980466242</v>
      </c>
      <c r="K1372" s="27">
        <f t="shared" si="165"/>
        <v>1815.0762300390527</v>
      </c>
    </row>
    <row r="1373" spans="1:11">
      <c r="A1373" s="26">
        <v>1323</v>
      </c>
      <c r="B1373" s="82">
        <f t="shared" si="166"/>
        <v>3.2921237647087764E-4</v>
      </c>
      <c r="C1373" s="58">
        <f t="shared" si="170"/>
        <v>42.738142884158677</v>
      </c>
      <c r="D1373" s="83">
        <f t="shared" si="167"/>
        <v>181.29692585748489</v>
      </c>
      <c r="E1373">
        <f t="shared" si="163"/>
        <v>10.820779157857658</v>
      </c>
      <c r="G1373">
        <v>1323</v>
      </c>
      <c r="H1373" s="13">
        <f t="shared" si="168"/>
        <v>5.1608656820917531E-2</v>
      </c>
      <c r="I1373">
        <f t="shared" si="169"/>
        <v>110.58084788415862</v>
      </c>
      <c r="J1373">
        <f t="shared" si="164"/>
        <v>187.50392065526529</v>
      </c>
      <c r="K1373" s="27">
        <f t="shared" si="165"/>
        <v>1813.8066717302484</v>
      </c>
    </row>
    <row r="1374" spans="1:11">
      <c r="A1374" s="26">
        <v>1324</v>
      </c>
      <c r="B1374" s="82">
        <f t="shared" si="166"/>
        <v>3.2921237647087764E-4</v>
      </c>
      <c r="C1374" s="58">
        <f t="shared" si="170"/>
        <v>42.738472096535148</v>
      </c>
      <c r="D1374" s="83">
        <f t="shared" si="167"/>
        <v>181.29755187098962</v>
      </c>
      <c r="E1374">
        <f t="shared" si="163"/>
        <v>10.820853884007896</v>
      </c>
      <c r="G1374">
        <v>1324</v>
      </c>
      <c r="H1374" s="13">
        <f t="shared" si="168"/>
        <v>5.1608656820917531E-2</v>
      </c>
      <c r="I1374">
        <f t="shared" si="169"/>
        <v>110.63245654097953</v>
      </c>
      <c r="J1374">
        <f t="shared" si="164"/>
        <v>187.43818399711617</v>
      </c>
      <c r="K1374" s="27">
        <f t="shared" si="165"/>
        <v>1812.532168397126</v>
      </c>
    </row>
    <row r="1375" spans="1:11">
      <c r="A1375" s="26">
        <v>1325</v>
      </c>
      <c r="B1375" s="82">
        <f t="shared" si="166"/>
        <v>3.2921237647087764E-4</v>
      </c>
      <c r="C1375" s="58">
        <f t="shared" si="170"/>
        <v>42.738801308911619</v>
      </c>
      <c r="D1375" s="83">
        <f t="shared" si="167"/>
        <v>181.29817785802226</v>
      </c>
      <c r="E1375">
        <f t="shared" si="163"/>
        <v>10.820928607256306</v>
      </c>
      <c r="G1375">
        <v>1325</v>
      </c>
      <c r="H1375" s="13">
        <f t="shared" si="168"/>
        <v>5.1608656820917531E-2</v>
      </c>
      <c r="I1375">
        <f t="shared" si="169"/>
        <v>110.68406519780045</v>
      </c>
      <c r="J1375">
        <f t="shared" si="164"/>
        <v>187.37216763867556</v>
      </c>
      <c r="K1375" s="27">
        <f t="shared" si="165"/>
        <v>1811.2526830306413</v>
      </c>
    </row>
    <row r="1376" spans="1:11">
      <c r="A1376" s="26">
        <v>1326</v>
      </c>
      <c r="B1376" s="82">
        <f t="shared" si="166"/>
        <v>3.2921237647087764E-4</v>
      </c>
      <c r="C1376" s="58">
        <f t="shared" si="170"/>
        <v>42.739130521288089</v>
      </c>
      <c r="D1376" s="83">
        <f t="shared" si="167"/>
        <v>181.29880381858547</v>
      </c>
      <c r="E1376">
        <f t="shared" si="163"/>
        <v>10.821003327603167</v>
      </c>
      <c r="G1376">
        <v>1326</v>
      </c>
      <c r="H1376" s="13">
        <f t="shared" si="168"/>
        <v>5.1608656820917531E-2</v>
      </c>
      <c r="I1376">
        <f t="shared" si="169"/>
        <v>110.73567385462137</v>
      </c>
      <c r="J1376">
        <f t="shared" si="164"/>
        <v>187.30586935579379</v>
      </c>
      <c r="K1376" s="27">
        <f t="shared" si="165"/>
        <v>1809.9681780693775</v>
      </c>
    </row>
    <row r="1377" spans="1:11">
      <c r="A1377" s="26">
        <v>1327</v>
      </c>
      <c r="B1377" s="82">
        <f t="shared" si="166"/>
        <v>3.2921237647087764E-4</v>
      </c>
      <c r="C1377" s="58">
        <f t="shared" si="170"/>
        <v>42.73945973366456</v>
      </c>
      <c r="D1377" s="83">
        <f t="shared" si="167"/>
        <v>181.29942975268187</v>
      </c>
      <c r="E1377">
        <f t="shared" si="163"/>
        <v>10.821078045048759</v>
      </c>
      <c r="G1377">
        <v>1327</v>
      </c>
      <c r="H1377" s="13">
        <f t="shared" si="168"/>
        <v>5.1608656820917531E-2</v>
      </c>
      <c r="I1377">
        <f t="shared" si="169"/>
        <v>110.78728251144229</v>
      </c>
      <c r="J1377">
        <f t="shared" si="164"/>
        <v>187.23928689102615</v>
      </c>
      <c r="K1377" s="27">
        <f t="shared" si="165"/>
        <v>1808.6786153879154</v>
      </c>
    </row>
    <row r="1378" spans="1:11">
      <c r="A1378" s="26">
        <v>1328</v>
      </c>
      <c r="B1378" s="82">
        <f t="shared" si="166"/>
        <v>3.2921237647087764E-4</v>
      </c>
      <c r="C1378" s="58">
        <f t="shared" si="170"/>
        <v>42.739788946041031</v>
      </c>
      <c r="D1378" s="83">
        <f t="shared" si="167"/>
        <v>181.30005566031411</v>
      </c>
      <c r="E1378">
        <f t="shared" si="163"/>
        <v>10.821152759593369</v>
      </c>
      <c r="G1378">
        <v>1328</v>
      </c>
      <c r="H1378" s="13">
        <f t="shared" si="168"/>
        <v>5.1608656820917531E-2</v>
      </c>
      <c r="I1378">
        <f t="shared" si="169"/>
        <v>110.8388911682632</v>
      </c>
      <c r="J1378">
        <f t="shared" si="164"/>
        <v>187.17241795292944</v>
      </c>
      <c r="K1378" s="27">
        <f t="shared" si="165"/>
        <v>1807.3839562848759</v>
      </c>
    </row>
    <row r="1379" spans="1:11">
      <c r="A1379" s="26">
        <v>1329</v>
      </c>
      <c r="B1379" s="82">
        <f t="shared" si="166"/>
        <v>3.2921237647087764E-4</v>
      </c>
      <c r="C1379" s="58">
        <f t="shared" si="170"/>
        <v>42.740118158417502</v>
      </c>
      <c r="D1379" s="83">
        <f t="shared" si="167"/>
        <v>181.30068154148483</v>
      </c>
      <c r="E1379">
        <f t="shared" si="163"/>
        <v>10.821227471237277</v>
      </c>
      <c r="G1379">
        <v>1329</v>
      </c>
      <c r="H1379" s="13">
        <f t="shared" si="168"/>
        <v>5.1608656820917531E-2</v>
      </c>
      <c r="I1379">
        <f t="shared" si="169"/>
        <v>110.89049982508412</v>
      </c>
      <c r="J1379">
        <f t="shared" si="164"/>
        <v>187.10526021533917</v>
      </c>
      <c r="K1379" s="27">
        <f t="shared" si="165"/>
        <v>1806.0841614706371</v>
      </c>
    </row>
    <row r="1380" spans="1:11">
      <c r="A1380" s="26">
        <v>1330</v>
      </c>
      <c r="B1380" s="82">
        <f t="shared" si="166"/>
        <v>3.2921237647087764E-4</v>
      </c>
      <c r="C1380" s="58">
        <f t="shared" si="170"/>
        <v>42.740447370793973</v>
      </c>
      <c r="D1380" s="83">
        <f t="shared" si="167"/>
        <v>181.30130739619662</v>
      </c>
      <c r="E1380">
        <f t="shared" si="163"/>
        <v>10.821302179980755</v>
      </c>
      <c r="G1380">
        <v>1330</v>
      </c>
      <c r="H1380" s="13">
        <f t="shared" si="168"/>
        <v>5.1608656820917531E-2</v>
      </c>
      <c r="I1380">
        <f t="shared" si="169"/>
        <v>110.94210848190504</v>
      </c>
      <c r="J1380">
        <f t="shared" si="164"/>
        <v>187.0378113166268</v>
      </c>
      <c r="K1380" s="27">
        <f t="shared" si="165"/>
        <v>1804.7791910547101</v>
      </c>
    </row>
    <row r="1381" spans="1:11">
      <c r="A1381" s="26">
        <v>1331</v>
      </c>
      <c r="B1381" s="82">
        <f t="shared" si="166"/>
        <v>3.2921237647087764E-4</v>
      </c>
      <c r="C1381" s="58">
        <f t="shared" si="170"/>
        <v>42.740776583170444</v>
      </c>
      <c r="D1381" s="83">
        <f t="shared" si="167"/>
        <v>181.30193322445211</v>
      </c>
      <c r="E1381">
        <f t="shared" si="163"/>
        <v>10.821376885824094</v>
      </c>
      <c r="G1381">
        <v>1331</v>
      </c>
      <c r="H1381" s="13">
        <f t="shared" si="168"/>
        <v>5.1608656820917531E-2</v>
      </c>
      <c r="I1381">
        <f t="shared" si="169"/>
        <v>110.99371713872596</v>
      </c>
      <c r="J1381">
        <f t="shared" si="164"/>
        <v>186.97006885893623</v>
      </c>
      <c r="K1381" s="27">
        <f t="shared" si="165"/>
        <v>1803.4690045327636</v>
      </c>
    </row>
    <row r="1382" spans="1:11">
      <c r="A1382" s="26">
        <v>1332</v>
      </c>
      <c r="B1382" s="82">
        <f t="shared" si="166"/>
        <v>3.2921237647087764E-4</v>
      </c>
      <c r="C1382" s="58">
        <f t="shared" si="170"/>
        <v>42.741105795546915</v>
      </c>
      <c r="D1382" s="83">
        <f t="shared" si="167"/>
        <v>181.30255902625396</v>
      </c>
      <c r="E1382">
        <f t="shared" si="163"/>
        <v>10.821451588767573</v>
      </c>
      <c r="G1382">
        <v>1332</v>
      </c>
      <c r="H1382" s="13">
        <f t="shared" si="168"/>
        <v>5.1608656820917531E-2</v>
      </c>
      <c r="I1382">
        <f t="shared" si="169"/>
        <v>111.04532579554687</v>
      </c>
      <c r="J1382">
        <f t="shared" si="164"/>
        <v>186.9020304073992</v>
      </c>
      <c r="K1382" s="27">
        <f t="shared" si="165"/>
        <v>1802.1535607732867</v>
      </c>
    </row>
    <row r="1383" spans="1:11">
      <c r="A1383" s="26">
        <v>1333</v>
      </c>
      <c r="B1383" s="82">
        <f t="shared" si="166"/>
        <v>3.2921237647087764E-4</v>
      </c>
      <c r="C1383" s="58">
        <f t="shared" si="170"/>
        <v>42.741435007923386</v>
      </c>
      <c r="D1383" s="83">
        <f t="shared" si="167"/>
        <v>181.3031848016048</v>
      </c>
      <c r="E1383">
        <f t="shared" si="163"/>
        <v>10.821526288811471</v>
      </c>
      <c r="G1383">
        <v>1333</v>
      </c>
      <c r="H1383" s="13">
        <f t="shared" si="168"/>
        <v>5.1608656820917531E-2</v>
      </c>
      <c r="I1383">
        <f t="shared" si="169"/>
        <v>111.09693445236779</v>
      </c>
      <c r="J1383">
        <f t="shared" si="164"/>
        <v>186.83369348932828</v>
      </c>
      <c r="K1383" s="27">
        <f t="shared" si="165"/>
        <v>1800.832818003867</v>
      </c>
    </row>
    <row r="1384" spans="1:11">
      <c r="A1384" s="26">
        <v>1334</v>
      </c>
      <c r="B1384" s="82">
        <f t="shared" si="166"/>
        <v>3.2921237647087764E-4</v>
      </c>
      <c r="C1384" s="58">
        <f t="shared" si="170"/>
        <v>42.741764220299856</v>
      </c>
      <c r="D1384" s="83">
        <f t="shared" si="167"/>
        <v>181.30381055050722</v>
      </c>
      <c r="E1384">
        <f t="shared" si="163"/>
        <v>10.821600985956069</v>
      </c>
      <c r="G1384">
        <v>1334</v>
      </c>
      <c r="H1384" s="13">
        <f t="shared" si="168"/>
        <v>5.1608656820917531E-2</v>
      </c>
      <c r="I1384">
        <f t="shared" si="169"/>
        <v>111.14854310918871</v>
      </c>
      <c r="J1384">
        <f t="shared" si="164"/>
        <v>186.76505559338733</v>
      </c>
      <c r="K1384" s="27">
        <f t="shared" si="165"/>
        <v>1799.5067337970906</v>
      </c>
    </row>
    <row r="1385" spans="1:11">
      <c r="A1385" s="26">
        <v>1335</v>
      </c>
      <c r="B1385" s="82">
        <f t="shared" si="166"/>
        <v>3.2921237647087764E-4</v>
      </c>
      <c r="C1385" s="58">
        <f t="shared" si="170"/>
        <v>42.742093432676327</v>
      </c>
      <c r="D1385" s="83">
        <f t="shared" si="167"/>
        <v>181.30443627296387</v>
      </c>
      <c r="E1385">
        <f t="shared" si="163"/>
        <v>10.821675680201649</v>
      </c>
      <c r="G1385">
        <v>1335</v>
      </c>
      <c r="H1385" s="13">
        <f t="shared" si="168"/>
        <v>5.1608656820917531E-2</v>
      </c>
      <c r="I1385">
        <f t="shared" si="169"/>
        <v>111.20015176600963</v>
      </c>
      <c r="J1385">
        <f t="shared" si="164"/>
        <v>186.69611416873795</v>
      </c>
      <c r="K1385" s="27">
        <f t="shared" si="165"/>
        <v>1798.1752650560268</v>
      </c>
    </row>
    <row r="1386" spans="1:11">
      <c r="A1386" s="26">
        <v>1336</v>
      </c>
      <c r="B1386" s="82">
        <f t="shared" si="166"/>
        <v>3.2921237647087764E-4</v>
      </c>
      <c r="C1386" s="58">
        <f t="shared" si="170"/>
        <v>42.742422645052798</v>
      </c>
      <c r="D1386" s="83">
        <f t="shared" si="167"/>
        <v>181.30506196897736</v>
      </c>
      <c r="E1386">
        <f t="shared" si="163"/>
        <v>10.82175037154849</v>
      </c>
      <c r="G1386">
        <v>1336</v>
      </c>
      <c r="H1386" s="13">
        <f t="shared" si="168"/>
        <v>5.1608656820917531E-2</v>
      </c>
      <c r="I1386">
        <f t="shared" si="169"/>
        <v>111.25176042283054</v>
      </c>
      <c r="J1386">
        <f t="shared" si="164"/>
        <v>186.62686662416181</v>
      </c>
      <c r="K1386" s="27">
        <f t="shared" si="165"/>
        <v>1796.8383679993046</v>
      </c>
    </row>
    <row r="1387" spans="1:11">
      <c r="A1387" s="26">
        <v>1337</v>
      </c>
      <c r="B1387" s="82">
        <f t="shared" si="166"/>
        <v>3.2921237647087764E-4</v>
      </c>
      <c r="C1387" s="58">
        <f t="shared" si="170"/>
        <v>42.742751857429269</v>
      </c>
      <c r="D1387" s="83">
        <f t="shared" si="167"/>
        <v>181.30568763855032</v>
      </c>
      <c r="E1387">
        <f t="shared" si="163"/>
        <v>10.82182505999687</v>
      </c>
      <c r="G1387">
        <v>1337</v>
      </c>
      <c r="H1387" s="13">
        <f t="shared" si="168"/>
        <v>5.1608656820917531E-2</v>
      </c>
      <c r="I1387">
        <f t="shared" si="169"/>
        <v>111.30336907965146</v>
      </c>
      <c r="J1387">
        <f t="shared" si="164"/>
        <v>186.55731032715735</v>
      </c>
      <c r="K1387" s="27">
        <f t="shared" si="165"/>
        <v>1795.4959981457525</v>
      </c>
    </row>
    <row r="1388" spans="1:11">
      <c r="A1388" s="26">
        <v>1338</v>
      </c>
      <c r="B1388" s="82">
        <f t="shared" si="166"/>
        <v>3.2921237647087764E-4</v>
      </c>
      <c r="C1388" s="58">
        <f t="shared" si="170"/>
        <v>42.74308106980574</v>
      </c>
      <c r="D1388" s="83">
        <f t="shared" si="167"/>
        <v>181.30631328168539</v>
      </c>
      <c r="E1388">
        <f t="shared" si="163"/>
        <v>10.821899745547078</v>
      </c>
      <c r="G1388">
        <v>1338</v>
      </c>
      <c r="H1388" s="13">
        <f t="shared" si="168"/>
        <v>5.1608656820917531E-2</v>
      </c>
      <c r="I1388">
        <f t="shared" si="169"/>
        <v>111.35497773647238</v>
      </c>
      <c r="J1388">
        <f t="shared" si="164"/>
        <v>186.48744260301046</v>
      </c>
      <c r="K1388" s="27">
        <f t="shared" si="165"/>
        <v>1794.1481102985897</v>
      </c>
    </row>
    <row r="1389" spans="1:11">
      <c r="A1389" s="26">
        <v>1339</v>
      </c>
      <c r="B1389" s="82">
        <f t="shared" si="166"/>
        <v>3.2921237647087764E-4</v>
      </c>
      <c r="C1389" s="58">
        <f t="shared" si="170"/>
        <v>42.743410282182211</v>
      </c>
      <c r="D1389" s="83">
        <f t="shared" si="167"/>
        <v>181.3069388983852</v>
      </c>
      <c r="E1389">
        <f t="shared" si="163"/>
        <v>10.821974428199388</v>
      </c>
      <c r="G1389">
        <v>1339</v>
      </c>
      <c r="H1389" s="13">
        <f t="shared" si="168"/>
        <v>5.1608656820917531E-2</v>
      </c>
      <c r="I1389">
        <f t="shared" si="169"/>
        <v>111.4065863932933</v>
      </c>
      <c r="J1389">
        <f t="shared" si="164"/>
        <v>186.41726073383779</v>
      </c>
      <c r="K1389" s="27">
        <f t="shared" si="165"/>
        <v>1792.7946585291554</v>
      </c>
    </row>
    <row r="1390" spans="1:11">
      <c r="A1390" s="26">
        <v>1340</v>
      </c>
      <c r="B1390" s="82">
        <f t="shared" si="166"/>
        <v>3.2921237647087764E-4</v>
      </c>
      <c r="C1390" s="58">
        <f t="shared" si="170"/>
        <v>42.743739494558682</v>
      </c>
      <c r="D1390" s="83">
        <f t="shared" si="167"/>
        <v>181.30756448865233</v>
      </c>
      <c r="E1390">
        <f t="shared" si="163"/>
        <v>10.822049107954085</v>
      </c>
      <c r="G1390">
        <v>1340</v>
      </c>
      <c r="H1390" s="13">
        <f t="shared" si="168"/>
        <v>5.1608656820917531E-2</v>
      </c>
      <c r="I1390">
        <f t="shared" si="169"/>
        <v>111.45819505011421</v>
      </c>
      <c r="J1390">
        <f t="shared" si="164"/>
        <v>186.34676195760196</v>
      </c>
      <c r="K1390" s="27">
        <f t="shared" si="165"/>
        <v>1791.4355961601568</v>
      </c>
    </row>
    <row r="1391" spans="1:11">
      <c r="A1391" s="26">
        <v>1341</v>
      </c>
      <c r="B1391" s="82">
        <f t="shared" si="166"/>
        <v>3.2921237647087764E-4</v>
      </c>
      <c r="C1391" s="58">
        <f t="shared" si="170"/>
        <v>42.744068706935153</v>
      </c>
      <c r="D1391" s="83">
        <f t="shared" si="167"/>
        <v>181.30819005248946</v>
      </c>
      <c r="E1391">
        <f t="shared" si="163"/>
        <v>10.822123784811446</v>
      </c>
      <c r="G1391">
        <v>1341</v>
      </c>
      <c r="H1391" s="13">
        <f t="shared" si="168"/>
        <v>5.1608656820917531E-2</v>
      </c>
      <c r="I1391">
        <f t="shared" si="169"/>
        <v>111.50980370693513</v>
      </c>
      <c r="J1391">
        <f t="shared" si="164"/>
        <v>186.27594346709756</v>
      </c>
      <c r="K1391" s="27">
        <f t="shared" si="165"/>
        <v>1790.0708757484183</v>
      </c>
    </row>
    <row r="1392" spans="1:11">
      <c r="A1392" s="26">
        <v>1342</v>
      </c>
      <c r="B1392" s="82">
        <f t="shared" si="166"/>
        <v>3.2921237647087764E-4</v>
      </c>
      <c r="C1392" s="58">
        <f t="shared" si="170"/>
        <v>42.744397919311623</v>
      </c>
      <c r="D1392" s="83">
        <f t="shared" si="167"/>
        <v>181.30881558989918</v>
      </c>
      <c r="E1392">
        <f t="shared" si="163"/>
        <v>10.822198458771746</v>
      </c>
      <c r="G1392">
        <v>1342</v>
      </c>
      <c r="H1392" s="13">
        <f t="shared" si="168"/>
        <v>5.1608656820917531E-2</v>
      </c>
      <c r="I1392">
        <f t="shared" si="169"/>
        <v>111.56141236375605</v>
      </c>
      <c r="J1392">
        <f t="shared" si="164"/>
        <v>186.20480240890709</v>
      </c>
      <c r="K1392" s="27">
        <f t="shared" si="165"/>
        <v>1788.7004490671159</v>
      </c>
    </row>
    <row r="1393" spans="1:11">
      <c r="A1393" s="26">
        <v>1343</v>
      </c>
      <c r="B1393" s="82">
        <f t="shared" si="166"/>
        <v>3.2921237647087764E-4</v>
      </c>
      <c r="C1393" s="58">
        <f t="shared" si="170"/>
        <v>42.744727131688094</v>
      </c>
      <c r="D1393" s="83">
        <f t="shared" si="167"/>
        <v>181.3094411008841</v>
      </c>
      <c r="E1393">
        <f t="shared" si="163"/>
        <v>10.822273129835279</v>
      </c>
      <c r="G1393">
        <v>1343</v>
      </c>
      <c r="H1393" s="13">
        <f t="shared" si="168"/>
        <v>5.1608656820917531E-2</v>
      </c>
      <c r="I1393">
        <f t="shared" si="169"/>
        <v>111.61302102057697</v>
      </c>
      <c r="J1393">
        <f t="shared" si="164"/>
        <v>186.13333588232513</v>
      </c>
      <c r="K1393" s="27">
        <f t="shared" si="165"/>
        <v>1787.3242670874713</v>
      </c>
    </row>
    <row r="1394" spans="1:11">
      <c r="A1394" s="26">
        <v>1344</v>
      </c>
      <c r="B1394" s="82">
        <f t="shared" si="166"/>
        <v>3.2921237647087764E-4</v>
      </c>
      <c r="C1394" s="58">
        <f t="shared" si="170"/>
        <v>42.745056344064565</v>
      </c>
      <c r="D1394" s="83">
        <f t="shared" si="167"/>
        <v>181.31006658544689</v>
      </c>
      <c r="E1394">
        <f t="shared" si="163"/>
        <v>10.822347798002319</v>
      </c>
      <c r="G1394">
        <v>1344</v>
      </c>
      <c r="H1394" s="13">
        <f t="shared" si="168"/>
        <v>5.1608656820917531E-2</v>
      </c>
      <c r="I1394">
        <f t="shared" si="169"/>
        <v>111.66462967739788</v>
      </c>
      <c r="J1394">
        <f t="shared" si="164"/>
        <v>186.06154093825029</v>
      </c>
      <c r="K1394" s="27">
        <f t="shared" si="165"/>
        <v>1785.9422799598979</v>
      </c>
    </row>
    <row r="1395" spans="1:11">
      <c r="A1395" s="26">
        <v>1345</v>
      </c>
      <c r="B1395" s="82">
        <f t="shared" si="166"/>
        <v>3.2921237647087764E-4</v>
      </c>
      <c r="C1395" s="58">
        <f t="shared" si="170"/>
        <v>42.745385556441036</v>
      </c>
      <c r="D1395" s="83">
        <f t="shared" si="167"/>
        <v>181.31069204359014</v>
      </c>
      <c r="E1395">
        <f t="shared" ref="E1395:E1458" si="171">((D1395^2)+(D1395*D1396)+(D1396^2))*B1396/3</f>
        <v>10.822422463273142</v>
      </c>
      <c r="G1395">
        <v>1345</v>
      </c>
      <c r="H1395" s="13">
        <f t="shared" si="168"/>
        <v>5.1608656820917531E-2</v>
      </c>
      <c r="I1395">
        <f t="shared" si="169"/>
        <v>111.7162383342188</v>
      </c>
      <c r="J1395">
        <f t="shared" ref="J1395:J1458" si="172">IF($G$28&lt;$C$14,0,((($C$11^2)-((I1395-$C$13)^2))^0.5)+$C$16)</f>
        <v>185.98941457804349</v>
      </c>
      <c r="K1395" s="27">
        <f t="shared" ref="K1395:K1458" si="173">((J1395^2)+(J1395*J1396)+(J1396^2))*H1396/3</f>
        <v>1784.5544369945658</v>
      </c>
    </row>
    <row r="1396" spans="1:11">
      <c r="A1396" s="26">
        <v>1346</v>
      </c>
      <c r="B1396" s="82">
        <f t="shared" ref="B1396:B1459" si="174">C1396-C1395</f>
        <v>3.2921237647087764E-4</v>
      </c>
      <c r="C1396" s="58">
        <f t="shared" si="170"/>
        <v>42.745714768817507</v>
      </c>
      <c r="D1396" s="83">
        <f t="shared" ref="D1396:D1459" si="175">IF($G$28&lt;$C$14,0,((($C$11^2)-((C1396-$C$13)^2))^0.5)+$C$16)</f>
        <v>181.31131747531646</v>
      </c>
      <c r="E1396">
        <f t="shared" si="171"/>
        <v>10.822497125648033</v>
      </c>
      <c r="G1396">
        <v>1346</v>
      </c>
      <c r="H1396" s="13">
        <f t="shared" ref="H1396:H1459" si="176">I1396-I1395</f>
        <v>5.1608656820917531E-2</v>
      </c>
      <c r="I1396">
        <f t="shared" ref="I1396:I1459" si="177">($G$27-$C$14)/2000+I1395</f>
        <v>111.76784699103972</v>
      </c>
      <c r="J1396">
        <f t="shared" si="172"/>
        <v>185.91695375235088</v>
      </c>
      <c r="K1396" s="27">
        <f t="shared" si="173"/>
        <v>1783.1606866413676</v>
      </c>
    </row>
    <row r="1397" spans="1:11">
      <c r="A1397" s="26">
        <v>1347</v>
      </c>
      <c r="B1397" s="82">
        <f t="shared" si="174"/>
        <v>3.2921237647087764E-4</v>
      </c>
      <c r="C1397" s="58">
        <f t="shared" si="170"/>
        <v>42.746043981193978</v>
      </c>
      <c r="D1397" s="83">
        <f t="shared" si="175"/>
        <v>181.31194288062849</v>
      </c>
      <c r="E1397">
        <f t="shared" si="171"/>
        <v>10.822571785127268</v>
      </c>
      <c r="G1397">
        <v>1347</v>
      </c>
      <c r="H1397" s="13">
        <f t="shared" si="176"/>
        <v>5.1608656820917531E-2</v>
      </c>
      <c r="I1397">
        <f t="shared" si="177"/>
        <v>111.81945564786064</v>
      </c>
      <c r="J1397">
        <f t="shared" si="172"/>
        <v>185.84415535989069</v>
      </c>
      <c r="K1397" s="27">
        <f t="shared" si="173"/>
        <v>1781.7609764692681</v>
      </c>
    </row>
    <row r="1398" spans="1:11">
      <c r="A1398" s="26">
        <v>1348</v>
      </c>
      <c r="B1398" s="82">
        <f t="shared" si="174"/>
        <v>3.2921237647087764E-4</v>
      </c>
      <c r="C1398" s="58">
        <f t="shared" si="170"/>
        <v>42.746373193570449</v>
      </c>
      <c r="D1398" s="83">
        <f t="shared" si="175"/>
        <v>181.31256825952883</v>
      </c>
      <c r="E1398">
        <f t="shared" si="171"/>
        <v>10.822646441711134</v>
      </c>
      <c r="G1398">
        <v>1348</v>
      </c>
      <c r="H1398" s="13">
        <f t="shared" si="176"/>
        <v>5.1608656820917531E-2</v>
      </c>
      <c r="I1398">
        <f t="shared" si="177"/>
        <v>111.87106430468155</v>
      </c>
      <c r="J1398">
        <f t="shared" si="172"/>
        <v>185.77101624620235</v>
      </c>
      <c r="K1398" s="27">
        <f t="shared" si="173"/>
        <v>1780.3552531450061</v>
      </c>
    </row>
    <row r="1399" spans="1:11">
      <c r="A1399" s="26">
        <v>1349</v>
      </c>
      <c r="B1399" s="82">
        <f t="shared" si="174"/>
        <v>3.2921237647087764E-4</v>
      </c>
      <c r="C1399" s="58">
        <f t="shared" si="170"/>
        <v>42.74670240594692</v>
      </c>
      <c r="D1399" s="83">
        <f t="shared" si="175"/>
        <v>181.31319361202014</v>
      </c>
      <c r="E1399">
        <f t="shared" si="171"/>
        <v>10.822721095399906</v>
      </c>
      <c r="G1399">
        <v>1349</v>
      </c>
      <c r="H1399" s="13">
        <f t="shared" si="176"/>
        <v>5.1608656820917531E-2</v>
      </c>
      <c r="I1399">
        <f t="shared" si="177"/>
        <v>111.92267296150247</v>
      </c>
      <c r="J1399">
        <f t="shared" si="172"/>
        <v>185.69753320235642</v>
      </c>
      <c r="K1399" s="27">
        <f t="shared" si="173"/>
        <v>1778.9434624111309</v>
      </c>
    </row>
    <row r="1400" spans="1:11">
      <c r="A1400" s="26">
        <v>1350</v>
      </c>
      <c r="B1400" s="82">
        <f t="shared" si="174"/>
        <v>3.2921237647087764E-4</v>
      </c>
      <c r="C1400" s="58">
        <f t="shared" si="170"/>
        <v>42.74703161832339</v>
      </c>
      <c r="D1400" s="83">
        <f t="shared" si="175"/>
        <v>181.31381893810502</v>
      </c>
      <c r="E1400">
        <f t="shared" si="171"/>
        <v>10.822795746193867</v>
      </c>
      <c r="G1400">
        <v>1350</v>
      </c>
      <c r="H1400" s="13">
        <f t="shared" si="176"/>
        <v>5.1608656820917531E-2</v>
      </c>
      <c r="I1400">
        <f t="shared" si="177"/>
        <v>111.97428161832339</v>
      </c>
      <c r="J1400">
        <f t="shared" si="172"/>
        <v>185.6237029636238</v>
      </c>
      <c r="K1400" s="27">
        <f t="shared" si="173"/>
        <v>1777.5255490633369</v>
      </c>
    </row>
    <row r="1401" spans="1:11">
      <c r="A1401" s="26">
        <v>1351</v>
      </c>
      <c r="B1401" s="82">
        <f t="shared" si="174"/>
        <v>3.2921237647087764E-4</v>
      </c>
      <c r="C1401" s="58">
        <f t="shared" si="170"/>
        <v>42.747360830699861</v>
      </c>
      <c r="D1401" s="83">
        <f t="shared" si="175"/>
        <v>181.31444423778606</v>
      </c>
      <c r="E1401">
        <f t="shared" si="171"/>
        <v>10.822870394093293</v>
      </c>
      <c r="G1401">
        <v>1351</v>
      </c>
      <c r="H1401" s="13">
        <f t="shared" si="176"/>
        <v>5.1608656820917531E-2</v>
      </c>
      <c r="I1401">
        <f t="shared" si="177"/>
        <v>112.02589027514431</v>
      </c>
      <c r="J1401">
        <f t="shared" si="172"/>
        <v>185.54952220810267</v>
      </c>
      <c r="K1401" s="27">
        <f t="shared" si="173"/>
        <v>1776.1014569270853</v>
      </c>
    </row>
    <row r="1402" spans="1:11">
      <c r="A1402" s="26">
        <v>1352</v>
      </c>
      <c r="B1402" s="82">
        <f t="shared" si="174"/>
        <v>3.2921237647087764E-4</v>
      </c>
      <c r="C1402" s="58">
        <f t="shared" si="170"/>
        <v>42.747690043076332</v>
      </c>
      <c r="D1402" s="83">
        <f t="shared" si="175"/>
        <v>181.3150695110659</v>
      </c>
      <c r="E1402">
        <f t="shared" si="171"/>
        <v>10.822945039098469</v>
      </c>
      <c r="G1402">
        <v>1352</v>
      </c>
      <c r="H1402" s="13">
        <f t="shared" si="176"/>
        <v>5.1608656820917531E-2</v>
      </c>
      <c r="I1402">
        <f t="shared" si="177"/>
        <v>112.07749893196522</v>
      </c>
      <c r="J1402">
        <f t="shared" si="172"/>
        <v>185.47498755530177</v>
      </c>
      <c r="K1402" s="27">
        <f t="shared" si="173"/>
        <v>1774.6711288334675</v>
      </c>
    </row>
    <row r="1403" spans="1:11">
      <c r="A1403" s="26">
        <v>1353</v>
      </c>
      <c r="B1403" s="82">
        <f t="shared" si="174"/>
        <v>3.2921237647087764E-4</v>
      </c>
      <c r="C1403" s="58">
        <f t="shared" si="170"/>
        <v>42.748019255452803</v>
      </c>
      <c r="D1403" s="83">
        <f t="shared" si="175"/>
        <v>181.3156947579472</v>
      </c>
      <c r="E1403">
        <f t="shared" si="171"/>
        <v>10.82301968120967</v>
      </c>
      <c r="G1403">
        <v>1353</v>
      </c>
      <c r="H1403" s="13">
        <f t="shared" si="176"/>
        <v>5.1608656820917531E-2</v>
      </c>
      <c r="I1403">
        <f t="shared" si="177"/>
        <v>112.12910758878614</v>
      </c>
      <c r="J1403">
        <f t="shared" si="172"/>
        <v>185.40009556467768</v>
      </c>
      <c r="K1403" s="27">
        <f t="shared" si="173"/>
        <v>1773.2345065942939</v>
      </c>
    </row>
    <row r="1404" spans="1:11">
      <c r="A1404" s="26">
        <v>1354</v>
      </c>
      <c r="B1404" s="82">
        <f t="shared" si="174"/>
        <v>3.2921237647087764E-4</v>
      </c>
      <c r="C1404" s="58">
        <f t="shared" si="170"/>
        <v>42.748348467829274</v>
      </c>
      <c r="D1404" s="83">
        <f t="shared" si="175"/>
        <v>181.31631997843249</v>
      </c>
      <c r="E1404">
        <f t="shared" si="171"/>
        <v>10.823094320427179</v>
      </c>
      <c r="G1404">
        <v>1354</v>
      </c>
      <c r="H1404" s="13">
        <f t="shared" si="176"/>
        <v>5.1608656820917531E-2</v>
      </c>
      <c r="I1404">
        <f t="shared" si="177"/>
        <v>112.18071624560706</v>
      </c>
      <c r="J1404">
        <f t="shared" si="172"/>
        <v>185.32484273412499</v>
      </c>
      <c r="K1404" s="27">
        <f t="shared" si="173"/>
        <v>1771.7915309763678</v>
      </c>
    </row>
    <row r="1405" spans="1:11">
      <c r="A1405" s="26">
        <v>1355</v>
      </c>
      <c r="B1405" s="82">
        <f t="shared" si="174"/>
        <v>3.2921237647087764E-4</v>
      </c>
      <c r="C1405" s="58">
        <f t="shared" si="170"/>
        <v>42.748677680205745</v>
      </c>
      <c r="D1405" s="83">
        <f t="shared" si="175"/>
        <v>181.31694517252447</v>
      </c>
      <c r="E1405">
        <f t="shared" si="171"/>
        <v>10.823168956751276</v>
      </c>
      <c r="G1405">
        <v>1355</v>
      </c>
      <c r="H1405" s="13">
        <f t="shared" si="176"/>
        <v>5.1608656820917531E-2</v>
      </c>
      <c r="I1405">
        <f t="shared" si="177"/>
        <v>112.23232490242798</v>
      </c>
      <c r="J1405">
        <f t="shared" si="172"/>
        <v>185.24922549841682</v>
      </c>
      <c r="K1405" s="27">
        <f t="shared" si="173"/>
        <v>1770.3421416749172</v>
      </c>
    </row>
    <row r="1406" spans="1:11">
      <c r="A1406" s="26">
        <v>1356</v>
      </c>
      <c r="B1406" s="82">
        <f t="shared" si="174"/>
        <v>3.2921237647087764E-4</v>
      </c>
      <c r="C1406" s="58">
        <f t="shared" si="170"/>
        <v>42.749006892582216</v>
      </c>
      <c r="D1406" s="83">
        <f t="shared" si="175"/>
        <v>181.3175703402257</v>
      </c>
      <c r="E1406">
        <f t="shared" si="171"/>
        <v>10.823243590182239</v>
      </c>
      <c r="G1406">
        <v>1356</v>
      </c>
      <c r="H1406" s="13">
        <f t="shared" si="176"/>
        <v>5.1608656820917531E-2</v>
      </c>
      <c r="I1406">
        <f t="shared" si="177"/>
        <v>112.28393355924889</v>
      </c>
      <c r="J1406">
        <f t="shared" si="172"/>
        <v>185.17324022759439</v>
      </c>
      <c r="K1406" s="27">
        <f t="shared" si="173"/>
        <v>1768.8862772861496</v>
      </c>
    </row>
    <row r="1407" spans="1:11">
      <c r="A1407" s="26">
        <v>1357</v>
      </c>
      <c r="B1407" s="82">
        <f t="shared" si="174"/>
        <v>3.2921237647087764E-4</v>
      </c>
      <c r="C1407" s="58">
        <f t="shared" si="170"/>
        <v>42.749336104958687</v>
      </c>
      <c r="D1407" s="83">
        <f t="shared" si="175"/>
        <v>181.31819548153885</v>
      </c>
      <c r="E1407">
        <f t="shared" si="171"/>
        <v>10.823318220720351</v>
      </c>
      <c r="G1407">
        <v>1357</v>
      </c>
      <c r="H1407" s="13">
        <f t="shared" si="176"/>
        <v>5.1608656820917531E-2</v>
      </c>
      <c r="I1407">
        <f t="shared" si="177"/>
        <v>112.33554221606981</v>
      </c>
      <c r="J1407">
        <f t="shared" si="172"/>
        <v>185.09688322530272</v>
      </c>
      <c r="K1407" s="27">
        <f t="shared" si="173"/>
        <v>1767.4238752788888</v>
      </c>
    </row>
    <row r="1408" spans="1:11">
      <c r="A1408" s="26">
        <v>1358</v>
      </c>
      <c r="B1408" s="82">
        <f t="shared" si="174"/>
        <v>3.2921237647087764E-4</v>
      </c>
      <c r="C1408" s="58">
        <f t="shared" si="170"/>
        <v>42.749665317335158</v>
      </c>
      <c r="D1408" s="83">
        <f t="shared" si="175"/>
        <v>181.31882059646648</v>
      </c>
      <c r="E1408">
        <f t="shared" si="171"/>
        <v>10.823392848365884</v>
      </c>
      <c r="G1408">
        <v>1358</v>
      </c>
      <c r="H1408" s="13">
        <f t="shared" si="176"/>
        <v>5.1608656820917531E-2</v>
      </c>
      <c r="I1408">
        <f t="shared" si="177"/>
        <v>112.38715087289073</v>
      </c>
      <c r="J1408">
        <f t="shared" si="172"/>
        <v>185.02015072707107</v>
      </c>
      <c r="K1408" s="27">
        <f t="shared" si="173"/>
        <v>1765.9548719652666</v>
      </c>
    </row>
    <row r="1409" spans="1:11">
      <c r="A1409" s="26">
        <v>1359</v>
      </c>
      <c r="B1409" s="82">
        <f t="shared" si="174"/>
        <v>3.2921237647087764E-4</v>
      </c>
      <c r="C1409" s="58">
        <f t="shared" si="170"/>
        <v>42.749994529711628</v>
      </c>
      <c r="D1409" s="83">
        <f t="shared" si="175"/>
        <v>181.31944568501123</v>
      </c>
      <c r="E1409">
        <f t="shared" si="171"/>
        <v>10.823467473119125</v>
      </c>
      <c r="G1409">
        <v>1359</v>
      </c>
      <c r="H1409" s="13">
        <f t="shared" si="176"/>
        <v>5.1608656820917531E-2</v>
      </c>
      <c r="I1409">
        <f t="shared" si="177"/>
        <v>112.43875952971165</v>
      </c>
      <c r="J1409">
        <f t="shared" si="172"/>
        <v>184.94303889853543</v>
      </c>
      <c r="K1409" s="27">
        <f t="shared" si="173"/>
        <v>1764.4792024704218</v>
      </c>
    </row>
    <row r="1410" spans="1:11">
      <c r="A1410" s="26">
        <v>1360</v>
      </c>
      <c r="B1410" s="82">
        <f t="shared" si="174"/>
        <v>3.2921237647087764E-4</v>
      </c>
      <c r="C1410" s="58">
        <f t="shared" si="170"/>
        <v>42.750323742088099</v>
      </c>
      <c r="D1410" s="83">
        <f t="shared" si="175"/>
        <v>181.32007074717572</v>
      </c>
      <c r="E1410">
        <f t="shared" si="171"/>
        <v>10.823542094980354</v>
      </c>
      <c r="G1410">
        <v>1360</v>
      </c>
      <c r="H1410" s="13">
        <f t="shared" si="176"/>
        <v>5.1608656820917531E-2</v>
      </c>
      <c r="I1410">
        <f t="shared" si="177"/>
        <v>112.49036818653256</v>
      </c>
      <c r="J1410">
        <f t="shared" si="172"/>
        <v>184.86554383360067</v>
      </c>
      <c r="K1410" s="27">
        <f t="shared" si="173"/>
        <v>1762.9968007011632</v>
      </c>
    </row>
    <row r="1411" spans="1:11">
      <c r="A1411" s="26">
        <v>1361</v>
      </c>
      <c r="B1411" s="82">
        <f t="shared" si="174"/>
        <v>3.2921237647087764E-4</v>
      </c>
      <c r="C1411" s="58">
        <f t="shared" si="170"/>
        <v>42.75065295446457</v>
      </c>
      <c r="D1411" s="83">
        <f t="shared" si="175"/>
        <v>181.32069578296256</v>
      </c>
      <c r="E1411">
        <f t="shared" si="171"/>
        <v>10.823616713949846</v>
      </c>
      <c r="G1411">
        <v>1361</v>
      </c>
      <c r="H1411" s="13">
        <f t="shared" si="176"/>
        <v>5.1608656820917531E-2</v>
      </c>
      <c r="I1411">
        <f t="shared" si="177"/>
        <v>112.54197684335348</v>
      </c>
      <c r="J1411">
        <f t="shared" si="172"/>
        <v>184.78766155253973</v>
      </c>
      <c r="K1411" s="27">
        <f t="shared" si="173"/>
        <v>1761.5075993135642</v>
      </c>
    </row>
    <row r="1412" spans="1:11">
      <c r="A1412" s="26">
        <v>1362</v>
      </c>
      <c r="B1412" s="82">
        <f t="shared" si="174"/>
        <v>3.2921237647087764E-4</v>
      </c>
      <c r="C1412" s="58">
        <f t="shared" si="170"/>
        <v>42.750982166841041</v>
      </c>
      <c r="D1412" s="83">
        <f t="shared" si="175"/>
        <v>181.32132079237437</v>
      </c>
      <c r="E1412">
        <f t="shared" si="171"/>
        <v>10.823691330027884</v>
      </c>
      <c r="G1412">
        <v>1362</v>
      </c>
      <c r="H1412" s="13">
        <f t="shared" si="176"/>
        <v>5.1608656820917531E-2</v>
      </c>
      <c r="I1412">
        <f t="shared" si="177"/>
        <v>112.5935855001744</v>
      </c>
      <c r="J1412">
        <f t="shared" si="172"/>
        <v>184.70938800002773</v>
      </c>
      <c r="K1412" s="27">
        <f t="shared" si="173"/>
        <v>1760.011529679432</v>
      </c>
    </row>
    <row r="1413" spans="1:11">
      <c r="A1413" s="26">
        <v>1363</v>
      </c>
      <c r="B1413" s="82">
        <f t="shared" si="174"/>
        <v>3.2921237647087764E-4</v>
      </c>
      <c r="C1413" s="58">
        <f t="shared" si="170"/>
        <v>42.751311379217512</v>
      </c>
      <c r="D1413" s="83">
        <f t="shared" si="175"/>
        <v>181.32194577541375</v>
      </c>
      <c r="E1413">
        <f t="shared" si="171"/>
        <v>10.823765943214745</v>
      </c>
      <c r="G1413">
        <v>1363</v>
      </c>
      <c r="H1413" s="13">
        <f t="shared" si="176"/>
        <v>5.1608656820917531E-2</v>
      </c>
      <c r="I1413">
        <f t="shared" si="177"/>
        <v>112.64519415699532</v>
      </c>
      <c r="J1413">
        <f t="shared" si="172"/>
        <v>184.63071904310743</v>
      </c>
      <c r="K1413" s="27">
        <f t="shared" si="173"/>
        <v>1758.5085218516097</v>
      </c>
    </row>
    <row r="1414" spans="1:11">
      <c r="A1414" s="26">
        <v>1364</v>
      </c>
      <c r="B1414" s="82">
        <f t="shared" si="174"/>
        <v>3.2921237647087764E-4</v>
      </c>
      <c r="C1414" s="58">
        <f t="shared" si="170"/>
        <v>42.751640591593983</v>
      </c>
      <c r="D1414" s="83">
        <f t="shared" si="175"/>
        <v>181.32257073208331</v>
      </c>
      <c r="E1414">
        <f t="shared" si="171"/>
        <v>10.823840553510706</v>
      </c>
      <c r="G1414">
        <v>1364</v>
      </c>
      <c r="H1414" s="13">
        <f t="shared" si="176"/>
        <v>5.1608656820917531E-2</v>
      </c>
      <c r="I1414">
        <f t="shared" si="177"/>
        <v>112.69680281381623</v>
      </c>
      <c r="J1414">
        <f t="shared" si="172"/>
        <v>184.55165046908377</v>
      </c>
      <c r="K1414" s="27">
        <f t="shared" si="173"/>
        <v>1756.9985045280612</v>
      </c>
    </row>
    <row r="1415" spans="1:11">
      <c r="A1415" s="26">
        <v>1365</v>
      </c>
      <c r="B1415" s="82">
        <f t="shared" si="174"/>
        <v>3.2921237647087764E-4</v>
      </c>
      <c r="C1415" s="58">
        <f t="shared" si="170"/>
        <v>42.751969803970454</v>
      </c>
      <c r="D1415" s="83">
        <f t="shared" si="175"/>
        <v>181.3231956623857</v>
      </c>
      <c r="E1415">
        <f t="shared" si="171"/>
        <v>10.823915160916059</v>
      </c>
      <c r="G1415">
        <v>1365</v>
      </c>
      <c r="H1415" s="13">
        <f t="shared" si="176"/>
        <v>5.1608656820917531E-2</v>
      </c>
      <c r="I1415">
        <f t="shared" si="177"/>
        <v>112.74841147063715</v>
      </c>
      <c r="J1415">
        <f t="shared" si="172"/>
        <v>184.47217798334412</v>
      </c>
      <c r="K1415" s="27">
        <f t="shared" si="173"/>
        <v>1755.4814050146831</v>
      </c>
    </row>
    <row r="1416" spans="1:11">
      <c r="A1416" s="26">
        <v>1366</v>
      </c>
      <c r="B1416" s="82">
        <f t="shared" si="174"/>
        <v>3.2921237647087764E-4</v>
      </c>
      <c r="C1416" s="58">
        <f t="shared" si="170"/>
        <v>42.752299016346925</v>
      </c>
      <c r="D1416" s="83">
        <f t="shared" si="175"/>
        <v>181.32382056632349</v>
      </c>
      <c r="E1416">
        <f t="shared" si="171"/>
        <v>10.823989765431064</v>
      </c>
      <c r="G1416">
        <v>1366</v>
      </c>
      <c r="H1416" s="13">
        <f t="shared" si="176"/>
        <v>5.1608656820917531E-2</v>
      </c>
      <c r="I1416">
        <f t="shared" si="177"/>
        <v>112.80002012745807</v>
      </c>
      <c r="J1416">
        <f t="shared" si="172"/>
        <v>184.39229720710105</v>
      </c>
      <c r="K1416" s="27">
        <f t="shared" si="173"/>
        <v>1753.9571491867898</v>
      </c>
    </row>
    <row r="1417" spans="1:11">
      <c r="A1417" s="26">
        <v>1367</v>
      </c>
      <c r="B1417" s="82">
        <f t="shared" si="174"/>
        <v>3.2921237647087764E-4</v>
      </c>
      <c r="C1417" s="58">
        <f t="shared" si="170"/>
        <v>42.752628228723395</v>
      </c>
      <c r="D1417" s="83">
        <f t="shared" si="175"/>
        <v>181.32444544389929</v>
      </c>
      <c r="E1417">
        <f t="shared" si="171"/>
        <v>10.824064367056016</v>
      </c>
      <c r="G1417">
        <v>1367</v>
      </c>
      <c r="H1417" s="13">
        <f t="shared" si="176"/>
        <v>5.1608656820917531E-2</v>
      </c>
      <c r="I1417">
        <f t="shared" si="177"/>
        <v>112.85162878427899</v>
      </c>
      <c r="J1417">
        <f t="shared" si="172"/>
        <v>184.31200367505429</v>
      </c>
      <c r="K1417" s="27">
        <f t="shared" si="173"/>
        <v>1752.4256614492126</v>
      </c>
    </row>
    <row r="1418" spans="1:11">
      <c r="A1418" s="26">
        <v>1368</v>
      </c>
      <c r="B1418" s="82">
        <f t="shared" si="174"/>
        <v>3.2921237647087764E-4</v>
      </c>
      <c r="C1418" s="58">
        <f t="shared" si="170"/>
        <v>42.752957441099866</v>
      </c>
      <c r="D1418" s="83">
        <f t="shared" si="175"/>
        <v>181.32507029511575</v>
      </c>
      <c r="E1418">
        <f t="shared" si="171"/>
        <v>10.824138965791185</v>
      </c>
      <c r="G1418">
        <v>1368</v>
      </c>
      <c r="H1418" s="13">
        <f t="shared" si="176"/>
        <v>5.1608656820917531E-2</v>
      </c>
      <c r="I1418">
        <f t="shared" si="177"/>
        <v>112.9032374410999</v>
      </c>
      <c r="J1418">
        <f t="shared" si="172"/>
        <v>184.23129283296802</v>
      </c>
      <c r="K1418" s="27">
        <f t="shared" si="173"/>
        <v>1750.8868646949556</v>
      </c>
    </row>
    <row r="1419" spans="1:11">
      <c r="A1419" s="26">
        <v>1369</v>
      </c>
      <c r="B1419" s="82">
        <f t="shared" si="174"/>
        <v>3.2921237647087764E-4</v>
      </c>
      <c r="C1419" s="58">
        <f t="shared" si="170"/>
        <v>42.753286653476337</v>
      </c>
      <c r="D1419" s="83">
        <f t="shared" si="175"/>
        <v>181.32569511997545</v>
      </c>
      <c r="E1419">
        <f t="shared" si="171"/>
        <v>10.824213561636855</v>
      </c>
      <c r="G1419">
        <v>1369</v>
      </c>
      <c r="H1419" s="13">
        <f t="shared" si="176"/>
        <v>5.1608656820917531E-2</v>
      </c>
      <c r="I1419">
        <f t="shared" si="177"/>
        <v>112.95484609792082</v>
      </c>
      <c r="J1419">
        <f t="shared" si="172"/>
        <v>184.15016003516047</v>
      </c>
      <c r="K1419" s="27">
        <f t="shared" si="173"/>
        <v>1749.3406802623349</v>
      </c>
    </row>
    <row r="1420" spans="1:11">
      <c r="A1420" s="26">
        <v>1370</v>
      </c>
      <c r="B1420" s="82">
        <f t="shared" si="174"/>
        <v>3.2921237647087764E-4</v>
      </c>
      <c r="C1420" s="58">
        <f t="shared" si="170"/>
        <v>42.753615865852808</v>
      </c>
      <c r="D1420" s="83">
        <f t="shared" si="175"/>
        <v>181.32631991848103</v>
      </c>
      <c r="E1420">
        <f t="shared" si="171"/>
        <v>10.824288154593305</v>
      </c>
      <c r="G1420">
        <v>1370</v>
      </c>
      <c r="H1420" s="13">
        <f t="shared" si="176"/>
        <v>5.1608656820917531E-2</v>
      </c>
      <c r="I1420">
        <f t="shared" si="177"/>
        <v>113.00645475474174</v>
      </c>
      <c r="J1420">
        <f t="shared" si="172"/>
        <v>184.06860054190085</v>
      </c>
      <c r="K1420" s="27">
        <f t="shared" si="173"/>
        <v>1747.7870278905411</v>
      </c>
    </row>
    <row r="1421" spans="1:11">
      <c r="A1421" s="26">
        <v>1371</v>
      </c>
      <c r="B1421" s="82">
        <f t="shared" si="174"/>
        <v>3.2921237647087764E-4</v>
      </c>
      <c r="C1421" s="58">
        <f t="shared" si="170"/>
        <v>42.753945078229279</v>
      </c>
      <c r="D1421" s="83">
        <f t="shared" si="175"/>
        <v>181.32694469063506</v>
      </c>
      <c r="E1421">
        <f t="shared" si="171"/>
        <v>10.82436274466081</v>
      </c>
      <c r="G1421">
        <v>1371</v>
      </c>
      <c r="H1421" s="13">
        <f t="shared" si="176"/>
        <v>5.1608656820917531E-2</v>
      </c>
      <c r="I1421">
        <f t="shared" si="177"/>
        <v>113.05806341156266</v>
      </c>
      <c r="J1421">
        <f t="shared" si="172"/>
        <v>183.98660951671016</v>
      </c>
      <c r="K1421" s="27">
        <f t="shared" si="173"/>
        <v>1746.2258256735488</v>
      </c>
    </row>
    <row r="1422" spans="1:11">
      <c r="A1422" s="26">
        <v>1372</v>
      </c>
      <c r="B1422" s="82">
        <f t="shared" si="174"/>
        <v>3.2921237647087764E-4</v>
      </c>
      <c r="C1422" s="58">
        <f t="shared" si="170"/>
        <v>42.75427429060575</v>
      </c>
      <c r="D1422" s="83">
        <f t="shared" si="175"/>
        <v>181.32756943644017</v>
      </c>
      <c r="E1422">
        <f t="shared" si="171"/>
        <v>10.824437331839652</v>
      </c>
      <c r="G1422">
        <v>1372</v>
      </c>
      <c r="H1422" s="13">
        <f t="shared" si="176"/>
        <v>5.1608656820917531E-2</v>
      </c>
      <c r="I1422">
        <f t="shared" si="177"/>
        <v>113.10967206838357</v>
      </c>
      <c r="J1422">
        <f t="shared" si="172"/>
        <v>183.90418202356136</v>
      </c>
      <c r="K1422" s="27">
        <f t="shared" si="173"/>
        <v>1744.6569900123029</v>
      </c>
    </row>
    <row r="1423" spans="1:11">
      <c r="A1423" s="26">
        <v>1373</v>
      </c>
      <c r="B1423" s="82">
        <f t="shared" si="174"/>
        <v>3.2921237647087764E-4</v>
      </c>
      <c r="C1423" s="58">
        <f t="shared" si="170"/>
        <v>42.754603502982221</v>
      </c>
      <c r="D1423" s="83">
        <f t="shared" si="175"/>
        <v>181.32819415589898</v>
      </c>
      <c r="E1423">
        <f t="shared" si="171"/>
        <v>10.824511916130113</v>
      </c>
      <c r="G1423">
        <v>1373</v>
      </c>
      <c r="H1423" s="13">
        <f t="shared" si="176"/>
        <v>5.1608656820917531E-2</v>
      </c>
      <c r="I1423">
        <f t="shared" si="177"/>
        <v>113.16128072520449</v>
      </c>
      <c r="J1423">
        <f t="shared" si="172"/>
        <v>183.82131302397406</v>
      </c>
      <c r="K1423" s="27">
        <f t="shared" si="173"/>
        <v>1743.0804355650889</v>
      </c>
    </row>
    <row r="1424" spans="1:11">
      <c r="A1424" s="26">
        <v>1374</v>
      </c>
      <c r="B1424" s="82">
        <f t="shared" si="174"/>
        <v>3.2921237647087764E-4</v>
      </c>
      <c r="C1424" s="58">
        <f t="shared" ref="C1424:C1487" si="178">($C$37-$C$36)/2000+C1423</f>
        <v>42.754932715358692</v>
      </c>
      <c r="D1424" s="83">
        <f t="shared" si="175"/>
        <v>181.32881884901406</v>
      </c>
      <c r="E1424">
        <f t="shared" si="171"/>
        <v>10.824586497532465</v>
      </c>
      <c r="G1424">
        <v>1374</v>
      </c>
      <c r="H1424" s="13">
        <f t="shared" si="176"/>
        <v>5.1608656820917531E-2</v>
      </c>
      <c r="I1424">
        <f t="shared" si="177"/>
        <v>113.21288938202541</v>
      </c>
      <c r="J1424">
        <f t="shared" si="172"/>
        <v>183.73799737399887</v>
      </c>
      <c r="K1424" s="27">
        <f t="shared" si="173"/>
        <v>1741.4960751960214</v>
      </c>
    </row>
    <row r="1425" spans="1:11">
      <c r="A1425" s="26">
        <v>1375</v>
      </c>
      <c r="B1425" s="82">
        <f t="shared" si="174"/>
        <v>3.2921237647087764E-4</v>
      </c>
      <c r="C1425" s="58">
        <f t="shared" si="178"/>
        <v>42.755261927735162</v>
      </c>
      <c r="D1425" s="83">
        <f t="shared" si="175"/>
        <v>181.32944351578806</v>
      </c>
      <c r="E1425">
        <f t="shared" si="171"/>
        <v>10.824661076046992</v>
      </c>
      <c r="G1425">
        <v>1375</v>
      </c>
      <c r="H1425" s="13">
        <f t="shared" si="176"/>
        <v>5.1608656820917531E-2</v>
      </c>
      <c r="I1425">
        <f t="shared" si="177"/>
        <v>113.26449803884633</v>
      </c>
      <c r="J1425">
        <f t="shared" si="172"/>
        <v>183.65422982108663</v>
      </c>
      <c r="K1425" s="27">
        <f t="shared" si="173"/>
        <v>1739.9038199215458</v>
      </c>
    </row>
    <row r="1426" spans="1:11">
      <c r="A1426" s="26">
        <v>1376</v>
      </c>
      <c r="B1426" s="82">
        <f t="shared" si="174"/>
        <v>3.2921237647087764E-4</v>
      </c>
      <c r="C1426" s="58">
        <f t="shared" si="178"/>
        <v>42.755591140111633</v>
      </c>
      <c r="D1426" s="83">
        <f t="shared" si="175"/>
        <v>181.33006815622358</v>
      </c>
      <c r="E1426">
        <f t="shared" si="171"/>
        <v>10.82473565167397</v>
      </c>
      <c r="G1426">
        <v>1376</v>
      </c>
      <c r="H1426" s="13">
        <f t="shared" si="176"/>
        <v>5.1608656820917531E-2</v>
      </c>
      <c r="I1426">
        <f t="shared" si="177"/>
        <v>113.31610669566724</v>
      </c>
      <c r="J1426">
        <f t="shared" si="172"/>
        <v>183.57000500083632</v>
      </c>
      <c r="K1426" s="27">
        <f t="shared" si="173"/>
        <v>1738.3035788548686</v>
      </c>
    </row>
    <row r="1427" spans="1:11">
      <c r="A1427" s="26">
        <v>1377</v>
      </c>
      <c r="B1427" s="82">
        <f t="shared" si="174"/>
        <v>3.2921237647087764E-4</v>
      </c>
      <c r="C1427" s="58">
        <f t="shared" si="178"/>
        <v>42.755920352488104</v>
      </c>
      <c r="D1427" s="83">
        <f t="shared" si="175"/>
        <v>181.3306927703232</v>
      </c>
      <c r="E1427">
        <f t="shared" si="171"/>
        <v>10.824810224413682</v>
      </c>
      <c r="G1427">
        <v>1377</v>
      </c>
      <c r="H1427" s="13">
        <f t="shared" si="176"/>
        <v>5.1608656820917531E-2</v>
      </c>
      <c r="I1427">
        <f t="shared" si="177"/>
        <v>113.36771535248816</v>
      </c>
      <c r="J1427">
        <f t="shared" si="172"/>
        <v>183.48531743361681</v>
      </c>
      <c r="K1427" s="27">
        <f t="shared" si="173"/>
        <v>1736.6952591482111</v>
      </c>
    </row>
    <row r="1428" spans="1:11">
      <c r="A1428" s="26">
        <v>1378</v>
      </c>
      <c r="B1428" s="82">
        <f t="shared" si="174"/>
        <v>3.2921237647087764E-4</v>
      </c>
      <c r="C1428" s="58">
        <f t="shared" si="178"/>
        <v>42.756249564864575</v>
      </c>
      <c r="D1428" s="83">
        <f t="shared" si="175"/>
        <v>181.33131735808956</v>
      </c>
      <c r="E1428">
        <f t="shared" si="171"/>
        <v>10.824884794266401</v>
      </c>
      <c r="G1428">
        <v>1378</v>
      </c>
      <c r="H1428" s="13">
        <f t="shared" si="176"/>
        <v>5.1608656820917531E-2</v>
      </c>
      <c r="I1428">
        <f t="shared" si="177"/>
        <v>113.41932400930908</v>
      </c>
      <c r="J1428">
        <f t="shared" si="172"/>
        <v>183.40016152105542</v>
      </c>
      <c r="K1428" s="27">
        <f t="shared" si="173"/>
        <v>1735.0787659327864</v>
      </c>
    </row>
    <row r="1429" spans="1:11">
      <c r="A1429" s="26">
        <v>1379</v>
      </c>
      <c r="B1429" s="82">
        <f t="shared" si="174"/>
        <v>3.2921237647087764E-4</v>
      </c>
      <c r="C1429" s="58">
        <f t="shared" si="178"/>
        <v>42.756578777241046</v>
      </c>
      <c r="D1429" s="83">
        <f t="shared" si="175"/>
        <v>181.33194191952526</v>
      </c>
      <c r="E1429">
        <f t="shared" si="171"/>
        <v>10.824959361232409</v>
      </c>
      <c r="G1429">
        <v>1379</v>
      </c>
      <c r="H1429" s="13">
        <f t="shared" si="176"/>
        <v>5.1608656820917531E-2</v>
      </c>
      <c r="I1429">
        <f t="shared" si="177"/>
        <v>113.47093266613</v>
      </c>
      <c r="J1429">
        <f t="shared" si="172"/>
        <v>183.31453154238773</v>
      </c>
      <c r="K1429" s="27">
        <f t="shared" si="173"/>
        <v>1733.4540022563863</v>
      </c>
    </row>
    <row r="1430" spans="1:11">
      <c r="A1430" s="26">
        <v>1380</v>
      </c>
      <c r="B1430" s="82">
        <f t="shared" si="174"/>
        <v>3.2921237647087764E-4</v>
      </c>
      <c r="C1430" s="58">
        <f t="shared" si="178"/>
        <v>42.756907989617517</v>
      </c>
      <c r="D1430" s="83">
        <f t="shared" si="175"/>
        <v>181.33256645463288</v>
      </c>
      <c r="E1430">
        <f t="shared" si="171"/>
        <v>10.825033925311985</v>
      </c>
      <c r="G1430">
        <v>1380</v>
      </c>
      <c r="H1430" s="13">
        <f t="shared" si="176"/>
        <v>5.1608656820917531E-2</v>
      </c>
      <c r="I1430">
        <f t="shared" si="177"/>
        <v>113.52254132295091</v>
      </c>
      <c r="J1430">
        <f t="shared" si="172"/>
        <v>183.22842165066106</v>
      </c>
      <c r="K1430" s="27">
        <f t="shared" si="173"/>
        <v>1731.8208690184617</v>
      </c>
    </row>
    <row r="1431" spans="1:11">
      <c r="A1431" s="26">
        <v>1381</v>
      </c>
      <c r="B1431" s="82">
        <f t="shared" si="174"/>
        <v>3.2921237647087764E-4</v>
      </c>
      <c r="C1431" s="58">
        <f t="shared" si="178"/>
        <v>42.757237201993988</v>
      </c>
      <c r="D1431" s="83">
        <f t="shared" si="175"/>
        <v>181.33319096341506</v>
      </c>
      <c r="E1431">
        <f t="shared" si="171"/>
        <v>10.825108486505407</v>
      </c>
      <c r="G1431">
        <v>1381</v>
      </c>
      <c r="H1431" s="13">
        <f t="shared" si="176"/>
        <v>5.1608656820917531E-2</v>
      </c>
      <c r="I1431">
        <f t="shared" si="177"/>
        <v>113.57414997977183</v>
      </c>
      <c r="J1431">
        <f t="shared" si="172"/>
        <v>183.14182586878516</v>
      </c>
      <c r="K1431" s="27">
        <f t="shared" si="173"/>
        <v>1730.179264902569</v>
      </c>
    </row>
    <row r="1432" spans="1:11">
      <c r="A1432" s="26">
        <v>1382</v>
      </c>
      <c r="B1432" s="82">
        <f t="shared" si="174"/>
        <v>3.2921237647087764E-4</v>
      </c>
      <c r="C1432" s="58">
        <f t="shared" si="178"/>
        <v>42.757566414370459</v>
      </c>
      <c r="D1432" s="83">
        <f t="shared" si="175"/>
        <v>181.33381544587439</v>
      </c>
      <c r="E1432">
        <f t="shared" si="171"/>
        <v>10.825183044812951</v>
      </c>
      <c r="G1432">
        <v>1382</v>
      </c>
      <c r="H1432" s="13">
        <f t="shared" si="176"/>
        <v>5.1608656820917531E-2</v>
      </c>
      <c r="I1432">
        <f t="shared" si="177"/>
        <v>113.62575863659275</v>
      </c>
      <c r="J1432">
        <f t="shared" si="172"/>
        <v>183.05473808542163</v>
      </c>
      <c r="K1432" s="27">
        <f t="shared" si="173"/>
        <v>1728.5290863060525</v>
      </c>
    </row>
    <row r="1433" spans="1:11">
      <c r="A1433" s="26">
        <v>1383</v>
      </c>
      <c r="B1433" s="82">
        <f t="shared" si="174"/>
        <v>3.2921237647087764E-4</v>
      </c>
      <c r="C1433" s="58">
        <f t="shared" si="178"/>
        <v>42.757895626746929</v>
      </c>
      <c r="D1433" s="83">
        <f t="shared" si="175"/>
        <v>181.33443990201346</v>
      </c>
      <c r="E1433">
        <f t="shared" si="171"/>
        <v>10.825257600234897</v>
      </c>
      <c r="G1433">
        <v>1383</v>
      </c>
      <c r="H1433" s="13">
        <f t="shared" si="176"/>
        <v>5.1608656820917531E-2</v>
      </c>
      <c r="I1433">
        <f t="shared" si="177"/>
        <v>113.67736729341367</v>
      </c>
      <c r="J1433">
        <f t="shared" si="172"/>
        <v>182.96715205070478</v>
      </c>
      <c r="K1433" s="27">
        <f t="shared" si="173"/>
        <v>1726.8702272668309</v>
      </c>
    </row>
    <row r="1434" spans="1:11">
      <c r="A1434" s="26">
        <v>1384</v>
      </c>
      <c r="B1434" s="82">
        <f t="shared" si="174"/>
        <v>3.2921237647087764E-4</v>
      </c>
      <c r="C1434" s="58">
        <f t="shared" si="178"/>
        <v>42.7582248391234</v>
      </c>
      <c r="D1434" s="83">
        <f t="shared" si="175"/>
        <v>181.3350643318349</v>
      </c>
      <c r="E1434">
        <f t="shared" si="171"/>
        <v>10.825332152771528</v>
      </c>
      <c r="G1434">
        <v>1384</v>
      </c>
      <c r="H1434" s="13">
        <f t="shared" si="176"/>
        <v>5.1608656820917531E-2</v>
      </c>
      <c r="I1434">
        <f t="shared" si="177"/>
        <v>113.72897595023458</v>
      </c>
      <c r="J1434">
        <f t="shared" si="172"/>
        <v>182.87906137178499</v>
      </c>
      <c r="K1434" s="27">
        <f t="shared" si="173"/>
        <v>1725.202579387121</v>
      </c>
    </row>
    <row r="1435" spans="1:11">
      <c r="A1435" s="26">
        <v>1385</v>
      </c>
      <c r="B1435" s="82">
        <f t="shared" si="174"/>
        <v>3.2921237647087764E-4</v>
      </c>
      <c r="C1435" s="58">
        <f t="shared" si="178"/>
        <v>42.758554051499871</v>
      </c>
      <c r="D1435" s="83">
        <f t="shared" si="175"/>
        <v>181.33568873534131</v>
      </c>
      <c r="E1435">
        <f t="shared" si="171"/>
        <v>10.825406702423116</v>
      </c>
      <c r="G1435">
        <v>1385</v>
      </c>
      <c r="H1435" s="13">
        <f t="shared" si="176"/>
        <v>5.1608656820917531E-2</v>
      </c>
      <c r="I1435">
        <f t="shared" si="177"/>
        <v>113.7805846070555</v>
      </c>
      <c r="J1435">
        <f t="shared" si="172"/>
        <v>182.79045950818528</v>
      </c>
      <c r="K1435" s="27">
        <f t="shared" si="173"/>
        <v>1723.5260317539662</v>
      </c>
    </row>
    <row r="1436" spans="1:11">
      <c r="A1436" s="26">
        <v>1386</v>
      </c>
      <c r="B1436" s="82">
        <f t="shared" si="174"/>
        <v>3.2921237647087764E-4</v>
      </c>
      <c r="C1436" s="58">
        <f t="shared" si="178"/>
        <v>42.758883263876342</v>
      </c>
      <c r="D1436" s="83">
        <f t="shared" si="175"/>
        <v>181.33631311253527</v>
      </c>
      <c r="E1436">
        <f t="shared" si="171"/>
        <v>10.825481249189941</v>
      </c>
      <c r="G1436">
        <v>1386</v>
      </c>
      <c r="H1436" s="13">
        <f t="shared" si="176"/>
        <v>5.1608656820917531E-2</v>
      </c>
      <c r="I1436">
        <f t="shared" si="177"/>
        <v>113.83219326387642</v>
      </c>
      <c r="J1436">
        <f t="shared" si="172"/>
        <v>182.70133976696201</v>
      </c>
      <c r="K1436" s="27">
        <f t="shared" si="173"/>
        <v>1721.8404708563787</v>
      </c>
    </row>
    <row r="1437" spans="1:11">
      <c r="A1437" s="26">
        <v>1387</v>
      </c>
      <c r="B1437" s="82">
        <f t="shared" si="174"/>
        <v>3.2921237647087764E-4</v>
      </c>
      <c r="C1437" s="58">
        <f t="shared" si="178"/>
        <v>42.759212476252813</v>
      </c>
      <c r="D1437" s="83">
        <f t="shared" si="175"/>
        <v>181.33693746341939</v>
      </c>
      <c r="E1437">
        <f t="shared" si="171"/>
        <v>10.825555793072281</v>
      </c>
      <c r="G1437">
        <v>1387</v>
      </c>
      <c r="H1437" s="13">
        <f t="shared" si="176"/>
        <v>5.1608656820917531E-2</v>
      </c>
      <c r="I1437">
        <f t="shared" si="177"/>
        <v>113.88380192069734</v>
      </c>
      <c r="J1437">
        <f t="shared" si="172"/>
        <v>182.61169529765885</v>
      </c>
      <c r="K1437" s="27">
        <f t="shared" si="173"/>
        <v>1720.1457804989386</v>
      </c>
    </row>
    <row r="1438" spans="1:11">
      <c r="A1438" s="26">
        <v>1388</v>
      </c>
      <c r="B1438" s="82">
        <f t="shared" si="174"/>
        <v>3.2921237647087764E-4</v>
      </c>
      <c r="C1438" s="58">
        <f t="shared" si="178"/>
        <v>42.759541688629284</v>
      </c>
      <c r="D1438" s="83">
        <f t="shared" si="175"/>
        <v>181.33756178799626</v>
      </c>
      <c r="E1438">
        <f t="shared" si="171"/>
        <v>10.825630334070416</v>
      </c>
      <c r="G1438">
        <v>1388</v>
      </c>
      <c r="H1438" s="13">
        <f t="shared" si="176"/>
        <v>5.1608656820917531E-2</v>
      </c>
      <c r="I1438">
        <f t="shared" si="177"/>
        <v>113.93541057751825</v>
      </c>
      <c r="J1438">
        <f t="shared" si="172"/>
        <v>182.5215190870436</v>
      </c>
      <c r="K1438" s="27">
        <f t="shared" si="173"/>
        <v>1718.4418417116476</v>
      </c>
    </row>
    <row r="1439" spans="1:11">
      <c r="A1439" s="26">
        <v>1389</v>
      </c>
      <c r="B1439" s="82">
        <f t="shared" si="174"/>
        <v>3.2921237647087764E-4</v>
      </c>
      <c r="C1439" s="58">
        <f t="shared" si="178"/>
        <v>42.759870901005755</v>
      </c>
      <c r="D1439" s="83">
        <f t="shared" si="175"/>
        <v>181.33818608626854</v>
      </c>
      <c r="E1439">
        <f t="shared" si="171"/>
        <v>10.825704872184625</v>
      </c>
      <c r="G1439">
        <v>1389</v>
      </c>
      <c r="H1439" s="13">
        <f t="shared" si="176"/>
        <v>5.1608656820917531E-2</v>
      </c>
      <c r="I1439">
        <f t="shared" si="177"/>
        <v>113.98701923433917</v>
      </c>
      <c r="J1439">
        <f t="shared" si="172"/>
        <v>182.43080395361596</v>
      </c>
      <c r="K1439" s="27">
        <f t="shared" si="173"/>
        <v>1716.7285326558456</v>
      </c>
    </row>
    <row r="1440" spans="1:11">
      <c r="A1440" s="26">
        <v>1390</v>
      </c>
      <c r="B1440" s="82">
        <f t="shared" si="174"/>
        <v>3.2921237647087764E-4</v>
      </c>
      <c r="C1440" s="58">
        <f t="shared" si="178"/>
        <v>42.760200113382226</v>
      </c>
      <c r="D1440" s="83">
        <f t="shared" si="175"/>
        <v>181.33881035823879</v>
      </c>
      <c r="E1440">
        <f t="shared" si="171"/>
        <v>10.825779407415183</v>
      </c>
      <c r="G1440">
        <v>1390</v>
      </c>
      <c r="H1440" s="13">
        <f t="shared" si="176"/>
        <v>5.1608656820917531E-2</v>
      </c>
      <c r="I1440">
        <f t="shared" si="177"/>
        <v>114.03862789116009</v>
      </c>
      <c r="J1440">
        <f t="shared" si="172"/>
        <v>182.33954254187432</v>
      </c>
      <c r="K1440" s="27">
        <f t="shared" si="173"/>
        <v>1715.0057285259738</v>
      </c>
    </row>
    <row r="1441" spans="1:11">
      <c r="A1441" s="26">
        <v>1391</v>
      </c>
      <c r="B1441" s="82">
        <f t="shared" si="174"/>
        <v>3.2921237647087764E-4</v>
      </c>
      <c r="C1441" s="58">
        <f t="shared" si="178"/>
        <v>42.760529325758696</v>
      </c>
      <c r="D1441" s="83">
        <f t="shared" si="175"/>
        <v>181.33943460390958</v>
      </c>
      <c r="E1441">
        <f t="shared" si="171"/>
        <v>10.82585393976237</v>
      </c>
      <c r="G1441">
        <v>1391</v>
      </c>
      <c r="H1441" s="13">
        <f t="shared" si="176"/>
        <v>5.1608656820917531E-2</v>
      </c>
      <c r="I1441">
        <f t="shared" si="177"/>
        <v>114.09023654798101</v>
      </c>
      <c r="J1441">
        <f t="shared" si="172"/>
        <v>182.24772731632811</v>
      </c>
      <c r="K1441" s="27">
        <f t="shared" si="173"/>
        <v>1713.2733014469607</v>
      </c>
    </row>
    <row r="1442" spans="1:11">
      <c r="A1442" s="26">
        <v>1392</v>
      </c>
      <c r="B1442" s="82">
        <f t="shared" si="174"/>
        <v>3.2921237647087764E-4</v>
      </c>
      <c r="C1442" s="58">
        <f t="shared" si="178"/>
        <v>42.760858538135167</v>
      </c>
      <c r="D1442" s="83">
        <f t="shared" si="175"/>
        <v>181.34005882328356</v>
      </c>
      <c r="E1442">
        <f t="shared" si="171"/>
        <v>10.825928469226463</v>
      </c>
      <c r="G1442">
        <v>1392</v>
      </c>
      <c r="H1442" s="13">
        <f t="shared" si="176"/>
        <v>5.1608656820917531E-2</v>
      </c>
      <c r="I1442">
        <f t="shared" si="177"/>
        <v>114.14184520480192</v>
      </c>
      <c r="J1442">
        <f t="shared" si="172"/>
        <v>182.15535055524202</v>
      </c>
      <c r="K1442" s="27">
        <f t="shared" si="173"/>
        <v>1711.5311203669819</v>
      </c>
    </row>
    <row r="1443" spans="1:11">
      <c r="A1443" s="26">
        <v>1393</v>
      </c>
      <c r="B1443" s="82">
        <f t="shared" si="174"/>
        <v>3.2921237647087764E-4</v>
      </c>
      <c r="C1443" s="58">
        <f t="shared" si="178"/>
        <v>42.761187750511638</v>
      </c>
      <c r="D1443" s="83">
        <f t="shared" si="175"/>
        <v>181.34068301636333</v>
      </c>
      <c r="E1443">
        <f t="shared" si="171"/>
        <v>10.826002995807743</v>
      </c>
      <c r="G1443">
        <v>1393</v>
      </c>
      <c r="H1443" s="13">
        <f t="shared" si="176"/>
        <v>5.1608656820917531E-2</v>
      </c>
      <c r="I1443">
        <f t="shared" si="177"/>
        <v>114.19345386162284</v>
      </c>
      <c r="J1443">
        <f t="shared" si="172"/>
        <v>182.06240434409708</v>
      </c>
      <c r="K1443" s="27">
        <f t="shared" si="173"/>
        <v>1709.7790509453487</v>
      </c>
    </row>
    <row r="1444" spans="1:11">
      <c r="A1444" s="26">
        <v>1394</v>
      </c>
      <c r="B1444" s="82">
        <f t="shared" si="174"/>
        <v>3.2921237647087764E-4</v>
      </c>
      <c r="C1444" s="58">
        <f t="shared" si="178"/>
        <v>42.761516962888109</v>
      </c>
      <c r="D1444" s="83">
        <f t="shared" si="175"/>
        <v>181.34130718315146</v>
      </c>
      <c r="E1444">
        <f t="shared" si="171"/>
        <v>10.826077519506484</v>
      </c>
      <c r="G1444">
        <v>1394</v>
      </c>
      <c r="H1444" s="13">
        <f t="shared" si="176"/>
        <v>5.1608656820917531E-2</v>
      </c>
      <c r="I1444">
        <f t="shared" si="177"/>
        <v>114.24506251844376</v>
      </c>
      <c r="J1444">
        <f t="shared" si="172"/>
        <v>181.96888056875292</v>
      </c>
      <c r="K1444" s="27">
        <f t="shared" si="173"/>
        <v>1708.0169554352424</v>
      </c>
    </row>
    <row r="1445" spans="1:11">
      <c r="A1445" s="26">
        <v>1395</v>
      </c>
      <c r="B1445" s="82">
        <f t="shared" si="174"/>
        <v>3.2921237647087764E-4</v>
      </c>
      <c r="C1445" s="58">
        <f t="shared" si="178"/>
        <v>42.76184617526458</v>
      </c>
      <c r="D1445" s="83">
        <f t="shared" si="175"/>
        <v>181.34193132365056</v>
      </c>
      <c r="E1445">
        <f t="shared" si="171"/>
        <v>10.826152040322961</v>
      </c>
      <c r="G1445">
        <v>1395</v>
      </c>
      <c r="H1445" s="13">
        <f t="shared" si="176"/>
        <v>5.1608656820917531E-2</v>
      </c>
      <c r="I1445">
        <f t="shared" si="177"/>
        <v>114.29667117526468</v>
      </c>
      <c r="J1445">
        <f t="shared" si="172"/>
        <v>181.87477090829429</v>
      </c>
      <c r="K1445" s="27">
        <f t="shared" si="173"/>
        <v>1706.2446925610054</v>
      </c>
    </row>
    <row r="1446" spans="1:11">
      <c r="A1446" s="26">
        <v>1396</v>
      </c>
      <c r="B1446" s="82">
        <f t="shared" si="174"/>
        <v>3.2921237647087764E-4</v>
      </c>
      <c r="C1446" s="58">
        <f t="shared" si="178"/>
        <v>42.762175387641051</v>
      </c>
      <c r="D1446" s="83">
        <f t="shared" si="175"/>
        <v>181.34255543786321</v>
      </c>
      <c r="E1446">
        <f t="shared" si="171"/>
        <v>10.82622655825746</v>
      </c>
      <c r="G1446">
        <v>1396</v>
      </c>
      <c r="H1446" s="13">
        <f t="shared" si="176"/>
        <v>5.1608656820917531E-2</v>
      </c>
      <c r="I1446">
        <f t="shared" si="177"/>
        <v>114.34827983208559</v>
      </c>
      <c r="J1446">
        <f t="shared" si="172"/>
        <v>181.78006682754369</v>
      </c>
      <c r="K1446" s="27">
        <f t="shared" si="173"/>
        <v>1704.4621173896703</v>
      </c>
    </row>
    <row r="1447" spans="1:11">
      <c r="A1447" s="26">
        <v>1397</v>
      </c>
      <c r="B1447" s="82">
        <f t="shared" si="174"/>
        <v>3.2921237647087764E-4</v>
      </c>
      <c r="C1447" s="58">
        <f t="shared" si="178"/>
        <v>42.762504600017522</v>
      </c>
      <c r="D1447" s="83">
        <f t="shared" si="175"/>
        <v>181.34317952579207</v>
      </c>
      <c r="E1447">
        <f t="shared" si="171"/>
        <v>10.826301073310256</v>
      </c>
      <c r="G1447">
        <v>1397</v>
      </c>
      <c r="H1447" s="13">
        <f t="shared" si="176"/>
        <v>5.1608656820917531E-2</v>
      </c>
      <c r="I1447">
        <f t="shared" si="177"/>
        <v>114.39988848890651</v>
      </c>
      <c r="J1447">
        <f t="shared" si="172"/>
        <v>181.68475956922083</v>
      </c>
      <c r="K1447" s="27">
        <f t="shared" si="173"/>
        <v>1702.6690811964061</v>
      </c>
    </row>
    <row r="1448" spans="1:11">
      <c r="A1448" s="26">
        <v>1398</v>
      </c>
      <c r="B1448" s="82">
        <f t="shared" si="174"/>
        <v>3.2921237647087764E-4</v>
      </c>
      <c r="C1448" s="58">
        <f t="shared" si="178"/>
        <v>42.762833812393993</v>
      </c>
      <c r="D1448" s="83">
        <f t="shared" si="175"/>
        <v>181.34380358743965</v>
      </c>
      <c r="E1448">
        <f t="shared" si="171"/>
        <v>10.826375585481626</v>
      </c>
      <c r="G1448">
        <v>1398</v>
      </c>
      <c r="H1448" s="13">
        <f t="shared" si="176"/>
        <v>5.1608656820917531E-2</v>
      </c>
      <c r="I1448">
        <f t="shared" si="177"/>
        <v>114.45149714572743</v>
      </c>
      <c r="J1448">
        <f t="shared" si="172"/>
        <v>181.58884014572877</v>
      </c>
      <c r="K1448" s="27">
        <f t="shared" si="173"/>
        <v>1700.8654313235104</v>
      </c>
    </row>
    <row r="1449" spans="1:11">
      <c r="A1449" s="26">
        <v>1399</v>
      </c>
      <c r="B1449" s="82">
        <f t="shared" si="174"/>
        <v>3.2921237647087764E-4</v>
      </c>
      <c r="C1449" s="58">
        <f t="shared" si="178"/>
        <v>42.763163024770463</v>
      </c>
      <c r="D1449" s="83">
        <f t="shared" si="175"/>
        <v>181.34442762280864</v>
      </c>
      <c r="E1449">
        <f t="shared" si="171"/>
        <v>10.826450094771848</v>
      </c>
      <c r="G1449">
        <v>1399</v>
      </c>
      <c r="H1449" s="13">
        <f t="shared" si="176"/>
        <v>5.1608656820917531E-2</v>
      </c>
      <c r="I1449">
        <f t="shared" si="177"/>
        <v>114.50310580254835</v>
      </c>
      <c r="J1449">
        <f t="shared" si="172"/>
        <v>181.49229933054403</v>
      </c>
      <c r="K1449" s="27">
        <f t="shared" si="173"/>
        <v>1699.0510110325738</v>
      </c>
    </row>
    <row r="1450" spans="1:11">
      <c r="A1450" s="26">
        <v>1400</v>
      </c>
      <c r="B1450" s="82">
        <f t="shared" si="174"/>
        <v>3.2921237647087764E-4</v>
      </c>
      <c r="C1450" s="58">
        <f t="shared" si="178"/>
        <v>42.763492237146934</v>
      </c>
      <c r="D1450" s="83">
        <f t="shared" si="175"/>
        <v>181.34505163190155</v>
      </c>
      <c r="E1450">
        <f t="shared" si="171"/>
        <v>10.826524601181196</v>
      </c>
      <c r="G1450">
        <v>1400</v>
      </c>
      <c r="H1450" s="13">
        <f t="shared" si="176"/>
        <v>5.1608656820917531E-2</v>
      </c>
      <c r="I1450">
        <f t="shared" si="177"/>
        <v>114.55471445936927</v>
      </c>
      <c r="J1450">
        <f t="shared" si="172"/>
        <v>181.39512764918766</v>
      </c>
      <c r="K1450" s="27">
        <f t="shared" si="173"/>
        <v>1697.2256593494037</v>
      </c>
    </row>
    <row r="1451" spans="1:11">
      <c r="A1451" s="26">
        <v>1401</v>
      </c>
      <c r="B1451" s="82">
        <f t="shared" si="174"/>
        <v>3.2921237647087764E-4</v>
      </c>
      <c r="C1451" s="58">
        <f t="shared" si="178"/>
        <v>42.763821449523405</v>
      </c>
      <c r="D1451" s="83">
        <f t="shared" si="175"/>
        <v>181.34567561472105</v>
      </c>
      <c r="E1451">
        <f t="shared" si="171"/>
        <v>10.826599104709954</v>
      </c>
      <c r="G1451">
        <v>1401</v>
      </c>
      <c r="H1451" s="13">
        <f t="shared" si="176"/>
        <v>5.1608656820917531E-2</v>
      </c>
      <c r="I1451">
        <f t="shared" si="177"/>
        <v>114.60632311619018</v>
      </c>
      <c r="J1451">
        <f t="shared" si="172"/>
        <v>181.2973153697518</v>
      </c>
      <c r="K1451" s="27">
        <f t="shared" si="173"/>
        <v>1695.3892109012743</v>
      </c>
    </row>
    <row r="1452" spans="1:11">
      <c r="A1452" s="26">
        <v>1402</v>
      </c>
      <c r="B1452" s="82">
        <f t="shared" si="174"/>
        <v>3.2921237647087764E-4</v>
      </c>
      <c r="C1452" s="58">
        <f t="shared" si="178"/>
        <v>42.764150661899876</v>
      </c>
      <c r="D1452" s="83">
        <f t="shared" si="175"/>
        <v>181.3462995712697</v>
      </c>
      <c r="E1452">
        <f t="shared" si="171"/>
        <v>10.826673605358396</v>
      </c>
      <c r="G1452">
        <v>1402</v>
      </c>
      <c r="H1452" s="13">
        <f t="shared" si="176"/>
        <v>5.1608656820917531E-2</v>
      </c>
      <c r="I1452">
        <f t="shared" si="177"/>
        <v>114.6579317730111</v>
      </c>
      <c r="J1452">
        <f t="shared" si="172"/>
        <v>181.19885249295459</v>
      </c>
      <c r="K1452" s="27">
        <f t="shared" si="173"/>
        <v>1693.5414957460205</v>
      </c>
    </row>
    <row r="1453" spans="1:11">
      <c r="A1453" s="26">
        <v>1403</v>
      </c>
      <c r="B1453" s="82">
        <f t="shared" si="174"/>
        <v>3.2921237647087764E-4</v>
      </c>
      <c r="C1453" s="58">
        <f t="shared" si="178"/>
        <v>42.764479874276347</v>
      </c>
      <c r="D1453" s="83">
        <f t="shared" si="175"/>
        <v>181.34692350155007</v>
      </c>
      <c r="E1453">
        <f t="shared" si="171"/>
        <v>10.826748103126794</v>
      </c>
      <c r="G1453">
        <v>1403</v>
      </c>
      <c r="H1453" s="13">
        <f t="shared" si="176"/>
        <v>5.1608656820917531E-2</v>
      </c>
      <c r="I1453">
        <f t="shared" si="177"/>
        <v>114.70954042983202</v>
      </c>
      <c r="J1453">
        <f t="shared" si="172"/>
        <v>181.09972874169443</v>
      </c>
      <c r="K1453" s="27">
        <f t="shared" si="173"/>
        <v>1691.6823391924872</v>
      </c>
    </row>
    <row r="1454" spans="1:11">
      <c r="A1454" s="26">
        <v>1404</v>
      </c>
      <c r="B1454" s="82">
        <f t="shared" si="174"/>
        <v>3.2921237647087764E-4</v>
      </c>
      <c r="C1454" s="58">
        <f t="shared" si="178"/>
        <v>42.764809086652818</v>
      </c>
      <c r="D1454" s="83">
        <f t="shared" si="175"/>
        <v>181.3475474055648</v>
      </c>
      <c r="E1454">
        <f t="shared" si="171"/>
        <v>10.826822598015438</v>
      </c>
      <c r="G1454">
        <v>1404</v>
      </c>
      <c r="H1454" s="13">
        <f t="shared" si="176"/>
        <v>5.1608656820917531E-2</v>
      </c>
      <c r="I1454">
        <f t="shared" si="177"/>
        <v>114.76114908665294</v>
      </c>
      <c r="J1454">
        <f t="shared" si="172"/>
        <v>180.99993355007283</v>
      </c>
      <c r="K1454" s="27">
        <f t="shared" si="173"/>
        <v>1689.8115616117802</v>
      </c>
    </row>
    <row r="1455" spans="1:11">
      <c r="A1455" s="26">
        <v>1405</v>
      </c>
      <c r="B1455" s="82">
        <f t="shared" si="174"/>
        <v>3.2921237647087764E-4</v>
      </c>
      <c r="C1455" s="58">
        <f t="shared" si="178"/>
        <v>42.765138299029289</v>
      </c>
      <c r="D1455" s="83">
        <f t="shared" si="175"/>
        <v>181.34817128331647</v>
      </c>
      <c r="E1455">
        <f t="shared" si="171"/>
        <v>10.826897090024595</v>
      </c>
      <c r="G1455">
        <v>1405</v>
      </c>
      <c r="H1455" s="13">
        <f t="shared" si="176"/>
        <v>5.1608656820917531E-2</v>
      </c>
      <c r="I1455">
        <f t="shared" si="177"/>
        <v>114.81275774347385</v>
      </c>
      <c r="J1455">
        <f t="shared" si="172"/>
        <v>180.8994560518513</v>
      </c>
      <c r="K1455" s="27">
        <f t="shared" si="173"/>
        <v>1687.9289782387375</v>
      </c>
    </row>
    <row r="1456" spans="1:11">
      <c r="A1456" s="26">
        <v>1406</v>
      </c>
      <c r="B1456" s="82">
        <f t="shared" si="174"/>
        <v>3.2921237647087764E-4</v>
      </c>
      <c r="C1456" s="58">
        <f t="shared" si="178"/>
        <v>42.76546751140576</v>
      </c>
      <c r="D1456" s="83">
        <f t="shared" si="175"/>
        <v>181.34879513480766</v>
      </c>
      <c r="E1456">
        <f t="shared" si="171"/>
        <v>10.826971579154547</v>
      </c>
      <c r="G1456">
        <v>1406</v>
      </c>
      <c r="H1456" s="13">
        <f t="shared" si="176"/>
        <v>5.1608656820917531E-2</v>
      </c>
      <c r="I1456">
        <f t="shared" si="177"/>
        <v>114.86436640029477</v>
      </c>
      <c r="J1456">
        <f t="shared" si="172"/>
        <v>180.79828506830768</v>
      </c>
      <c r="K1456" s="27">
        <f t="shared" si="173"/>
        <v>1686.0343989630001</v>
      </c>
    </row>
    <row r="1457" spans="1:11">
      <c r="A1457" s="26">
        <v>1407</v>
      </c>
      <c r="B1457" s="82">
        <f t="shared" si="174"/>
        <v>3.2921237647087764E-4</v>
      </c>
      <c r="C1457" s="58">
        <f t="shared" si="178"/>
        <v>42.765796723782231</v>
      </c>
      <c r="D1457" s="83">
        <f t="shared" si="175"/>
        <v>181.34941896004099</v>
      </c>
      <c r="E1457">
        <f t="shared" si="171"/>
        <v>10.82704606540557</v>
      </c>
      <c r="G1457">
        <v>1407</v>
      </c>
      <c r="H1457" s="13">
        <f t="shared" si="176"/>
        <v>5.1608656820917531E-2</v>
      </c>
      <c r="I1457">
        <f t="shared" si="177"/>
        <v>114.91597505711569</v>
      </c>
      <c r="J1457">
        <f t="shared" si="172"/>
        <v>180.6964090954518</v>
      </c>
      <c r="K1457" s="27">
        <f t="shared" si="173"/>
        <v>1684.1276281089993</v>
      </c>
    </row>
    <row r="1458" spans="1:11">
      <c r="A1458" s="26">
        <v>1408</v>
      </c>
      <c r="B1458" s="82">
        <f t="shared" si="174"/>
        <v>3.2921237647087764E-4</v>
      </c>
      <c r="C1458" s="58">
        <f t="shared" si="178"/>
        <v>42.766125936158701</v>
      </c>
      <c r="D1458" s="83">
        <f t="shared" si="175"/>
        <v>181.35004275901903</v>
      </c>
      <c r="E1458">
        <f t="shared" si="171"/>
        <v>10.827120548777941</v>
      </c>
      <c r="G1458">
        <v>1408</v>
      </c>
      <c r="H1458" s="13">
        <f t="shared" si="176"/>
        <v>5.1608656820917531E-2</v>
      </c>
      <c r="I1458">
        <f t="shared" si="177"/>
        <v>114.96758371393661</v>
      </c>
      <c r="J1458">
        <f t="shared" si="172"/>
        <v>180.5938162905596</v>
      </c>
      <c r="K1458" s="27">
        <f t="shared" si="173"/>
        <v>1682.2084642041393</v>
      </c>
    </row>
    <row r="1459" spans="1:11">
      <c r="A1459" s="26">
        <v>1409</v>
      </c>
      <c r="B1459" s="82">
        <f t="shared" si="174"/>
        <v>3.2921237647087764E-4</v>
      </c>
      <c r="C1459" s="58">
        <f t="shared" si="178"/>
        <v>42.766455148535172</v>
      </c>
      <c r="D1459" s="83">
        <f t="shared" si="175"/>
        <v>181.35066653174437</v>
      </c>
      <c r="E1459">
        <f t="shared" ref="E1459:E1522" si="179">((D1459^2)+(D1459*D1460)+(D1460^2))*B1460/3</f>
        <v>10.827195029271941</v>
      </c>
      <c r="G1459">
        <v>1409</v>
      </c>
      <c r="H1459" s="13">
        <f t="shared" si="176"/>
        <v>5.1608656820917531E-2</v>
      </c>
      <c r="I1459">
        <f t="shared" si="177"/>
        <v>115.01919237075752</v>
      </c>
      <c r="J1459">
        <f t="shared" ref="J1459:J1522" si="180">IF($G$28&lt;$C$14,0,((($C$11^2)-((I1459-$C$13)^2))^0.5)+$C$16)</f>
        <v>180.49049445798025</v>
      </c>
      <c r="K1459" s="27">
        <f t="shared" ref="K1459:K1522" si="181">((J1459^2)+(J1459*J1460)+(J1460^2))*H1460/3</f>
        <v>1680.2766997343881</v>
      </c>
    </row>
    <row r="1460" spans="1:11">
      <c r="A1460" s="26">
        <v>1410</v>
      </c>
      <c r="B1460" s="82">
        <f t="shared" ref="B1460:B1523" si="182">C1460-C1459</f>
        <v>3.2921237647087764E-4</v>
      </c>
      <c r="C1460" s="58">
        <f t="shared" si="178"/>
        <v>42.766784360911643</v>
      </c>
      <c r="D1460" s="83">
        <f t="shared" ref="D1460:D1523" si="183">IF($G$28&lt;$C$14,0,((($C$11^2)-((C1460-$C$13)^2))^0.5)+$C$16)</f>
        <v>181.35129027821964</v>
      </c>
      <c r="E1460">
        <f t="shared" si="179"/>
        <v>10.827269506887843</v>
      </c>
      <c r="G1460">
        <v>1410</v>
      </c>
      <c r="H1460" s="13">
        <f t="shared" ref="H1460:H1523" si="184">I1460-I1459</f>
        <v>5.1608656820917531E-2</v>
      </c>
      <c r="I1460">
        <f t="shared" ref="I1460:I1523" si="185">($G$27-$C$14)/2000+I1459</f>
        <v>115.07080102757844</v>
      </c>
      <c r="J1460">
        <f t="shared" si="180"/>
        <v>180.38643103416791</v>
      </c>
      <c r="K1460" s="27">
        <f t="shared" si="181"/>
        <v>1678.332120886429</v>
      </c>
    </row>
    <row r="1461" spans="1:11">
      <c r="A1461" s="26">
        <v>1411</v>
      </c>
      <c r="B1461" s="82">
        <f t="shared" si="182"/>
        <v>3.2921237647087764E-4</v>
      </c>
      <c r="C1461" s="58">
        <f t="shared" si="178"/>
        <v>42.767113573288114</v>
      </c>
      <c r="D1461" s="83">
        <f t="shared" si="183"/>
        <v>181.3519139984474</v>
      </c>
      <c r="E1461">
        <f t="shared" si="179"/>
        <v>10.827343981625923</v>
      </c>
      <c r="G1461">
        <v>1411</v>
      </c>
      <c r="H1461" s="13">
        <f t="shared" si="184"/>
        <v>5.1608656820917531E-2</v>
      </c>
      <c r="I1461">
        <f t="shared" si="185"/>
        <v>115.12240968439936</v>
      </c>
      <c r="J1461">
        <f t="shared" si="180"/>
        <v>180.28161307188549</v>
      </c>
      <c r="K1461" s="27">
        <f t="shared" si="181"/>
        <v>1676.3745072754582</v>
      </c>
    </row>
    <row r="1462" spans="1:11">
      <c r="A1462" s="26">
        <v>1412</v>
      </c>
      <c r="B1462" s="82">
        <f t="shared" si="182"/>
        <v>3.2921237647087764E-4</v>
      </c>
      <c r="C1462" s="58">
        <f t="shared" si="178"/>
        <v>42.767442785664585</v>
      </c>
      <c r="D1462" s="83">
        <f t="shared" si="183"/>
        <v>181.35253769243022</v>
      </c>
      <c r="E1462">
        <f t="shared" si="179"/>
        <v>10.827418453486459</v>
      </c>
      <c r="G1462">
        <v>1412</v>
      </c>
      <c r="H1462" s="13">
        <f t="shared" si="184"/>
        <v>5.1608656820917531E-2</v>
      </c>
      <c r="I1462">
        <f t="shared" si="185"/>
        <v>115.17401834122028</v>
      </c>
      <c r="J1462">
        <f t="shared" si="180"/>
        <v>180.1760272235237</v>
      </c>
      <c r="K1462" s="27">
        <f t="shared" si="181"/>
        <v>1674.4036316576382</v>
      </c>
    </row>
    <row r="1463" spans="1:11">
      <c r="A1463" s="26">
        <v>1413</v>
      </c>
      <c r="B1463" s="82">
        <f t="shared" si="182"/>
        <v>3.2921237647087764E-4</v>
      </c>
      <c r="C1463" s="58">
        <f t="shared" si="178"/>
        <v>42.767771998041056</v>
      </c>
      <c r="D1463" s="83">
        <f t="shared" si="183"/>
        <v>181.35316136017073</v>
      </c>
      <c r="E1463">
        <f t="shared" si="179"/>
        <v>10.82749292246973</v>
      </c>
      <c r="G1463">
        <v>1413</v>
      </c>
      <c r="H1463" s="13">
        <f t="shared" si="184"/>
        <v>5.1608656820917531E-2</v>
      </c>
      <c r="I1463">
        <f t="shared" si="185"/>
        <v>115.22562699804119</v>
      </c>
      <c r="J1463">
        <f t="shared" si="180"/>
        <v>180.06965972347422</v>
      </c>
      <c r="K1463" s="27">
        <f t="shared" si="181"/>
        <v>1672.4192596261398</v>
      </c>
    </row>
    <row r="1464" spans="1:11">
      <c r="A1464" s="26">
        <v>1414</v>
      </c>
      <c r="B1464" s="82">
        <f t="shared" si="182"/>
        <v>3.2921237647087764E-4</v>
      </c>
      <c r="C1464" s="58">
        <f t="shared" si="178"/>
        <v>42.768101210417527</v>
      </c>
      <c r="D1464" s="83">
        <f t="shared" si="183"/>
        <v>181.35378500167153</v>
      </c>
      <c r="E1464">
        <f t="shared" si="179"/>
        <v>10.827567388576016</v>
      </c>
      <c r="G1464">
        <v>1414</v>
      </c>
      <c r="H1464" s="13">
        <f t="shared" si="184"/>
        <v>5.1608656820917531E-2</v>
      </c>
      <c r="I1464">
        <f t="shared" si="185"/>
        <v>115.27723565486211</v>
      </c>
      <c r="J1464">
        <f t="shared" si="180"/>
        <v>179.96249636949034</v>
      </c>
      <c r="K1464" s="27">
        <f t="shared" si="181"/>
        <v>1670.4211492896029</v>
      </c>
    </row>
    <row r="1465" spans="1:11">
      <c r="A1465" s="26">
        <v>1415</v>
      </c>
      <c r="B1465" s="82">
        <f t="shared" si="182"/>
        <v>3.2921237647087764E-4</v>
      </c>
      <c r="C1465" s="58">
        <f t="shared" si="178"/>
        <v>42.768430422793998</v>
      </c>
      <c r="D1465" s="83">
        <f t="shared" si="183"/>
        <v>181.35440861693516</v>
      </c>
      <c r="E1465">
        <f t="shared" si="179"/>
        <v>10.827641851805586</v>
      </c>
      <c r="G1465">
        <v>1415</v>
      </c>
      <c r="H1465" s="13">
        <f t="shared" si="184"/>
        <v>5.1608656820917531E-2</v>
      </c>
      <c r="I1465">
        <f t="shared" si="185"/>
        <v>115.32884431168303</v>
      </c>
      <c r="J1465">
        <f t="shared" si="180"/>
        <v>179.85452250296288</v>
      </c>
      <c r="K1465" s="27">
        <f t="shared" si="181"/>
        <v>1668.4090509317637</v>
      </c>
    </row>
    <row r="1466" spans="1:11">
      <c r="A1466" s="26">
        <v>1416</v>
      </c>
      <c r="B1466" s="82">
        <f t="shared" si="182"/>
        <v>3.2921237647087764E-4</v>
      </c>
      <c r="C1466" s="58">
        <f t="shared" si="178"/>
        <v>42.768759635170468</v>
      </c>
      <c r="D1466" s="83">
        <f t="shared" si="183"/>
        <v>181.35503220596425</v>
      </c>
      <c r="E1466">
        <f t="shared" si="179"/>
        <v>10.827716312158721</v>
      </c>
      <c r="G1466">
        <v>1416</v>
      </c>
      <c r="H1466" s="13">
        <f t="shared" si="184"/>
        <v>5.1608656820917531E-2</v>
      </c>
      <c r="I1466">
        <f t="shared" si="185"/>
        <v>115.38045296850395</v>
      </c>
      <c r="J1466">
        <f t="shared" si="180"/>
        <v>179.74572298803355</v>
      </c>
      <c r="K1466" s="27">
        <f t="shared" si="181"/>
        <v>1666.3827066508786</v>
      </c>
    </row>
    <row r="1467" spans="1:11">
      <c r="A1467" s="26">
        <v>1417</v>
      </c>
      <c r="B1467" s="82">
        <f t="shared" si="182"/>
        <v>3.2921237647087764E-4</v>
      </c>
      <c r="C1467" s="58">
        <f t="shared" si="178"/>
        <v>42.769088847546939</v>
      </c>
      <c r="D1467" s="83">
        <f t="shared" si="183"/>
        <v>181.35565576876138</v>
      </c>
      <c r="E1467">
        <f t="shared" si="179"/>
        <v>10.827790769635698</v>
      </c>
      <c r="G1467">
        <v>1417</v>
      </c>
      <c r="H1467" s="13">
        <f t="shared" si="184"/>
        <v>5.1608656820917531E-2</v>
      </c>
      <c r="I1467">
        <f t="shared" si="185"/>
        <v>115.43206162532486</v>
      </c>
      <c r="J1467">
        <f t="shared" si="180"/>
        <v>179.63608218946047</v>
      </c>
      <c r="K1467" s="27">
        <f t="shared" si="181"/>
        <v>1664.3418499774589</v>
      </c>
    </row>
    <row r="1468" spans="1:11">
      <c r="A1468" s="26">
        <v>1418</v>
      </c>
      <c r="B1468" s="82">
        <f t="shared" si="182"/>
        <v>3.2921237647087764E-4</v>
      </c>
      <c r="C1468" s="58">
        <f t="shared" si="178"/>
        <v>42.76941805992341</v>
      </c>
      <c r="D1468" s="83">
        <f t="shared" si="183"/>
        <v>181.35627930532911</v>
      </c>
      <c r="E1468">
        <f t="shared" si="179"/>
        <v>10.827865224236794</v>
      </c>
      <c r="G1468">
        <v>1418</v>
      </c>
      <c r="H1468" s="13">
        <f t="shared" si="184"/>
        <v>5.1608656820917531E-2</v>
      </c>
      <c r="I1468">
        <f t="shared" si="185"/>
        <v>115.48367028214578</v>
      </c>
      <c r="J1468">
        <f t="shared" si="180"/>
        <v>179.52558394914345</v>
      </c>
      <c r="K1468" s="27">
        <f t="shared" si="181"/>
        <v>1662.286205468693</v>
      </c>
    </row>
    <row r="1469" spans="1:11">
      <c r="A1469" s="26">
        <v>1419</v>
      </c>
      <c r="B1469" s="82">
        <f t="shared" si="182"/>
        <v>3.2921237647087764E-4</v>
      </c>
      <c r="C1469" s="58">
        <f t="shared" si="178"/>
        <v>42.769747272299881</v>
      </c>
      <c r="D1469" s="83">
        <f t="shared" si="183"/>
        <v>181.35690281567008</v>
      </c>
      <c r="E1469">
        <f t="shared" si="179"/>
        <v>10.827939675962284</v>
      </c>
      <c r="G1469">
        <v>1419</v>
      </c>
      <c r="H1469" s="13">
        <f t="shared" si="184"/>
        <v>5.1608656820917531E-2</v>
      </c>
      <c r="I1469">
        <f t="shared" si="185"/>
        <v>115.5352789389667</v>
      </c>
      <c r="J1469">
        <f t="shared" si="180"/>
        <v>179.41421156120862</v>
      </c>
      <c r="K1469" s="27">
        <f t="shared" si="181"/>
        <v>1660.2154882778029</v>
      </c>
    </row>
    <row r="1470" spans="1:11">
      <c r="A1470" s="26">
        <v>1420</v>
      </c>
      <c r="B1470" s="82">
        <f t="shared" si="182"/>
        <v>3.2921237647087764E-4</v>
      </c>
      <c r="C1470" s="58">
        <f t="shared" si="178"/>
        <v>42.770076484676352</v>
      </c>
      <c r="D1470" s="83">
        <f t="shared" si="183"/>
        <v>181.35752629978685</v>
      </c>
      <c r="E1470">
        <f t="shared" si="179"/>
        <v>10.82801412481245</v>
      </c>
      <c r="G1470">
        <v>1420</v>
      </c>
      <c r="H1470" s="13">
        <f t="shared" si="184"/>
        <v>5.1608656820917531E-2</v>
      </c>
      <c r="I1470">
        <f t="shared" si="185"/>
        <v>115.58688759578762</v>
      </c>
      <c r="J1470">
        <f t="shared" si="180"/>
        <v>179.30194774554261</v>
      </c>
      <c r="K1470" s="27">
        <f t="shared" si="181"/>
        <v>1658.1294036964061</v>
      </c>
    </row>
    <row r="1471" spans="1:11">
      <c r="A1471" s="26">
        <v>1421</v>
      </c>
      <c r="B1471" s="82">
        <f t="shared" si="182"/>
        <v>3.2921237647087764E-4</v>
      </c>
      <c r="C1471" s="58">
        <f t="shared" si="178"/>
        <v>42.770405697052823</v>
      </c>
      <c r="D1471" s="83">
        <f t="shared" si="183"/>
        <v>181.35814975768201</v>
      </c>
      <c r="E1471">
        <f t="shared" si="179"/>
        <v>10.828088570787562</v>
      </c>
      <c r="G1471">
        <v>1421</v>
      </c>
      <c r="H1471" s="13">
        <f t="shared" si="184"/>
        <v>5.1608656820917531E-2</v>
      </c>
      <c r="I1471">
        <f t="shared" si="185"/>
        <v>115.63849625260853</v>
      </c>
      <c r="J1471">
        <f t="shared" si="180"/>
        <v>179.1887746196565</v>
      </c>
      <c r="K1471" s="27">
        <f t="shared" si="181"/>
        <v>1656.0276466677844</v>
      </c>
    </row>
    <row r="1472" spans="1:11">
      <c r="A1472" s="26">
        <v>1422</v>
      </c>
      <c r="B1472" s="82">
        <f t="shared" si="182"/>
        <v>3.2921237647087764E-4</v>
      </c>
      <c r="C1472" s="58">
        <f t="shared" si="178"/>
        <v>42.770734909429294</v>
      </c>
      <c r="D1472" s="83">
        <f t="shared" si="183"/>
        <v>181.35877318935815</v>
      </c>
      <c r="E1472">
        <f t="shared" si="179"/>
        <v>10.828163013887895</v>
      </c>
      <c r="G1472">
        <v>1422</v>
      </c>
      <c r="H1472" s="13">
        <f t="shared" si="184"/>
        <v>5.1608656820917531E-2</v>
      </c>
      <c r="I1472">
        <f t="shared" si="185"/>
        <v>115.69010490942945</v>
      </c>
      <c r="J1472">
        <f t="shared" si="180"/>
        <v>179.07467366874911</v>
      </c>
      <c r="K1472" s="27">
        <f t="shared" si="181"/>
        <v>1653.9099012687691</v>
      </c>
    </row>
    <row r="1473" spans="1:11">
      <c r="A1473" s="26">
        <v>1423</v>
      </c>
      <c r="B1473" s="82">
        <f t="shared" si="182"/>
        <v>3.2921237647087764E-4</v>
      </c>
      <c r="C1473" s="58">
        <f t="shared" si="178"/>
        <v>42.771064121805765</v>
      </c>
      <c r="D1473" s="83">
        <f t="shared" si="183"/>
        <v>181.35939659481784</v>
      </c>
      <c r="E1473">
        <f t="shared" si="179"/>
        <v>10.828237454113735</v>
      </c>
      <c r="G1473">
        <v>1423</v>
      </c>
      <c r="H1473" s="13">
        <f t="shared" si="184"/>
        <v>5.1608656820917531E-2</v>
      </c>
      <c r="I1473">
        <f t="shared" si="185"/>
        <v>115.74171356625037</v>
      </c>
      <c r="J1473">
        <f t="shared" si="180"/>
        <v>178.95962571382606</v>
      </c>
      <c r="K1473" s="27">
        <f t="shared" si="181"/>
        <v>1651.7758401577232</v>
      </c>
    </row>
    <row r="1474" spans="1:11">
      <c r="A1474" s="26">
        <v>1424</v>
      </c>
      <c r="B1474" s="82">
        <f t="shared" si="182"/>
        <v>3.2921237647087764E-4</v>
      </c>
      <c r="C1474" s="58">
        <f t="shared" si="178"/>
        <v>42.771393334182235</v>
      </c>
      <c r="D1474" s="83">
        <f t="shared" si="183"/>
        <v>181.36001997406368</v>
      </c>
      <c r="E1474">
        <f t="shared" si="179"/>
        <v>10.828311891465352</v>
      </c>
      <c r="G1474">
        <v>1424</v>
      </c>
      <c r="H1474" s="13">
        <f t="shared" si="184"/>
        <v>5.1608656820917531E-2</v>
      </c>
      <c r="I1474">
        <f t="shared" si="185"/>
        <v>115.79332222307129</v>
      </c>
      <c r="J1474">
        <f t="shared" si="180"/>
        <v>178.84361087771862</v>
      </c>
      <c r="K1474" s="27">
        <f t="shared" si="181"/>
        <v>1649.6251239858773</v>
      </c>
    </row>
    <row r="1475" spans="1:11">
      <c r="A1475" s="26">
        <v>1425</v>
      </c>
      <c r="B1475" s="82">
        <f t="shared" si="182"/>
        <v>3.2921237647087764E-4</v>
      </c>
      <c r="C1475" s="58">
        <f t="shared" si="178"/>
        <v>42.771722546558706</v>
      </c>
      <c r="D1475" s="83">
        <f t="shared" si="183"/>
        <v>181.36064332709824</v>
      </c>
      <c r="E1475">
        <f t="shared" si="179"/>
        <v>10.828386325943024</v>
      </c>
      <c r="G1475">
        <v>1425</v>
      </c>
      <c r="H1475" s="13">
        <f t="shared" si="184"/>
        <v>5.1608656820917531E-2</v>
      </c>
      <c r="I1475">
        <f t="shared" si="185"/>
        <v>115.8449308798922</v>
      </c>
      <c r="J1475">
        <f t="shared" si="180"/>
        <v>178.72660854882989</v>
      </c>
      <c r="K1475" s="27">
        <f t="shared" si="181"/>
        <v>1647.457400768988</v>
      </c>
    </row>
    <row r="1476" spans="1:11">
      <c r="A1476" s="26">
        <v>1426</v>
      </c>
      <c r="B1476" s="82">
        <f t="shared" si="182"/>
        <v>3.2921237647087764E-4</v>
      </c>
      <c r="C1476" s="58">
        <f t="shared" si="178"/>
        <v>42.772051758935177</v>
      </c>
      <c r="D1476" s="83">
        <f t="shared" si="183"/>
        <v>181.36126665392413</v>
      </c>
      <c r="E1476">
        <f t="shared" si="179"/>
        <v>10.828460757547028</v>
      </c>
      <c r="G1476">
        <v>1426</v>
      </c>
      <c r="H1476" s="13">
        <f t="shared" si="184"/>
        <v>5.1608656820917531E-2</v>
      </c>
      <c r="I1476">
        <f t="shared" si="185"/>
        <v>115.89653953671312</v>
      </c>
      <c r="J1476">
        <f t="shared" si="180"/>
        <v>178.60859734242004</v>
      </c>
      <c r="K1476" s="27">
        <f t="shared" si="181"/>
        <v>1645.2723052160043</v>
      </c>
    </row>
    <row r="1477" spans="1:11">
      <c r="A1477" s="26">
        <v>1427</v>
      </c>
      <c r="B1477" s="82">
        <f t="shared" si="182"/>
        <v>3.2921237647087764E-4</v>
      </c>
      <c r="C1477" s="58">
        <f t="shared" si="178"/>
        <v>42.772380971311648</v>
      </c>
      <c r="D1477" s="83">
        <f t="shared" si="183"/>
        <v>181.36188995454393</v>
      </c>
      <c r="E1477">
        <f t="shared" si="179"/>
        <v>10.828535186277634</v>
      </c>
      <c r="G1477">
        <v>1427</v>
      </c>
      <c r="H1477" s="13">
        <f t="shared" si="184"/>
        <v>5.1608656820917531E-2</v>
      </c>
      <c r="I1477">
        <f t="shared" si="185"/>
        <v>115.94814819353404</v>
      </c>
      <c r="J1477">
        <f t="shared" si="180"/>
        <v>178.48955505922305</v>
      </c>
      <c r="K1477" s="27">
        <f t="shared" si="181"/>
        <v>1643.0694580110874</v>
      </c>
    </row>
    <row r="1478" spans="1:11">
      <c r="A1478" s="26">
        <v>1428</v>
      </c>
      <c r="B1478" s="82">
        <f t="shared" si="182"/>
        <v>3.2921237647087764E-4</v>
      </c>
      <c r="C1478" s="58">
        <f t="shared" si="178"/>
        <v>42.772710183688119</v>
      </c>
      <c r="D1478" s="83">
        <f t="shared" si="183"/>
        <v>181.36251322896021</v>
      </c>
      <c r="E1478">
        <f t="shared" si="179"/>
        <v>10.82860961213513</v>
      </c>
      <c r="G1478">
        <v>1428</v>
      </c>
      <c r="H1478" s="13">
        <f t="shared" si="184"/>
        <v>5.1608656820917531E-2</v>
      </c>
      <c r="I1478">
        <f t="shared" si="185"/>
        <v>115.99975685035496</v>
      </c>
      <c r="J1478">
        <f t="shared" si="180"/>
        <v>178.36945864116615</v>
      </c>
      <c r="K1478" s="27">
        <f t="shared" si="181"/>
        <v>1640.8484650449516</v>
      </c>
    </row>
    <row r="1479" spans="1:11">
      <c r="A1479" s="26">
        <v>1429</v>
      </c>
      <c r="B1479" s="82">
        <f t="shared" si="182"/>
        <v>3.2921237647087764E-4</v>
      </c>
      <c r="C1479" s="58">
        <f t="shared" si="178"/>
        <v>42.77303939606459</v>
      </c>
      <c r="D1479" s="83">
        <f t="shared" si="183"/>
        <v>181.36313647717557</v>
      </c>
      <c r="E1479">
        <f t="shared" si="179"/>
        <v>10.828684035119784</v>
      </c>
      <c r="G1479">
        <v>1429</v>
      </c>
      <c r="H1479" s="13">
        <f t="shared" si="184"/>
        <v>5.1608656820917531E-2</v>
      </c>
      <c r="I1479">
        <f t="shared" si="185"/>
        <v>116.05136550717587</v>
      </c>
      <c r="J1479">
        <f t="shared" si="180"/>
        <v>178.24828412394049</v>
      </c>
      <c r="K1479" s="27">
        <f t="shared" si="181"/>
        <v>1638.6089165910907</v>
      </c>
    </row>
    <row r="1480" spans="1:11">
      <c r="A1480" s="26">
        <v>1430</v>
      </c>
      <c r="B1480" s="82">
        <f t="shared" si="182"/>
        <v>3.2921237647087764E-4</v>
      </c>
      <c r="C1480" s="58">
        <f t="shared" si="178"/>
        <v>42.773368608441061</v>
      </c>
      <c r="D1480" s="83">
        <f t="shared" si="183"/>
        <v>181.3637596991926</v>
      </c>
      <c r="E1480">
        <f t="shared" si="179"/>
        <v>10.828758455231872</v>
      </c>
      <c r="G1480">
        <v>1430</v>
      </c>
      <c r="H1480" s="13">
        <f t="shared" si="184"/>
        <v>5.1608656820917531E-2</v>
      </c>
      <c r="I1480">
        <f t="shared" si="185"/>
        <v>116.10297416399679</v>
      </c>
      <c r="J1480">
        <f t="shared" si="180"/>
        <v>178.12600658614431</v>
      </c>
      <c r="K1480" s="27">
        <f t="shared" si="181"/>
        <v>1636.3503864219663</v>
      </c>
    </row>
    <row r="1481" spans="1:11">
      <c r="A1481" s="26">
        <v>1431</v>
      </c>
      <c r="B1481" s="82">
        <f t="shared" si="182"/>
        <v>3.2921237647087764E-4</v>
      </c>
      <c r="C1481" s="58">
        <f t="shared" si="178"/>
        <v>42.773697820817532</v>
      </c>
      <c r="D1481" s="83">
        <f t="shared" si="183"/>
        <v>181.36438289501382</v>
      </c>
      <c r="E1481">
        <f t="shared" si="179"/>
        <v>10.828832872471672</v>
      </c>
      <c r="G1481">
        <v>1431</v>
      </c>
      <c r="H1481" s="13">
        <f t="shared" si="184"/>
        <v>5.1608656820917531E-2</v>
      </c>
      <c r="I1481">
        <f t="shared" si="185"/>
        <v>116.15458282081771</v>
      </c>
      <c r="J1481">
        <f t="shared" si="180"/>
        <v>178.00260009469085</v>
      </c>
      <c r="K1481" s="27">
        <f t="shared" si="181"/>
        <v>1634.0724308597253</v>
      </c>
    </row>
    <row r="1482" spans="1:11">
      <c r="A1482" s="26">
        <v>1432</v>
      </c>
      <c r="B1482" s="82">
        <f t="shared" si="182"/>
        <v>3.2921237647087764E-4</v>
      </c>
      <c r="C1482" s="58">
        <f t="shared" si="178"/>
        <v>42.774027033194002</v>
      </c>
      <c r="D1482" s="83">
        <f t="shared" si="183"/>
        <v>181.3650060646419</v>
      </c>
      <c r="E1482">
        <f t="shared" si="179"/>
        <v>10.828907286839465</v>
      </c>
      <c r="G1482">
        <v>1432</v>
      </c>
      <c r="H1482" s="13">
        <f t="shared" si="184"/>
        <v>5.1608656820917531E-2</v>
      </c>
      <c r="I1482">
        <f t="shared" si="185"/>
        <v>116.20619147763863</v>
      </c>
      <c r="J1482">
        <f t="shared" si="180"/>
        <v>177.87803764613983</v>
      </c>
      <c r="K1482" s="27">
        <f t="shared" si="181"/>
        <v>1631.7745877554123</v>
      </c>
    </row>
    <row r="1483" spans="1:11">
      <c r="A1483" s="26">
        <v>1433</v>
      </c>
      <c r="B1483" s="82">
        <f t="shared" si="182"/>
        <v>3.2921237647087764E-4</v>
      </c>
      <c r="C1483" s="58">
        <f t="shared" si="178"/>
        <v>42.774356245570473</v>
      </c>
      <c r="D1483" s="83">
        <f t="shared" si="183"/>
        <v>181.36562920807935</v>
      </c>
      <c r="E1483">
        <f t="shared" si="179"/>
        <v>10.828981698335518</v>
      </c>
      <c r="G1483">
        <v>1433</v>
      </c>
      <c r="H1483" s="13">
        <f t="shared" si="184"/>
        <v>5.1608656820917531E-2</v>
      </c>
      <c r="I1483">
        <f t="shared" si="185"/>
        <v>116.25780013445954</v>
      </c>
      <c r="J1483">
        <f t="shared" si="180"/>
        <v>177.75229110357407</v>
      </c>
      <c r="K1483" s="27">
        <f t="shared" si="181"/>
        <v>1629.4563753899731</v>
      </c>
    </row>
    <row r="1484" spans="1:11">
      <c r="A1484" s="26">
        <v>1434</v>
      </c>
      <c r="B1484" s="82">
        <f t="shared" si="182"/>
        <v>3.2921237647087764E-4</v>
      </c>
      <c r="C1484" s="58">
        <f t="shared" si="178"/>
        <v>42.774685457946944</v>
      </c>
      <c r="D1484" s="83">
        <f t="shared" si="183"/>
        <v>181.36625232532882</v>
      </c>
      <c r="E1484">
        <f t="shared" si="179"/>
        <v>10.829056106960115</v>
      </c>
      <c r="G1484">
        <v>1434</v>
      </c>
      <c r="H1484" s="13">
        <f t="shared" si="184"/>
        <v>5.1608656820917531E-2</v>
      </c>
      <c r="I1484">
        <f t="shared" si="185"/>
        <v>116.30940879128046</v>
      </c>
      <c r="J1484">
        <f t="shared" si="180"/>
        <v>177.6253311286001</v>
      </c>
      <c r="K1484" s="27">
        <f t="shared" si="181"/>
        <v>1627.1172912896009</v>
      </c>
    </row>
    <row r="1485" spans="1:11">
      <c r="A1485" s="26">
        <v>1435</v>
      </c>
      <c r="B1485" s="82">
        <f t="shared" si="182"/>
        <v>3.2921237647087764E-4</v>
      </c>
      <c r="C1485" s="58">
        <f t="shared" si="178"/>
        <v>42.775014670323415</v>
      </c>
      <c r="D1485" s="83">
        <f t="shared" si="183"/>
        <v>181.36687541639284</v>
      </c>
      <c r="E1485">
        <f t="shared" si="179"/>
        <v>10.829130512713526</v>
      </c>
      <c r="G1485">
        <v>1435</v>
      </c>
      <c r="H1485" s="13">
        <f t="shared" si="184"/>
        <v>5.1608656820917531E-2</v>
      </c>
      <c r="I1485">
        <f t="shared" si="185"/>
        <v>116.36101744810138</v>
      </c>
      <c r="J1485">
        <f t="shared" si="180"/>
        <v>177.49712710800438</v>
      </c>
      <c r="K1485" s="27">
        <f t="shared" si="181"/>
        <v>1624.7568109471051</v>
      </c>
    </row>
    <row r="1486" spans="1:11">
      <c r="A1486" s="26">
        <v>1436</v>
      </c>
      <c r="B1486" s="82">
        <f t="shared" si="182"/>
        <v>3.2921237647087764E-4</v>
      </c>
      <c r="C1486" s="58">
        <f t="shared" si="178"/>
        <v>42.775343882699886</v>
      </c>
      <c r="D1486" s="83">
        <f t="shared" si="183"/>
        <v>181.367498481274</v>
      </c>
      <c r="E1486">
        <f t="shared" si="179"/>
        <v>10.829204915596028</v>
      </c>
      <c r="G1486">
        <v>1436</v>
      </c>
      <c r="H1486" s="13">
        <f t="shared" si="184"/>
        <v>5.1608656820917531E-2</v>
      </c>
      <c r="I1486">
        <f t="shared" si="185"/>
        <v>116.4126261049223</v>
      </c>
      <c r="J1486">
        <f t="shared" si="180"/>
        <v>177.36764707454199</v>
      </c>
      <c r="K1486" s="27">
        <f t="shared" si="181"/>
        <v>1622.3743864400265</v>
      </c>
    </row>
    <row r="1487" spans="1:11">
      <c r="A1487" s="26">
        <v>1437</v>
      </c>
      <c r="B1487" s="82">
        <f t="shared" si="182"/>
        <v>3.2921237647087764E-4</v>
      </c>
      <c r="C1487" s="58">
        <f t="shared" si="178"/>
        <v>42.775673095076357</v>
      </c>
      <c r="D1487" s="83">
        <f t="shared" si="183"/>
        <v>181.36812151997489</v>
      </c>
      <c r="E1487">
        <f t="shared" si="179"/>
        <v>10.829279315607899</v>
      </c>
      <c r="G1487">
        <v>1437</v>
      </c>
      <c r="H1487" s="13">
        <f t="shared" si="184"/>
        <v>5.1608656820917531E-2</v>
      </c>
      <c r="I1487">
        <f t="shared" si="185"/>
        <v>116.46423476174321</v>
      </c>
      <c r="J1487">
        <f t="shared" si="180"/>
        <v>177.23685762127317</v>
      </c>
      <c r="K1487" s="27">
        <f t="shared" si="181"/>
        <v>1619.9694449351084</v>
      </c>
    </row>
    <row r="1488" spans="1:11">
      <c r="A1488" s="26">
        <v>1438</v>
      </c>
      <c r="B1488" s="82">
        <f t="shared" si="182"/>
        <v>3.2921237647087764E-4</v>
      </c>
      <c r="C1488" s="58">
        <f t="shared" ref="C1488:C1551" si="186">($C$37-$C$36)/2000+C1487</f>
        <v>42.776002307452828</v>
      </c>
      <c r="D1488" s="83">
        <f t="shared" si="183"/>
        <v>181.36874453249808</v>
      </c>
      <c r="E1488">
        <f t="shared" si="179"/>
        <v>10.829353712749416</v>
      </c>
      <c r="G1488">
        <v>1438</v>
      </c>
      <c r="H1488" s="13">
        <f t="shared" si="184"/>
        <v>5.1608656820917531E-2</v>
      </c>
      <c r="I1488">
        <f t="shared" si="185"/>
        <v>116.51584341856413</v>
      </c>
      <c r="J1488">
        <f t="shared" si="180"/>
        <v>177.10472380879355</v>
      </c>
      <c r="K1488" s="27">
        <f t="shared" si="181"/>
        <v>1617.5413870674913</v>
      </c>
    </row>
    <row r="1489" spans="1:11">
      <c r="A1489" s="26">
        <v>1439</v>
      </c>
      <c r="B1489" s="82">
        <f t="shared" si="182"/>
        <v>3.2921237647087764E-4</v>
      </c>
      <c r="C1489" s="58">
        <f t="shared" si="186"/>
        <v>42.776331519829299</v>
      </c>
      <c r="D1489" s="83">
        <f t="shared" si="183"/>
        <v>181.36936751884616</v>
      </c>
      <c r="E1489">
        <f t="shared" si="179"/>
        <v>10.829428107020853</v>
      </c>
      <c r="G1489">
        <v>1439</v>
      </c>
      <c r="H1489" s="13">
        <f t="shared" si="184"/>
        <v>5.1608656820917531E-2</v>
      </c>
      <c r="I1489">
        <f t="shared" si="185"/>
        <v>116.56745207538505</v>
      </c>
      <c r="J1489">
        <f t="shared" si="180"/>
        <v>176.971209064623</v>
      </c>
      <c r="K1489" s="27">
        <f t="shared" si="181"/>
        <v>1615.0895851815264</v>
      </c>
    </row>
    <row r="1490" spans="1:11">
      <c r="A1490" s="26">
        <v>1440</v>
      </c>
      <c r="B1490" s="82">
        <f t="shared" si="182"/>
        <v>3.2921237647087764E-4</v>
      </c>
      <c r="C1490" s="58">
        <f t="shared" si="186"/>
        <v>42.776660732205769</v>
      </c>
      <c r="D1490" s="83">
        <f t="shared" si="183"/>
        <v>181.36999047902168</v>
      </c>
      <c r="E1490">
        <f t="shared" si="179"/>
        <v>10.82950249842248</v>
      </c>
      <c r="G1490">
        <v>1440</v>
      </c>
      <c r="H1490" s="13">
        <f t="shared" si="184"/>
        <v>5.1608656820917531E-2</v>
      </c>
      <c r="I1490">
        <f t="shared" si="185"/>
        <v>116.61906073220597</v>
      </c>
      <c r="J1490">
        <f t="shared" si="180"/>
        <v>176.83627507392694</v>
      </c>
      <c r="K1490" s="27">
        <f t="shared" si="181"/>
        <v>1612.6133814185068</v>
      </c>
    </row>
    <row r="1491" spans="1:11">
      <c r="A1491" s="26">
        <v>1441</v>
      </c>
      <c r="B1491" s="82">
        <f t="shared" si="182"/>
        <v>3.2921237647087764E-4</v>
      </c>
      <c r="C1491" s="58">
        <f t="shared" si="186"/>
        <v>42.77698994458224</v>
      </c>
      <c r="D1491" s="83">
        <f t="shared" si="183"/>
        <v>181.37061341302726</v>
      </c>
      <c r="E1491">
        <f t="shared" si="179"/>
        <v>10.829576886954584</v>
      </c>
      <c r="G1491">
        <v>1441</v>
      </c>
      <c r="H1491" s="13">
        <f t="shared" si="184"/>
        <v>5.1608656820917531E-2</v>
      </c>
      <c r="I1491">
        <f t="shared" si="185"/>
        <v>116.67066938902688</v>
      </c>
      <c r="J1491">
        <f t="shared" si="180"/>
        <v>176.6998816606397</v>
      </c>
      <c r="K1491" s="27">
        <f t="shared" si="181"/>
        <v>1610.1120856346822</v>
      </c>
    </row>
    <row r="1492" spans="1:11">
      <c r="A1492" s="26">
        <v>1442</v>
      </c>
      <c r="B1492" s="82">
        <f t="shared" si="182"/>
        <v>3.2921237647087764E-4</v>
      </c>
      <c r="C1492" s="58">
        <f t="shared" si="186"/>
        <v>42.777319156958711</v>
      </c>
      <c r="D1492" s="83">
        <f t="shared" si="183"/>
        <v>181.37123632086548</v>
      </c>
      <c r="E1492">
        <f t="shared" si="179"/>
        <v>10.829651272617435</v>
      </c>
      <c r="G1492">
        <v>1442</v>
      </c>
      <c r="H1492" s="13">
        <f t="shared" si="184"/>
        <v>5.1608656820917531E-2</v>
      </c>
      <c r="I1492">
        <f t="shared" si="185"/>
        <v>116.7222780458478</v>
      </c>
      <c r="J1492">
        <f t="shared" si="180"/>
        <v>176.56198665793744</v>
      </c>
      <c r="K1492" s="27">
        <f t="shared" si="181"/>
        <v>1607.5849731307626</v>
      </c>
    </row>
    <row r="1493" spans="1:11">
      <c r="A1493" s="26">
        <v>1443</v>
      </c>
      <c r="B1493" s="82">
        <f t="shared" si="182"/>
        <v>3.2921237647087764E-4</v>
      </c>
      <c r="C1493" s="58">
        <f t="shared" si="186"/>
        <v>42.777648369335182</v>
      </c>
      <c r="D1493" s="83">
        <f t="shared" si="183"/>
        <v>181.37185920253887</v>
      </c>
      <c r="E1493">
        <f t="shared" si="179"/>
        <v>10.829725655411304</v>
      </c>
      <c r="G1493">
        <v>1443</v>
      </c>
      <c r="H1493" s="13">
        <f t="shared" si="184"/>
        <v>5.1608656820917531E-2</v>
      </c>
      <c r="I1493">
        <f t="shared" si="185"/>
        <v>116.77388670266872</v>
      </c>
      <c r="J1493">
        <f t="shared" si="180"/>
        <v>176.42254576687051</v>
      </c>
      <c r="K1493" s="27">
        <f t="shared" si="181"/>
        <v>1605.0312821716186</v>
      </c>
    </row>
    <row r="1494" spans="1:11">
      <c r="A1494" s="26">
        <v>1444</v>
      </c>
      <c r="B1494" s="82">
        <f t="shared" si="182"/>
        <v>3.2921237647087764E-4</v>
      </c>
      <c r="C1494" s="58">
        <f t="shared" si="186"/>
        <v>42.777977581711653</v>
      </c>
      <c r="D1494" s="83">
        <f t="shared" si="183"/>
        <v>181.37248205805002</v>
      </c>
      <c r="E1494">
        <f t="shared" si="179"/>
        <v>10.829800035336476</v>
      </c>
      <c r="G1494">
        <v>1444</v>
      </c>
      <c r="H1494" s="13">
        <f t="shared" si="184"/>
        <v>5.1608656820917531E-2</v>
      </c>
      <c r="I1494">
        <f t="shared" si="185"/>
        <v>116.82549535948964</v>
      </c>
      <c r="J1494">
        <f t="shared" si="180"/>
        <v>176.28151240180406</v>
      </c>
      <c r="K1494" s="27">
        <f t="shared" si="181"/>
        <v>1602.4502112719508</v>
      </c>
    </row>
    <row r="1495" spans="1:11">
      <c r="A1495" s="26">
        <v>1445</v>
      </c>
      <c r="B1495" s="82">
        <f t="shared" si="182"/>
        <v>3.2921237647087764E-4</v>
      </c>
      <c r="C1495" s="58">
        <f t="shared" si="186"/>
        <v>42.778306794088124</v>
      </c>
      <c r="D1495" s="83">
        <f t="shared" si="183"/>
        <v>181.37310488740155</v>
      </c>
      <c r="E1495">
        <f t="shared" si="179"/>
        <v>10.829874412393218</v>
      </c>
      <c r="G1495">
        <v>1445</v>
      </c>
      <c r="H1495" s="13">
        <f t="shared" si="184"/>
        <v>5.1608656820917531E-2</v>
      </c>
      <c r="I1495">
        <f t="shared" si="185"/>
        <v>116.87710401631055</v>
      </c>
      <c r="J1495">
        <f t="shared" si="180"/>
        <v>176.13883752112912</v>
      </c>
      <c r="K1495" s="27">
        <f t="shared" si="181"/>
        <v>1599.8409162203523</v>
      </c>
    </row>
    <row r="1496" spans="1:11">
      <c r="A1496" s="26">
        <v>1446</v>
      </c>
      <c r="B1496" s="82">
        <f t="shared" si="182"/>
        <v>3.2921237647087764E-4</v>
      </c>
      <c r="C1496" s="58">
        <f t="shared" si="186"/>
        <v>42.778636006464595</v>
      </c>
      <c r="D1496" s="83">
        <f t="shared" si="183"/>
        <v>181.37372769059601</v>
      </c>
      <c r="E1496">
        <f t="shared" si="179"/>
        <v>10.829948786581809</v>
      </c>
      <c r="G1496">
        <v>1446</v>
      </c>
      <c r="H1496" s="13">
        <f t="shared" si="184"/>
        <v>5.1608656820917531E-2</v>
      </c>
      <c r="I1496">
        <f t="shared" si="185"/>
        <v>116.92871267313147</v>
      </c>
      <c r="J1496">
        <f t="shared" si="180"/>
        <v>175.99446944149022</v>
      </c>
      <c r="K1496" s="27">
        <f t="shared" si="181"/>
        <v>1597.2025068102428</v>
      </c>
    </row>
    <row r="1497" spans="1:11">
      <c r="A1497" s="26">
        <v>1447</v>
      </c>
      <c r="B1497" s="82">
        <f t="shared" si="182"/>
        <v>3.2921237647087764E-4</v>
      </c>
      <c r="C1497" s="58">
        <f t="shared" si="186"/>
        <v>42.778965218841066</v>
      </c>
      <c r="D1497" s="83">
        <f t="shared" si="183"/>
        <v>181.37435046763594</v>
      </c>
      <c r="E1497">
        <f t="shared" si="179"/>
        <v>10.830023157902524</v>
      </c>
      <c r="G1497">
        <v>1447</v>
      </c>
      <c r="H1497" s="13">
        <f t="shared" si="184"/>
        <v>5.1608656820917531E-2</v>
      </c>
      <c r="I1497">
        <f t="shared" si="185"/>
        <v>116.98032132995239</v>
      </c>
      <c r="J1497">
        <f t="shared" si="180"/>
        <v>175.84835363352411</v>
      </c>
      <c r="K1497" s="27">
        <f t="shared" si="181"/>
        <v>1594.5340432415733</v>
      </c>
    </row>
    <row r="1498" spans="1:11">
      <c r="A1498" s="26">
        <v>1448</v>
      </c>
      <c r="B1498" s="82">
        <f t="shared" si="182"/>
        <v>3.2921237647087764E-4</v>
      </c>
      <c r="C1498" s="58">
        <f t="shared" si="186"/>
        <v>42.779294431217536</v>
      </c>
      <c r="D1498" s="83">
        <f t="shared" si="183"/>
        <v>181.37497321852396</v>
      </c>
      <c r="E1498">
        <f t="shared" si="179"/>
        <v>10.830097526355638</v>
      </c>
      <c r="G1498">
        <v>1448</v>
      </c>
      <c r="H1498" s="13">
        <f t="shared" si="184"/>
        <v>5.1608656820917531E-2</v>
      </c>
      <c r="I1498">
        <f t="shared" si="185"/>
        <v>117.03192998677331</v>
      </c>
      <c r="J1498">
        <f t="shared" si="180"/>
        <v>175.70043249680674</v>
      </c>
      <c r="K1498" s="27">
        <f t="shared" si="181"/>
        <v>1591.8345321518075</v>
      </c>
    </row>
    <row r="1499" spans="1:11">
      <c r="A1499" s="26">
        <v>1449</v>
      </c>
      <c r="B1499" s="82">
        <f t="shared" si="182"/>
        <v>3.2921237647087764E-4</v>
      </c>
      <c r="C1499" s="58">
        <f t="shared" si="186"/>
        <v>42.779623643594007</v>
      </c>
      <c r="D1499" s="83">
        <f t="shared" si="183"/>
        <v>181.37559594326265</v>
      </c>
      <c r="E1499">
        <f t="shared" si="179"/>
        <v>10.830171891941433</v>
      </c>
      <c r="G1499">
        <v>1449</v>
      </c>
      <c r="H1499" s="13">
        <f t="shared" si="184"/>
        <v>5.1608656820917531E-2</v>
      </c>
      <c r="I1499">
        <f t="shared" si="185"/>
        <v>117.08353864359422</v>
      </c>
      <c r="J1499">
        <f t="shared" si="180"/>
        <v>175.55064511136189</v>
      </c>
      <c r="K1499" s="27">
        <f t="shared" si="181"/>
        <v>1589.1029222283842</v>
      </c>
    </row>
    <row r="1500" spans="1:11">
      <c r="A1500" s="26">
        <v>1450</v>
      </c>
      <c r="B1500" s="82">
        <f t="shared" si="182"/>
        <v>3.2921237647087764E-4</v>
      </c>
      <c r="C1500" s="58">
        <f t="shared" si="186"/>
        <v>42.779952855970478</v>
      </c>
      <c r="D1500" s="83">
        <f t="shared" si="183"/>
        <v>181.37621864185456</v>
      </c>
      <c r="E1500">
        <f t="shared" si="179"/>
        <v>10.830246254660173</v>
      </c>
      <c r="G1500">
        <v>1450</v>
      </c>
      <c r="H1500" s="13">
        <f t="shared" si="184"/>
        <v>5.1608656820917531E-2</v>
      </c>
      <c r="I1500">
        <f t="shared" si="185"/>
        <v>117.13514730041514</v>
      </c>
      <c r="J1500">
        <f t="shared" si="180"/>
        <v>175.39892696267435</v>
      </c>
      <c r="K1500" s="27">
        <f t="shared" si="181"/>
        <v>1586.3380993473668</v>
      </c>
    </row>
    <row r="1501" spans="1:11">
      <c r="A1501" s="26">
        <v>1451</v>
      </c>
      <c r="B1501" s="82">
        <f t="shared" si="182"/>
        <v>3.2921237647087764E-4</v>
      </c>
      <c r="C1501" s="58">
        <f t="shared" si="186"/>
        <v>42.780282068346949</v>
      </c>
      <c r="D1501" s="83">
        <f t="shared" si="183"/>
        <v>181.37684131430225</v>
      </c>
      <c r="E1501">
        <f t="shared" si="179"/>
        <v>10.830320614512138</v>
      </c>
      <c r="G1501">
        <v>1451</v>
      </c>
      <c r="H1501" s="13">
        <f t="shared" si="184"/>
        <v>5.1608656820917531E-2</v>
      </c>
      <c r="I1501">
        <f t="shared" si="185"/>
        <v>117.18675595723606</v>
      </c>
      <c r="J1501">
        <f t="shared" si="180"/>
        <v>175.24520963666927</v>
      </c>
      <c r="K1501" s="27">
        <f t="shared" si="181"/>
        <v>1583.5388811741698</v>
      </c>
    </row>
    <row r="1502" spans="1:11">
      <c r="A1502" s="26">
        <v>1452</v>
      </c>
      <c r="B1502" s="82">
        <f t="shared" si="182"/>
        <v>3.2921237647087764E-4</v>
      </c>
      <c r="C1502" s="58">
        <f t="shared" si="186"/>
        <v>42.78061128072342</v>
      </c>
      <c r="D1502" s="83">
        <f t="shared" si="183"/>
        <v>181.37746396060834</v>
      </c>
      <c r="E1502">
        <f t="shared" si="179"/>
        <v>10.830394971497604</v>
      </c>
      <c r="G1502">
        <v>1452</v>
      </c>
      <c r="H1502" s="13">
        <f t="shared" si="184"/>
        <v>5.1608656820917531E-2</v>
      </c>
      <c r="I1502">
        <f t="shared" si="185"/>
        <v>117.23836461405698</v>
      </c>
      <c r="J1502">
        <f t="shared" si="180"/>
        <v>175.08942048054604</v>
      </c>
      <c r="K1502" s="27">
        <f t="shared" si="181"/>
        <v>1580.7040111517183</v>
      </c>
    </row>
    <row r="1503" spans="1:11">
      <c r="A1503" s="26">
        <v>1453</v>
      </c>
      <c r="B1503" s="82">
        <f t="shared" si="182"/>
        <v>3.2921237647087764E-4</v>
      </c>
      <c r="C1503" s="58">
        <f t="shared" si="186"/>
        <v>42.780940493099891</v>
      </c>
      <c r="D1503" s="83">
        <f t="shared" si="183"/>
        <v>181.37808658077537</v>
      </c>
      <c r="E1503">
        <f t="shared" si="179"/>
        <v>10.830469325616846</v>
      </c>
      <c r="G1503">
        <v>1453</v>
      </c>
      <c r="H1503" s="13">
        <f t="shared" si="184"/>
        <v>5.1608656820917531E-2</v>
      </c>
      <c r="I1503">
        <f t="shared" si="185"/>
        <v>117.28997327087789</v>
      </c>
      <c r="J1503">
        <f t="shared" si="180"/>
        <v>174.93148222467337</v>
      </c>
      <c r="K1503" s="27">
        <f t="shared" si="181"/>
        <v>1577.8321517888328</v>
      </c>
    </row>
    <row r="1504" spans="1:11">
      <c r="A1504" s="26">
        <v>1454</v>
      </c>
      <c r="B1504" s="82">
        <f t="shared" si="182"/>
        <v>3.2921237647087764E-4</v>
      </c>
      <c r="C1504" s="58">
        <f t="shared" si="186"/>
        <v>42.781269705476362</v>
      </c>
      <c r="D1504" s="83">
        <f t="shared" si="183"/>
        <v>181.37870917480592</v>
      </c>
      <c r="E1504">
        <f t="shared" si="179"/>
        <v>10.830543676870137</v>
      </c>
      <c r="G1504">
        <v>1454</v>
      </c>
      <c r="H1504" s="13">
        <f t="shared" si="184"/>
        <v>5.1608656820917531E-2</v>
      </c>
      <c r="I1504">
        <f t="shared" si="185"/>
        <v>117.34158192769881</v>
      </c>
      <c r="J1504">
        <f t="shared" si="180"/>
        <v>174.77131255993436</v>
      </c>
      <c r="K1504" s="27">
        <f t="shared" si="181"/>
        <v>1574.921877146566</v>
      </c>
    </row>
    <row r="1505" spans="1:11">
      <c r="A1505" s="26">
        <v>1455</v>
      </c>
      <c r="B1505" s="82">
        <f t="shared" si="182"/>
        <v>3.2921237647087764E-4</v>
      </c>
      <c r="C1505" s="58">
        <f t="shared" si="186"/>
        <v>42.781598917852833</v>
      </c>
      <c r="D1505" s="83">
        <f t="shared" si="183"/>
        <v>181.37933174270256</v>
      </c>
      <c r="E1505">
        <f t="shared" si="179"/>
        <v>10.830618025257756</v>
      </c>
      <c r="G1505">
        <v>1455</v>
      </c>
      <c r="H1505" s="13">
        <f t="shared" si="184"/>
        <v>5.1608656820917531E-2</v>
      </c>
      <c r="I1505">
        <f t="shared" si="185"/>
        <v>117.39319058451973</v>
      </c>
      <c r="J1505">
        <f t="shared" si="180"/>
        <v>174.60882366393082</v>
      </c>
      <c r="K1505" s="27">
        <f t="shared" si="181"/>
        <v>1571.9716644020584</v>
      </c>
    </row>
    <row r="1506" spans="1:11">
      <c r="A1506" s="26">
        <v>1456</v>
      </c>
      <c r="B1506" s="82">
        <f t="shared" si="182"/>
        <v>3.2921237647087764E-4</v>
      </c>
      <c r="C1506" s="58">
        <f t="shared" si="186"/>
        <v>42.781928130229304</v>
      </c>
      <c r="D1506" s="83">
        <f t="shared" si="183"/>
        <v>181.37995428446786</v>
      </c>
      <c r="E1506">
        <f t="shared" si="179"/>
        <v>10.830692370779976</v>
      </c>
      <c r="G1506">
        <v>1456</v>
      </c>
      <c r="H1506" s="13">
        <f t="shared" si="184"/>
        <v>5.1608656820917531E-2</v>
      </c>
      <c r="I1506">
        <f t="shared" si="185"/>
        <v>117.44479924134065</v>
      </c>
      <c r="J1506">
        <f t="shared" si="180"/>
        <v>174.4439216682693</v>
      </c>
      <c r="K1506" s="27">
        <f t="shared" si="181"/>
        <v>1568.9798843474955</v>
      </c>
    </row>
    <row r="1507" spans="1:11">
      <c r="A1507" s="26">
        <v>1457</v>
      </c>
      <c r="B1507" s="82">
        <f t="shared" si="182"/>
        <v>3.2921237647087764E-4</v>
      </c>
      <c r="C1507" s="58">
        <f t="shared" si="186"/>
        <v>42.782257342605774</v>
      </c>
      <c r="D1507" s="83">
        <f t="shared" si="183"/>
        <v>181.38057680010439</v>
      </c>
      <c r="E1507">
        <f t="shared" si="179"/>
        <v>10.83076671343707</v>
      </c>
      <c r="G1507">
        <v>1457</v>
      </c>
      <c r="H1507" s="13">
        <f t="shared" si="184"/>
        <v>5.1608656820917531E-2</v>
      </c>
      <c r="I1507">
        <f t="shared" si="185"/>
        <v>117.49640789816156</v>
      </c>
      <c r="J1507">
        <f t="shared" si="180"/>
        <v>174.2765060577149</v>
      </c>
      <c r="K1507" s="27">
        <f t="shared" si="181"/>
        <v>1565.9447906549983</v>
      </c>
    </row>
    <row r="1508" spans="1:11">
      <c r="A1508" s="26">
        <v>1458</v>
      </c>
      <c r="B1508" s="82">
        <f t="shared" si="182"/>
        <v>3.2921237647087764E-4</v>
      </c>
      <c r="C1508" s="58">
        <f t="shared" si="186"/>
        <v>42.782586554982245</v>
      </c>
      <c r="D1508" s="83">
        <f t="shared" si="183"/>
        <v>181.38119928961473</v>
      </c>
      <c r="E1508">
        <f t="shared" si="179"/>
        <v>10.830841053229316</v>
      </c>
      <c r="G1508">
        <v>1458</v>
      </c>
      <c r="H1508" s="13">
        <f t="shared" si="184"/>
        <v>5.1608656820917531E-2</v>
      </c>
      <c r="I1508">
        <f t="shared" si="185"/>
        <v>117.54801655498248</v>
      </c>
      <c r="J1508">
        <f t="shared" si="180"/>
        <v>174.10646899024439</v>
      </c>
      <c r="K1508" s="27">
        <f t="shared" si="181"/>
        <v>1562.8645077055542</v>
      </c>
    </row>
    <row r="1509" spans="1:11">
      <c r="A1509" s="26">
        <v>1459</v>
      </c>
      <c r="B1509" s="82">
        <f t="shared" si="182"/>
        <v>3.2921237647087764E-4</v>
      </c>
      <c r="C1509" s="58">
        <f t="shared" si="186"/>
        <v>42.782915767358716</v>
      </c>
      <c r="D1509" s="83">
        <f t="shared" si="183"/>
        <v>181.38182175300145</v>
      </c>
      <c r="E1509">
        <f t="shared" si="179"/>
        <v>10.830915390156983</v>
      </c>
      <c r="G1509">
        <v>1459</v>
      </c>
      <c r="H1509" s="13">
        <f t="shared" si="184"/>
        <v>5.1608656820917531E-2</v>
      </c>
      <c r="I1509">
        <f t="shared" si="185"/>
        <v>117.5996252118034</v>
      </c>
      <c r="J1509">
        <f t="shared" si="180"/>
        <v>173.93369452488014</v>
      </c>
      <c r="K1509" s="27">
        <f t="shared" si="181"/>
        <v>1559.7370167398449</v>
      </c>
    </row>
    <row r="1510" spans="1:11">
      <c r="A1510" s="26">
        <v>1460</v>
      </c>
      <c r="B1510" s="82">
        <f t="shared" si="182"/>
        <v>3.2921237647087764E-4</v>
      </c>
      <c r="C1510" s="58">
        <f t="shared" si="186"/>
        <v>42.783244979735187</v>
      </c>
      <c r="D1510" s="83">
        <f t="shared" si="183"/>
        <v>181.38244419026711</v>
      </c>
      <c r="E1510">
        <f t="shared" si="179"/>
        <v>10.830989724220354</v>
      </c>
      <c r="G1510">
        <v>1460</v>
      </c>
      <c r="H1510" s="13">
        <f t="shared" si="184"/>
        <v>5.1608656820917531E-2</v>
      </c>
      <c r="I1510">
        <f t="shared" si="185"/>
        <v>117.65123386862432</v>
      </c>
      <c r="J1510">
        <f t="shared" si="180"/>
        <v>173.75805774153437</v>
      </c>
      <c r="K1510" s="27">
        <f t="shared" si="181"/>
        <v>1556.5601400390085</v>
      </c>
    </row>
    <row r="1511" spans="1:11">
      <c r="A1511" s="26">
        <v>1461</v>
      </c>
      <c r="B1511" s="82">
        <f t="shared" si="182"/>
        <v>3.2921237647087764E-4</v>
      </c>
      <c r="C1511" s="58">
        <f t="shared" si="186"/>
        <v>42.783574192111658</v>
      </c>
      <c r="D1511" s="83">
        <f t="shared" si="183"/>
        <v>181.3830666014143</v>
      </c>
      <c r="E1511">
        <f t="shared" si="179"/>
        <v>10.8310640554197</v>
      </c>
      <c r="G1511">
        <v>1461</v>
      </c>
      <c r="H1511" s="13">
        <f t="shared" si="184"/>
        <v>5.1608656820917531E-2</v>
      </c>
      <c r="I1511">
        <f t="shared" si="185"/>
        <v>117.70284252544523</v>
      </c>
      <c r="J1511">
        <f t="shared" si="180"/>
        <v>173.57942373380175</v>
      </c>
      <c r="K1511" s="27">
        <f t="shared" si="181"/>
        <v>1553.3315227813366</v>
      </c>
    </row>
    <row r="1512" spans="1:11">
      <c r="A1512" s="26">
        <v>1462</v>
      </c>
      <c r="B1512" s="82">
        <f t="shared" si="182"/>
        <v>3.2921237647087764E-4</v>
      </c>
      <c r="C1512" s="58">
        <f t="shared" si="186"/>
        <v>42.783903404488129</v>
      </c>
      <c r="D1512" s="83">
        <f t="shared" si="183"/>
        <v>181.38368898644555</v>
      </c>
      <c r="E1512">
        <f t="shared" si="179"/>
        <v>10.831138383755295</v>
      </c>
      <c r="G1512">
        <v>1462</v>
      </c>
      <c r="H1512" s="13">
        <f t="shared" si="184"/>
        <v>5.1608656820917531E-2</v>
      </c>
      <c r="I1512">
        <f t="shared" si="185"/>
        <v>117.75445118226615</v>
      </c>
      <c r="J1512">
        <f t="shared" si="180"/>
        <v>173.39764645152923</v>
      </c>
      <c r="K1512" s="27">
        <f t="shared" si="181"/>
        <v>1550.048612143155</v>
      </c>
    </row>
    <row r="1513" spans="1:11">
      <c r="A1513" s="26">
        <v>1463</v>
      </c>
      <c r="B1513" s="82">
        <f t="shared" si="182"/>
        <v>3.2921237647087764E-4</v>
      </c>
      <c r="C1513" s="58">
        <f t="shared" si="186"/>
        <v>42.7842326168646</v>
      </c>
      <c r="D1513" s="83">
        <f t="shared" si="183"/>
        <v>181.38431134536347</v>
      </c>
      <c r="E1513">
        <f t="shared" si="179"/>
        <v>10.831212709227414</v>
      </c>
      <c r="G1513">
        <v>1463</v>
      </c>
      <c r="H1513" s="13">
        <f t="shared" si="184"/>
        <v>5.1608656820917531E-2</v>
      </c>
      <c r="I1513">
        <f t="shared" si="185"/>
        <v>117.80605983908707</v>
      </c>
      <c r="J1513">
        <f t="shared" si="180"/>
        <v>173.21256736482411</v>
      </c>
      <c r="K1513" s="27">
        <f t="shared" si="181"/>
        <v>1546.7086331139462</v>
      </c>
    </row>
    <row r="1514" spans="1:11">
      <c r="A1514" s="26">
        <v>1464</v>
      </c>
      <c r="B1514" s="82">
        <f t="shared" si="182"/>
        <v>3.2921237647087764E-4</v>
      </c>
      <c r="C1514" s="58">
        <f t="shared" si="186"/>
        <v>42.784561829241071</v>
      </c>
      <c r="D1514" s="83">
        <f t="shared" si="183"/>
        <v>181.3849336781706</v>
      </c>
      <c r="E1514">
        <f t="shared" si="179"/>
        <v>10.831287031836327</v>
      </c>
      <c r="G1514">
        <v>1464</v>
      </c>
      <c r="H1514" s="13">
        <f t="shared" si="184"/>
        <v>5.1608656820917531E-2</v>
      </c>
      <c r="I1514">
        <f t="shared" si="185"/>
        <v>117.85766849590799</v>
      </c>
      <c r="J1514">
        <f t="shared" si="180"/>
        <v>173.0240139146166</v>
      </c>
      <c r="K1514" s="27">
        <f t="shared" si="181"/>
        <v>1543.3085603709051</v>
      </c>
    </row>
    <row r="1515" spans="1:11">
      <c r="A1515" s="26">
        <v>1465</v>
      </c>
      <c r="B1515" s="82">
        <f t="shared" si="182"/>
        <v>3.2921237647087764E-4</v>
      </c>
      <c r="C1515" s="58">
        <f t="shared" si="186"/>
        <v>42.784891041617541</v>
      </c>
      <c r="D1515" s="83">
        <f t="shared" si="183"/>
        <v>181.38555598486951</v>
      </c>
      <c r="E1515">
        <f t="shared" si="179"/>
        <v>10.831361351582316</v>
      </c>
      <c r="G1515">
        <v>1465</v>
      </c>
      <c r="H1515" s="13">
        <f t="shared" si="184"/>
        <v>5.1608656820917531E-2</v>
      </c>
      <c r="I1515">
        <f t="shared" si="185"/>
        <v>117.9092771527289</v>
      </c>
      <c r="J1515">
        <f t="shared" si="180"/>
        <v>172.83179770653925</v>
      </c>
      <c r="K1515" s="27">
        <f t="shared" si="181"/>
        <v>1539.8450853979539</v>
      </c>
    </row>
    <row r="1516" spans="1:11">
      <c r="A1516" s="26">
        <v>1466</v>
      </c>
      <c r="B1516" s="82">
        <f t="shared" si="182"/>
        <v>3.2921237647087764E-4</v>
      </c>
      <c r="C1516" s="58">
        <f t="shared" si="186"/>
        <v>42.785220253994012</v>
      </c>
      <c r="D1516" s="83">
        <f t="shared" si="183"/>
        <v>181.3861782654628</v>
      </c>
      <c r="E1516">
        <f t="shared" si="179"/>
        <v>10.831435668465653</v>
      </c>
      <c r="G1516">
        <v>1466</v>
      </c>
      <c r="H1516" s="13">
        <f t="shared" si="184"/>
        <v>5.1608656820917531E-2</v>
      </c>
      <c r="I1516">
        <f t="shared" si="185"/>
        <v>117.96088580954982</v>
      </c>
      <c r="J1516">
        <f t="shared" si="180"/>
        <v>172.63571239413409</v>
      </c>
      <c r="K1516" s="27">
        <f t="shared" si="181"/>
        <v>1536.3145778271255</v>
      </c>
    </row>
    <row r="1517" spans="1:11">
      <c r="A1517" s="26">
        <v>1467</v>
      </c>
      <c r="B1517" s="82">
        <f t="shared" si="182"/>
        <v>3.2921237647087764E-4</v>
      </c>
      <c r="C1517" s="58">
        <f t="shared" si="186"/>
        <v>42.785549466370483</v>
      </c>
      <c r="D1517" s="83">
        <f t="shared" si="183"/>
        <v>181.386800519953</v>
      </c>
      <c r="E1517">
        <f t="shared" si="179"/>
        <v>10.831509982486615</v>
      </c>
      <c r="G1517">
        <v>1467</v>
      </c>
      <c r="H1517" s="13">
        <f t="shared" si="184"/>
        <v>5.1608656820917531E-2</v>
      </c>
      <c r="I1517">
        <f t="shared" si="185"/>
        <v>118.01249446637074</v>
      </c>
      <c r="J1517">
        <f t="shared" si="180"/>
        <v>172.43553118343942</v>
      </c>
      <c r="K1517" s="27">
        <f t="shared" si="181"/>
        <v>1532.7130397098201</v>
      </c>
    </row>
    <row r="1518" spans="1:11">
      <c r="A1518" s="26">
        <v>1468</v>
      </c>
      <c r="B1518" s="82">
        <f t="shared" si="182"/>
        <v>3.2921237647087764E-4</v>
      </c>
      <c r="C1518" s="58">
        <f t="shared" si="186"/>
        <v>42.785878678746954</v>
      </c>
      <c r="D1518" s="83">
        <f t="shared" si="183"/>
        <v>181.38742274834269</v>
      </c>
      <c r="E1518">
        <f t="shared" si="179"/>
        <v>10.831584293645472</v>
      </c>
      <c r="G1518">
        <v>1468</v>
      </c>
      <c r="H1518" s="13">
        <f t="shared" si="184"/>
        <v>5.1608656820917531E-2</v>
      </c>
      <c r="I1518">
        <f t="shared" si="185"/>
        <v>118.06410312319166</v>
      </c>
      <c r="J1518">
        <f t="shared" si="180"/>
        <v>172.23100387270915</v>
      </c>
      <c r="K1518" s="27">
        <f t="shared" si="181"/>
        <v>1529.0360510689254</v>
      </c>
    </row>
    <row r="1519" spans="1:11">
      <c r="A1519" s="26">
        <v>1469</v>
      </c>
      <c r="B1519" s="82">
        <f t="shared" si="182"/>
        <v>3.2921237647087764E-4</v>
      </c>
      <c r="C1519" s="58">
        <f t="shared" si="186"/>
        <v>42.786207891123425</v>
      </c>
      <c r="D1519" s="83">
        <f t="shared" si="183"/>
        <v>181.38804495063445</v>
      </c>
      <c r="E1519">
        <f t="shared" si="179"/>
        <v>10.831658601942499</v>
      </c>
      <c r="G1519">
        <v>1469</v>
      </c>
      <c r="H1519" s="13">
        <f t="shared" si="184"/>
        <v>5.1608656820917531E-2</v>
      </c>
      <c r="I1519">
        <f t="shared" si="185"/>
        <v>118.11571178001257</v>
      </c>
      <c r="J1519">
        <f t="shared" si="180"/>
        <v>172.02185331678578</v>
      </c>
      <c r="K1519" s="27">
        <f t="shared" si="181"/>
        <v>1525.2787046076985</v>
      </c>
    </row>
    <row r="1520" spans="1:11">
      <c r="A1520" s="26">
        <v>1470</v>
      </c>
      <c r="B1520" s="82">
        <f t="shared" si="182"/>
        <v>3.2921237647087764E-4</v>
      </c>
      <c r="C1520" s="58">
        <f t="shared" si="186"/>
        <v>42.786537103499896</v>
      </c>
      <c r="D1520" s="83">
        <f t="shared" si="183"/>
        <v>181.3886671268308</v>
      </c>
      <c r="E1520">
        <f t="shared" si="179"/>
        <v>10.831732907377969</v>
      </c>
      <c r="G1520">
        <v>1470</v>
      </c>
      <c r="H1520" s="13">
        <f t="shared" si="184"/>
        <v>5.1608656820917531E-2</v>
      </c>
      <c r="I1520">
        <f t="shared" si="185"/>
        <v>118.16732043683349</v>
      </c>
      <c r="J1520">
        <f t="shared" si="180"/>
        <v>171.80777117320267</v>
      </c>
      <c r="K1520" s="27">
        <f t="shared" si="181"/>
        <v>1521.4355268107722</v>
      </c>
    </row>
    <row r="1521" spans="1:11">
      <c r="A1521" s="26">
        <v>1471</v>
      </c>
      <c r="B1521" s="82">
        <f t="shared" si="182"/>
        <v>3.2921237647087764E-4</v>
      </c>
      <c r="C1521" s="58">
        <f t="shared" si="186"/>
        <v>42.786866315876367</v>
      </c>
      <c r="D1521" s="83">
        <f t="shared" si="183"/>
        <v>181.38928927693436</v>
      </c>
      <c r="E1521">
        <f t="shared" si="179"/>
        <v>10.831807209952162</v>
      </c>
      <c r="G1521">
        <v>1471</v>
      </c>
      <c r="H1521" s="13">
        <f t="shared" si="184"/>
        <v>5.1608656820917531E-2</v>
      </c>
      <c r="I1521">
        <f t="shared" si="185"/>
        <v>118.21892909365441</v>
      </c>
      <c r="J1521">
        <f t="shared" si="180"/>
        <v>171.58841274312528</v>
      </c>
      <c r="K1521" s="27">
        <f t="shared" si="181"/>
        <v>1517.5003817981963</v>
      </c>
    </row>
    <row r="1522" spans="1:11">
      <c r="A1522" s="26">
        <v>1472</v>
      </c>
      <c r="B1522" s="82">
        <f t="shared" si="182"/>
        <v>3.2921237647087764E-4</v>
      </c>
      <c r="C1522" s="58">
        <f t="shared" si="186"/>
        <v>42.787195528252838</v>
      </c>
      <c r="D1522" s="83">
        <f t="shared" si="183"/>
        <v>181.38991140094765</v>
      </c>
      <c r="E1522">
        <f t="shared" si="179"/>
        <v>10.831881509665346</v>
      </c>
      <c r="G1522">
        <v>1472</v>
      </c>
      <c r="H1522" s="13">
        <f t="shared" si="184"/>
        <v>5.1608656820917531E-2</v>
      </c>
      <c r="I1522">
        <f t="shared" si="185"/>
        <v>118.27053775047533</v>
      </c>
      <c r="J1522">
        <f t="shared" si="180"/>
        <v>171.36339065988946</v>
      </c>
      <c r="K1522" s="27">
        <f t="shared" si="181"/>
        <v>1513.4663530831167</v>
      </c>
    </row>
    <row r="1523" spans="1:11">
      <c r="A1523" s="26">
        <v>1473</v>
      </c>
      <c r="B1523" s="82">
        <f t="shared" si="182"/>
        <v>3.2921237647087764E-4</v>
      </c>
      <c r="C1523" s="58">
        <f t="shared" si="186"/>
        <v>42.787524740629308</v>
      </c>
      <c r="D1523" s="83">
        <f t="shared" si="183"/>
        <v>181.39053349887328</v>
      </c>
      <c r="E1523">
        <f t="shared" ref="E1523:E1586" si="187">((D1523^2)+(D1523*D1524)+(D1524^2))*B1524/3</f>
        <v>10.831955806517799</v>
      </c>
      <c r="G1523">
        <v>1473</v>
      </c>
      <c r="H1523" s="13">
        <f t="shared" si="184"/>
        <v>5.1608656820917531E-2</v>
      </c>
      <c r="I1523">
        <f t="shared" si="185"/>
        <v>118.32214640729624</v>
      </c>
      <c r="J1523">
        <f t="shared" ref="J1523:J1586" si="188">IF($G$28&lt;$C$14,0,((($C$11^2)-((I1523-$C$13)^2))^0.5)+$C$16)</f>
        <v>171.13226709386754</v>
      </c>
      <c r="K1523" s="27">
        <f t="shared" ref="K1523:K1586" si="189">((J1523^2)+(J1523*J1524)+(J1524^2))*H1524/3</f>
        <v>1509.3255966833319</v>
      </c>
    </row>
    <row r="1524" spans="1:11">
      <c r="A1524" s="26">
        <v>1474</v>
      </c>
      <c r="B1524" s="82">
        <f t="shared" ref="B1524:B1587" si="190">C1524-C1523</f>
        <v>3.2921237647087764E-4</v>
      </c>
      <c r="C1524" s="58">
        <f t="shared" si="186"/>
        <v>42.787853953005779</v>
      </c>
      <c r="D1524" s="83">
        <f t="shared" ref="D1524:D1587" si="191">IF($G$28&lt;$C$14,0,((($C$11^2)-((C1524-$C$13)^2))^0.5)+$C$16)</f>
        <v>181.39115557071378</v>
      </c>
      <c r="E1524">
        <f t="shared" si="187"/>
        <v>10.832030100509792</v>
      </c>
      <c r="G1524">
        <v>1474</v>
      </c>
      <c r="H1524" s="13">
        <f t="shared" ref="H1524:H1587" si="192">I1524-I1523</f>
        <v>5.1608656820917531E-2</v>
      </c>
      <c r="I1524">
        <f t="shared" ref="I1524:I1587" si="193">($G$27-$C$14)/2000+I1523</f>
        <v>118.37375506411716</v>
      </c>
      <c r="J1524">
        <f t="shared" si="188"/>
        <v>170.894544023582</v>
      </c>
      <c r="K1524" s="27">
        <f t="shared" si="189"/>
        <v>1505.0691566084763</v>
      </c>
    </row>
    <row r="1525" spans="1:11">
      <c r="A1525" s="26">
        <v>1475</v>
      </c>
      <c r="B1525" s="82">
        <f t="shared" si="190"/>
        <v>3.2921237647087764E-4</v>
      </c>
      <c r="C1525" s="58">
        <f t="shared" si="186"/>
        <v>42.78818316538225</v>
      </c>
      <c r="D1525" s="83">
        <f t="shared" si="191"/>
        <v>181.3917776164717</v>
      </c>
      <c r="E1525">
        <f t="shared" si="187"/>
        <v>10.8321043916416</v>
      </c>
      <c r="G1525">
        <v>1475</v>
      </c>
      <c r="H1525" s="13">
        <f t="shared" si="192"/>
        <v>5.1608656820917531E-2</v>
      </c>
      <c r="I1525">
        <f t="shared" si="193"/>
        <v>118.42536372093808</v>
      </c>
      <c r="J1525">
        <f t="shared" si="188"/>
        <v>170.64965095210616</v>
      </c>
      <c r="K1525" s="27">
        <f t="shared" si="189"/>
        <v>1500.6867302127023</v>
      </c>
    </row>
    <row r="1526" spans="1:11">
      <c r="A1526" s="26">
        <v>1476</v>
      </c>
      <c r="B1526" s="82">
        <f t="shared" si="190"/>
        <v>3.2921237647087764E-4</v>
      </c>
      <c r="C1526" s="58">
        <f t="shared" si="186"/>
        <v>42.788512377758721</v>
      </c>
      <c r="D1526" s="83">
        <f t="shared" si="191"/>
        <v>181.39239963614963</v>
      </c>
      <c r="E1526">
        <f t="shared" si="187"/>
        <v>10.832178679913502</v>
      </c>
      <c r="G1526">
        <v>1476</v>
      </c>
      <c r="H1526" s="13">
        <f t="shared" si="192"/>
        <v>5.1608656820917531E-2</v>
      </c>
      <c r="I1526">
        <f t="shared" si="193"/>
        <v>118.476972377759</v>
      </c>
      <c r="J1526">
        <f t="shared" si="188"/>
        <v>170.39692919736578</v>
      </c>
      <c r="K1526" s="27">
        <f t="shared" si="189"/>
        <v>1496.1663656617254</v>
      </c>
    </row>
    <row r="1527" spans="1:11">
      <c r="A1527" s="26">
        <v>1477</v>
      </c>
      <c r="B1527" s="82">
        <f t="shared" si="190"/>
        <v>3.2921237647087764E-4</v>
      </c>
      <c r="C1527" s="58">
        <f t="shared" si="186"/>
        <v>42.788841590135192</v>
      </c>
      <c r="D1527" s="83">
        <f t="shared" si="191"/>
        <v>181.39302162975014</v>
      </c>
      <c r="E1527">
        <f t="shared" si="187"/>
        <v>10.832252965325765</v>
      </c>
      <c r="G1527">
        <v>1477</v>
      </c>
      <c r="H1527" s="13">
        <f t="shared" si="192"/>
        <v>5.1608656820917531E-2</v>
      </c>
      <c r="I1527">
        <f t="shared" si="193"/>
        <v>118.52858103457991</v>
      </c>
      <c r="J1527">
        <f t="shared" si="188"/>
        <v>170.13561151020778</v>
      </c>
      <c r="K1527" s="27">
        <f t="shared" si="189"/>
        <v>1491.4940658090693</v>
      </c>
    </row>
    <row r="1528" spans="1:11">
      <c r="A1528" s="26">
        <v>1478</v>
      </c>
      <c r="B1528" s="82">
        <f t="shared" si="190"/>
        <v>3.2921237647087764E-4</v>
      </c>
      <c r="C1528" s="58">
        <f t="shared" si="186"/>
        <v>42.789170802511663</v>
      </c>
      <c r="D1528" s="83">
        <f t="shared" si="191"/>
        <v>181.39364359727577</v>
      </c>
      <c r="E1528">
        <f t="shared" si="187"/>
        <v>10.832327247878665</v>
      </c>
      <c r="G1528">
        <v>1478</v>
      </c>
      <c r="H1528" s="13">
        <f t="shared" si="192"/>
        <v>5.1608656820917531E-2</v>
      </c>
      <c r="I1528">
        <f t="shared" si="193"/>
        <v>118.58018969140083</v>
      </c>
      <c r="J1528">
        <f t="shared" si="188"/>
        <v>169.86479520007876</v>
      </c>
      <c r="K1528" s="27">
        <f t="shared" si="189"/>
        <v>1486.6532603963115</v>
      </c>
    </row>
    <row r="1529" spans="1:11">
      <c r="A1529" s="26">
        <v>1479</v>
      </c>
      <c r="B1529" s="82">
        <f t="shared" si="190"/>
        <v>3.2921237647087764E-4</v>
      </c>
      <c r="C1529" s="58">
        <f t="shared" si="186"/>
        <v>42.789500014888134</v>
      </c>
      <c r="D1529" s="83">
        <f t="shared" si="191"/>
        <v>181.39426553872909</v>
      </c>
      <c r="E1529">
        <f t="shared" si="187"/>
        <v>10.832401527572479</v>
      </c>
      <c r="G1529">
        <v>1479</v>
      </c>
      <c r="H1529" s="13">
        <f t="shared" si="192"/>
        <v>5.1608656820917531E-2</v>
      </c>
      <c r="I1529">
        <f t="shared" si="193"/>
        <v>118.63179834822175</v>
      </c>
      <c r="J1529">
        <f t="shared" si="188"/>
        <v>169.58340604549548</v>
      </c>
      <c r="K1529" s="27">
        <f t="shared" si="189"/>
        <v>1481.6240886638213</v>
      </c>
    </row>
    <row r="1530" spans="1:11">
      <c r="A1530" s="26">
        <v>1480</v>
      </c>
      <c r="B1530" s="82">
        <f t="shared" si="190"/>
        <v>3.2921237647087764E-4</v>
      </c>
      <c r="C1530" s="58">
        <f t="shared" si="186"/>
        <v>42.789829227264605</v>
      </c>
      <c r="D1530" s="83">
        <f t="shared" si="191"/>
        <v>181.39488745411265</v>
      </c>
      <c r="E1530">
        <f t="shared" si="187"/>
        <v>10.832475804407478</v>
      </c>
      <c r="G1530">
        <v>1480</v>
      </c>
      <c r="H1530" s="13">
        <f t="shared" si="192"/>
        <v>5.1608656820917531E-2</v>
      </c>
      <c r="I1530">
        <f t="shared" si="193"/>
        <v>118.68340700504267</v>
      </c>
      <c r="J1530">
        <f t="shared" si="188"/>
        <v>169.29014880411779</v>
      </c>
      <c r="K1530" s="27">
        <f t="shared" si="189"/>
        <v>1476.3824016453627</v>
      </c>
    </row>
    <row r="1531" spans="1:11">
      <c r="A1531" s="26">
        <v>1481</v>
      </c>
      <c r="B1531" s="82">
        <f t="shared" si="190"/>
        <v>3.2921237647087764E-4</v>
      </c>
      <c r="C1531" s="58">
        <f t="shared" si="186"/>
        <v>42.790158439641075</v>
      </c>
      <c r="D1531" s="83">
        <f t="shared" si="191"/>
        <v>181.39550934342904</v>
      </c>
      <c r="E1531">
        <f t="shared" si="187"/>
        <v>10.832550078383933</v>
      </c>
      <c r="G1531">
        <v>1481</v>
      </c>
      <c r="H1531" s="13">
        <f t="shared" si="192"/>
        <v>5.1608656820917531E-2</v>
      </c>
      <c r="I1531">
        <f t="shared" si="193"/>
        <v>118.73501566186359</v>
      </c>
      <c r="J1531">
        <f t="shared" si="188"/>
        <v>168.98343768592008</v>
      </c>
      <c r="K1531" s="27">
        <f t="shared" si="189"/>
        <v>1470.8983370279223</v>
      </c>
    </row>
    <row r="1532" spans="1:11">
      <c r="A1532" s="26">
        <v>1482</v>
      </c>
      <c r="B1532" s="82">
        <f t="shared" si="190"/>
        <v>3.2921237647087764E-4</v>
      </c>
      <c r="C1532" s="58">
        <f t="shared" si="186"/>
        <v>42.790487652017546</v>
      </c>
      <c r="D1532" s="83">
        <f t="shared" si="191"/>
        <v>181.39613120668079</v>
      </c>
      <c r="E1532">
        <f t="shared" si="187"/>
        <v>10.832624349502126</v>
      </c>
      <c r="G1532">
        <v>1482</v>
      </c>
      <c r="H1532" s="13">
        <f t="shared" si="192"/>
        <v>5.1608656820917531E-2</v>
      </c>
      <c r="I1532">
        <f t="shared" si="193"/>
        <v>118.7866243186845</v>
      </c>
      <c r="J1532">
        <f t="shared" si="188"/>
        <v>168.66129587856872</v>
      </c>
      <c r="K1532" s="27">
        <f t="shared" si="189"/>
        <v>1465.1342181658354</v>
      </c>
    </row>
    <row r="1533" spans="1:11">
      <c r="A1533" s="26">
        <v>1483</v>
      </c>
      <c r="B1533" s="82">
        <f t="shared" si="190"/>
        <v>3.2921237647087764E-4</v>
      </c>
      <c r="C1533" s="58">
        <f t="shared" si="186"/>
        <v>42.790816864394017</v>
      </c>
      <c r="D1533" s="83">
        <f t="shared" si="191"/>
        <v>181.39675304387049</v>
      </c>
      <c r="E1533">
        <f t="shared" si="187"/>
        <v>10.832698617762324</v>
      </c>
      <c r="G1533">
        <v>1483</v>
      </c>
      <c r="H1533" s="13">
        <f t="shared" si="192"/>
        <v>5.1608656820917531E-2</v>
      </c>
      <c r="I1533">
        <f t="shared" si="193"/>
        <v>118.83823297550542</v>
      </c>
      <c r="J1533">
        <f t="shared" si="188"/>
        <v>168.32120540824695</v>
      </c>
      <c r="K1533" s="27">
        <f t="shared" si="189"/>
        <v>1459.0413370929391</v>
      </c>
    </row>
    <row r="1534" spans="1:11">
      <c r="A1534" s="26">
        <v>1484</v>
      </c>
      <c r="B1534" s="82">
        <f t="shared" si="190"/>
        <v>3.2921237647087764E-4</v>
      </c>
      <c r="C1534" s="58">
        <f t="shared" si="186"/>
        <v>42.791146076770488</v>
      </c>
      <c r="D1534" s="83">
        <f t="shared" si="191"/>
        <v>181.39737485500066</v>
      </c>
      <c r="E1534">
        <f t="shared" si="187"/>
        <v>10.832772883164798</v>
      </c>
      <c r="G1534">
        <v>1484</v>
      </c>
      <c r="H1534" s="13">
        <f t="shared" si="192"/>
        <v>5.1608656820917531E-2</v>
      </c>
      <c r="I1534">
        <f t="shared" si="193"/>
        <v>118.88984163232634</v>
      </c>
      <c r="J1534">
        <f t="shared" si="188"/>
        <v>167.95987355858088</v>
      </c>
      <c r="K1534" s="27">
        <f t="shared" si="189"/>
        <v>1452.5547946115864</v>
      </c>
    </row>
    <row r="1535" spans="1:11">
      <c r="A1535" s="26">
        <v>1485</v>
      </c>
      <c r="B1535" s="82">
        <f t="shared" si="190"/>
        <v>3.2921237647087764E-4</v>
      </c>
      <c r="C1535" s="58">
        <f t="shared" si="186"/>
        <v>42.791475289146959</v>
      </c>
      <c r="D1535" s="83">
        <f t="shared" si="191"/>
        <v>181.39799664007387</v>
      </c>
      <c r="E1535">
        <f t="shared" si="187"/>
        <v>10.832847145709829</v>
      </c>
      <c r="G1535">
        <v>1485</v>
      </c>
      <c r="H1535" s="13">
        <f t="shared" si="192"/>
        <v>5.1608656820917531E-2</v>
      </c>
      <c r="I1535">
        <f t="shared" si="193"/>
        <v>118.94145028914726</v>
      </c>
      <c r="J1535">
        <f t="shared" si="188"/>
        <v>167.57285101092643</v>
      </c>
      <c r="K1535" s="27">
        <f t="shared" si="189"/>
        <v>1445.5847265466493</v>
      </c>
    </row>
    <row r="1536" spans="1:11">
      <c r="A1536" s="26">
        <v>1486</v>
      </c>
      <c r="B1536" s="82">
        <f t="shared" si="190"/>
        <v>3.2921237647087764E-4</v>
      </c>
      <c r="C1536" s="58">
        <f t="shared" si="186"/>
        <v>42.79180450152343</v>
      </c>
      <c r="D1536" s="83">
        <f t="shared" si="191"/>
        <v>181.3986183990927</v>
      </c>
      <c r="E1536">
        <f t="shared" si="187"/>
        <v>10.832921405397689</v>
      </c>
      <c r="G1536">
        <v>1486</v>
      </c>
      <c r="H1536" s="13">
        <f t="shared" si="192"/>
        <v>5.1608656820917531E-2</v>
      </c>
      <c r="I1536">
        <f t="shared" si="193"/>
        <v>118.99305894596817</v>
      </c>
      <c r="J1536">
        <f t="shared" si="188"/>
        <v>167.1538672960192</v>
      </c>
      <c r="K1536" s="27">
        <f t="shared" si="189"/>
        <v>1438.0002085423064</v>
      </c>
    </row>
    <row r="1537" spans="1:11">
      <c r="A1537" s="26">
        <v>1487</v>
      </c>
      <c r="B1537" s="82">
        <f t="shared" si="190"/>
        <v>3.2921237647087764E-4</v>
      </c>
      <c r="C1537" s="58">
        <f t="shared" si="186"/>
        <v>42.792133713899901</v>
      </c>
      <c r="D1537" s="83">
        <f t="shared" si="191"/>
        <v>181.3992401320597</v>
      </c>
      <c r="E1537">
        <f t="shared" si="187"/>
        <v>10.832995662228647</v>
      </c>
      <c r="G1537">
        <v>1487</v>
      </c>
      <c r="H1537" s="13">
        <f t="shared" si="192"/>
        <v>5.1608656820917531E-2</v>
      </c>
      <c r="I1537">
        <f t="shared" si="193"/>
        <v>119.04466760278909</v>
      </c>
      <c r="J1537">
        <f t="shared" si="188"/>
        <v>166.69357590455337</v>
      </c>
      <c r="K1537" s="27">
        <f t="shared" si="189"/>
        <v>1429.5965089558251</v>
      </c>
    </row>
    <row r="1538" spans="1:11">
      <c r="A1538" s="26">
        <v>1488</v>
      </c>
      <c r="B1538" s="82">
        <f t="shared" si="190"/>
        <v>3.2921237647087764E-4</v>
      </c>
      <c r="C1538" s="58">
        <f t="shared" si="186"/>
        <v>42.792462926276372</v>
      </c>
      <c r="D1538" s="83">
        <f t="shared" si="191"/>
        <v>181.39986183897742</v>
      </c>
      <c r="E1538">
        <f t="shared" si="187"/>
        <v>10.833069916202982</v>
      </c>
      <c r="G1538">
        <v>1488</v>
      </c>
      <c r="H1538" s="13">
        <f t="shared" si="192"/>
        <v>5.1608656820917531E-2</v>
      </c>
      <c r="I1538">
        <f t="shared" si="193"/>
        <v>119.09627625961001</v>
      </c>
      <c r="J1538">
        <f t="shared" si="188"/>
        <v>166.1769044098632</v>
      </c>
      <c r="K1538" s="27">
        <f t="shared" si="189"/>
        <v>1420.0175394419623</v>
      </c>
    </row>
    <row r="1539" spans="1:11">
      <c r="A1539" s="26">
        <v>1489</v>
      </c>
      <c r="B1539" s="82">
        <f t="shared" si="190"/>
        <v>3.2921237647087764E-4</v>
      </c>
      <c r="C1539" s="58">
        <f t="shared" si="186"/>
        <v>42.792792138652842</v>
      </c>
      <c r="D1539" s="83">
        <f t="shared" si="191"/>
        <v>181.40048351984842</v>
      </c>
      <c r="E1539">
        <f t="shared" si="187"/>
        <v>10.833144167320961</v>
      </c>
      <c r="G1539">
        <v>1489</v>
      </c>
      <c r="H1539" s="13">
        <f t="shared" si="192"/>
        <v>5.1608656820917531E-2</v>
      </c>
      <c r="I1539">
        <f t="shared" si="193"/>
        <v>119.14788491643093</v>
      </c>
      <c r="J1539">
        <f t="shared" si="188"/>
        <v>165.57645917452265</v>
      </c>
      <c r="K1539" s="27">
        <f t="shared" si="189"/>
        <v>1408.5193618214907</v>
      </c>
    </row>
    <row r="1540" spans="1:11">
      <c r="A1540" s="26">
        <v>1490</v>
      </c>
      <c r="B1540" s="82">
        <f t="shared" si="190"/>
        <v>3.2921237647087764E-4</v>
      </c>
      <c r="C1540" s="58">
        <f t="shared" si="186"/>
        <v>42.793121351029313</v>
      </c>
      <c r="D1540" s="83">
        <f t="shared" si="191"/>
        <v>181.40110517467525</v>
      </c>
      <c r="E1540">
        <f t="shared" si="187"/>
        <v>10.833218415582865</v>
      </c>
      <c r="G1540">
        <v>1490</v>
      </c>
      <c r="H1540" s="13">
        <f t="shared" si="192"/>
        <v>5.1608656820917531E-2</v>
      </c>
      <c r="I1540">
        <f t="shared" si="193"/>
        <v>119.19949357325184</v>
      </c>
      <c r="J1540">
        <f t="shared" si="188"/>
        <v>164.83093643410444</v>
      </c>
      <c r="K1540" s="27">
        <f t="shared" si="189"/>
        <v>1392.6784872809776</v>
      </c>
    </row>
    <row r="1541" spans="1:11">
      <c r="A1541" s="26">
        <v>1491</v>
      </c>
      <c r="B1541" s="82">
        <f t="shared" si="190"/>
        <v>3.2921237647087764E-4</v>
      </c>
      <c r="C1541" s="58">
        <f t="shared" si="186"/>
        <v>42.793450563405784</v>
      </c>
      <c r="D1541" s="83">
        <f t="shared" si="191"/>
        <v>181.40172680346046</v>
      </c>
      <c r="E1541">
        <f t="shared" si="187"/>
        <v>10.833292660988961</v>
      </c>
      <c r="G1541">
        <v>1491</v>
      </c>
      <c r="H1541" s="13">
        <f t="shared" si="192"/>
        <v>5.1608656820917531E-2</v>
      </c>
      <c r="I1541">
        <f t="shared" si="193"/>
        <v>119.25110223007276</v>
      </c>
      <c r="J1541">
        <f t="shared" si="188"/>
        <v>163.71289150312813</v>
      </c>
      <c r="K1541" s="27" t="e">
        <f t="shared" si="189"/>
        <v>#NUM!</v>
      </c>
    </row>
    <row r="1542" spans="1:11">
      <c r="A1542" s="26">
        <v>1492</v>
      </c>
      <c r="B1542" s="82">
        <f t="shared" si="190"/>
        <v>3.2921237647087764E-4</v>
      </c>
      <c r="C1542" s="58">
        <f t="shared" si="186"/>
        <v>42.793779775782255</v>
      </c>
      <c r="D1542" s="83">
        <f t="shared" si="191"/>
        <v>181.40234840620664</v>
      </c>
      <c r="E1542">
        <f t="shared" si="187"/>
        <v>10.833366903539527</v>
      </c>
      <c r="G1542">
        <v>1492</v>
      </c>
      <c r="H1542" s="13">
        <f t="shared" si="192"/>
        <v>5.1608656820917531E-2</v>
      </c>
      <c r="I1542">
        <f t="shared" si="193"/>
        <v>119.30271088689368</v>
      </c>
      <c r="J1542" t="e">
        <f t="shared" si="188"/>
        <v>#NUM!</v>
      </c>
      <c r="K1542" s="27" t="e">
        <f t="shared" si="189"/>
        <v>#NUM!</v>
      </c>
    </row>
    <row r="1543" spans="1:11">
      <c r="A1543" s="26">
        <v>1493</v>
      </c>
      <c r="B1543" s="82">
        <f t="shared" si="190"/>
        <v>3.2921237647087764E-4</v>
      </c>
      <c r="C1543" s="58">
        <f t="shared" si="186"/>
        <v>42.794108988158726</v>
      </c>
      <c r="D1543" s="83">
        <f t="shared" si="191"/>
        <v>181.40296998291632</v>
      </c>
      <c r="E1543">
        <f t="shared" si="187"/>
        <v>10.833441143234834</v>
      </c>
      <c r="G1543">
        <v>1493</v>
      </c>
      <c r="H1543" s="13">
        <f t="shared" si="192"/>
        <v>5.1608656820917531E-2</v>
      </c>
      <c r="I1543">
        <f t="shared" si="193"/>
        <v>119.3543195437146</v>
      </c>
      <c r="J1543" t="e">
        <f t="shared" si="188"/>
        <v>#NUM!</v>
      </c>
      <c r="K1543" s="27" t="e">
        <f t="shared" si="189"/>
        <v>#NUM!</v>
      </c>
    </row>
    <row r="1544" spans="1:11">
      <c r="A1544" s="26">
        <v>1494</v>
      </c>
      <c r="B1544" s="82">
        <f t="shared" si="190"/>
        <v>3.2921237647087764E-4</v>
      </c>
      <c r="C1544" s="58">
        <f t="shared" si="186"/>
        <v>42.794438200535197</v>
      </c>
      <c r="D1544" s="83">
        <f t="shared" si="191"/>
        <v>181.40359153359208</v>
      </c>
      <c r="E1544">
        <f t="shared" si="187"/>
        <v>10.833515380075154</v>
      </c>
      <c r="G1544">
        <v>1494</v>
      </c>
      <c r="H1544" s="13">
        <f t="shared" si="192"/>
        <v>5.1608656820917531E-2</v>
      </c>
      <c r="I1544">
        <f t="shared" si="193"/>
        <v>119.40592820053551</v>
      </c>
      <c r="J1544" t="e">
        <f t="shared" si="188"/>
        <v>#NUM!</v>
      </c>
      <c r="K1544" s="27" t="e">
        <f t="shared" si="189"/>
        <v>#NUM!</v>
      </c>
    </row>
    <row r="1545" spans="1:11">
      <c r="A1545" s="26">
        <v>1495</v>
      </c>
      <c r="B1545" s="82">
        <f t="shared" si="190"/>
        <v>3.2921237647087764E-4</v>
      </c>
      <c r="C1545" s="58">
        <f t="shared" si="186"/>
        <v>42.794767412911668</v>
      </c>
      <c r="D1545" s="83">
        <f t="shared" si="191"/>
        <v>181.40421305823642</v>
      </c>
      <c r="E1545">
        <f t="shared" si="187"/>
        <v>10.833589614060758</v>
      </c>
      <c r="G1545">
        <v>1495</v>
      </c>
      <c r="H1545" s="13">
        <f t="shared" si="192"/>
        <v>5.1608656820917531E-2</v>
      </c>
      <c r="I1545">
        <f t="shared" si="193"/>
        <v>119.45753685735643</v>
      </c>
      <c r="J1545" t="e">
        <f t="shared" si="188"/>
        <v>#NUM!</v>
      </c>
      <c r="K1545" s="27" t="e">
        <f t="shared" si="189"/>
        <v>#NUM!</v>
      </c>
    </row>
    <row r="1546" spans="1:11">
      <c r="A1546" s="26">
        <v>1496</v>
      </c>
      <c r="B1546" s="82">
        <f t="shared" si="190"/>
        <v>3.2921237647087764E-4</v>
      </c>
      <c r="C1546" s="58">
        <f t="shared" si="186"/>
        <v>42.795096625288139</v>
      </c>
      <c r="D1546" s="83">
        <f t="shared" si="191"/>
        <v>181.40483455685194</v>
      </c>
      <c r="E1546">
        <f t="shared" si="187"/>
        <v>10.833663845191927</v>
      </c>
      <c r="G1546">
        <v>1496</v>
      </c>
      <c r="H1546" s="13">
        <f t="shared" si="192"/>
        <v>5.1608656820917531E-2</v>
      </c>
      <c r="I1546">
        <f t="shared" si="193"/>
        <v>119.50914551417735</v>
      </c>
      <c r="J1546" t="e">
        <f t="shared" si="188"/>
        <v>#NUM!</v>
      </c>
      <c r="K1546" s="27" t="e">
        <f t="shared" si="189"/>
        <v>#NUM!</v>
      </c>
    </row>
    <row r="1547" spans="1:11">
      <c r="A1547" s="26">
        <v>1497</v>
      </c>
      <c r="B1547" s="82">
        <f t="shared" si="190"/>
        <v>3.2921237647087764E-4</v>
      </c>
      <c r="C1547" s="58">
        <f t="shared" si="186"/>
        <v>42.79542583766461</v>
      </c>
      <c r="D1547" s="83">
        <f t="shared" si="191"/>
        <v>181.40545602944115</v>
      </c>
      <c r="E1547">
        <f t="shared" si="187"/>
        <v>10.833738073468924</v>
      </c>
      <c r="G1547">
        <v>1497</v>
      </c>
      <c r="H1547" s="13">
        <f t="shared" si="192"/>
        <v>5.1608656820917531E-2</v>
      </c>
      <c r="I1547">
        <f t="shared" si="193"/>
        <v>119.56075417099827</v>
      </c>
      <c r="J1547" t="e">
        <f t="shared" si="188"/>
        <v>#NUM!</v>
      </c>
      <c r="K1547" s="27" t="e">
        <f t="shared" si="189"/>
        <v>#NUM!</v>
      </c>
    </row>
    <row r="1548" spans="1:11">
      <c r="A1548" s="26">
        <v>1498</v>
      </c>
      <c r="B1548" s="82">
        <f t="shared" si="190"/>
        <v>3.2921237647087764E-4</v>
      </c>
      <c r="C1548" s="58">
        <f t="shared" si="186"/>
        <v>42.79575505004108</v>
      </c>
      <c r="D1548" s="83">
        <f t="shared" si="191"/>
        <v>181.40607747600666</v>
      </c>
      <c r="E1548">
        <f t="shared" si="187"/>
        <v>10.833812298892029</v>
      </c>
      <c r="G1548">
        <v>1498</v>
      </c>
      <c r="H1548" s="13">
        <f t="shared" si="192"/>
        <v>5.1608656820917531E-2</v>
      </c>
      <c r="I1548">
        <f t="shared" si="193"/>
        <v>119.61236282781918</v>
      </c>
      <c r="J1548" t="e">
        <f t="shared" si="188"/>
        <v>#NUM!</v>
      </c>
      <c r="K1548" s="27" t="e">
        <f t="shared" si="189"/>
        <v>#NUM!</v>
      </c>
    </row>
    <row r="1549" spans="1:11">
      <c r="A1549" s="26">
        <v>1499</v>
      </c>
      <c r="B1549" s="82">
        <f t="shared" si="190"/>
        <v>3.2921237647087764E-4</v>
      </c>
      <c r="C1549" s="58">
        <f t="shared" si="186"/>
        <v>42.796084262417551</v>
      </c>
      <c r="D1549" s="83">
        <f t="shared" si="191"/>
        <v>181.40669889655101</v>
      </c>
      <c r="E1549">
        <f t="shared" si="187"/>
        <v>10.833886521461515</v>
      </c>
      <c r="G1549">
        <v>1499</v>
      </c>
      <c r="H1549" s="13">
        <f t="shared" si="192"/>
        <v>5.1608656820917531E-2</v>
      </c>
      <c r="I1549">
        <f t="shared" si="193"/>
        <v>119.6639714846401</v>
      </c>
      <c r="J1549" t="e">
        <f t="shared" si="188"/>
        <v>#NUM!</v>
      </c>
      <c r="K1549" s="27" t="e">
        <f t="shared" si="189"/>
        <v>#NUM!</v>
      </c>
    </row>
    <row r="1550" spans="1:11">
      <c r="A1550" s="26">
        <v>1500</v>
      </c>
      <c r="B1550" s="82">
        <f t="shared" si="190"/>
        <v>3.2921237647087764E-4</v>
      </c>
      <c r="C1550" s="58">
        <f t="shared" si="186"/>
        <v>42.796413474794022</v>
      </c>
      <c r="D1550" s="83">
        <f t="shared" si="191"/>
        <v>181.40732029107673</v>
      </c>
      <c r="E1550">
        <f t="shared" si="187"/>
        <v>10.833960741177654</v>
      </c>
      <c r="G1550">
        <v>1500</v>
      </c>
      <c r="H1550" s="13">
        <f t="shared" si="192"/>
        <v>5.1608656820917531E-2</v>
      </c>
      <c r="I1550">
        <f t="shared" si="193"/>
        <v>119.71558014146102</v>
      </c>
      <c r="J1550" t="e">
        <f t="shared" si="188"/>
        <v>#NUM!</v>
      </c>
      <c r="K1550" s="27" t="e">
        <f t="shared" si="189"/>
        <v>#NUM!</v>
      </c>
    </row>
    <row r="1551" spans="1:11">
      <c r="A1551" s="26">
        <v>1501</v>
      </c>
      <c r="B1551" s="82">
        <f t="shared" si="190"/>
        <v>3.2921237647087764E-4</v>
      </c>
      <c r="C1551" s="58">
        <f t="shared" si="186"/>
        <v>42.796742687170493</v>
      </c>
      <c r="D1551" s="83">
        <f t="shared" si="191"/>
        <v>181.40794165958636</v>
      </c>
      <c r="E1551">
        <f t="shared" si="187"/>
        <v>10.834034958040711</v>
      </c>
      <c r="G1551">
        <v>1501</v>
      </c>
      <c r="H1551" s="13">
        <f t="shared" si="192"/>
        <v>5.1608656820917531E-2</v>
      </c>
      <c r="I1551">
        <f t="shared" si="193"/>
        <v>119.76718879828194</v>
      </c>
      <c r="J1551" t="e">
        <f t="shared" si="188"/>
        <v>#NUM!</v>
      </c>
      <c r="K1551" s="27" t="e">
        <f t="shared" si="189"/>
        <v>#NUM!</v>
      </c>
    </row>
    <row r="1552" spans="1:11">
      <c r="A1552" s="26">
        <v>1502</v>
      </c>
      <c r="B1552" s="82">
        <f t="shared" si="190"/>
        <v>3.2921237647087764E-4</v>
      </c>
      <c r="C1552" s="58">
        <f t="shared" ref="C1552:C1615" si="194">($C$37-$C$36)/2000+C1551</f>
        <v>42.797071899546964</v>
      </c>
      <c r="D1552" s="83">
        <f t="shared" si="191"/>
        <v>181.40856300208247</v>
      </c>
      <c r="E1552">
        <f t="shared" si="187"/>
        <v>10.834109172050971</v>
      </c>
      <c r="G1552">
        <v>1502</v>
      </c>
      <c r="H1552" s="13">
        <f t="shared" si="192"/>
        <v>5.1608656820917531E-2</v>
      </c>
      <c r="I1552">
        <f t="shared" si="193"/>
        <v>119.81879745510285</v>
      </c>
      <c r="J1552" t="e">
        <f t="shared" si="188"/>
        <v>#NUM!</v>
      </c>
      <c r="K1552" s="27" t="e">
        <f t="shared" si="189"/>
        <v>#NUM!</v>
      </c>
    </row>
    <row r="1553" spans="1:11">
      <c r="A1553" s="26">
        <v>1503</v>
      </c>
      <c r="B1553" s="82">
        <f t="shared" si="190"/>
        <v>3.2921237647087764E-4</v>
      </c>
      <c r="C1553" s="58">
        <f t="shared" si="194"/>
        <v>42.797401111923435</v>
      </c>
      <c r="D1553" s="83">
        <f t="shared" si="191"/>
        <v>181.40918431856764</v>
      </c>
      <c r="E1553">
        <f t="shared" si="187"/>
        <v>10.834183383208702</v>
      </c>
      <c r="G1553">
        <v>1503</v>
      </c>
      <c r="H1553" s="13">
        <f t="shared" si="192"/>
        <v>5.1608656820917531E-2</v>
      </c>
      <c r="I1553">
        <f t="shared" si="193"/>
        <v>119.87040611192377</v>
      </c>
      <c r="J1553" t="e">
        <f t="shared" si="188"/>
        <v>#NUM!</v>
      </c>
      <c r="K1553" s="27" t="e">
        <f t="shared" si="189"/>
        <v>#NUM!</v>
      </c>
    </row>
    <row r="1554" spans="1:11">
      <c r="A1554" s="26">
        <v>1504</v>
      </c>
      <c r="B1554" s="82">
        <f t="shared" si="190"/>
        <v>3.2921237647087764E-4</v>
      </c>
      <c r="C1554" s="58">
        <f t="shared" si="194"/>
        <v>42.797730324299906</v>
      </c>
      <c r="D1554" s="83">
        <f t="shared" si="191"/>
        <v>181.40980560904438</v>
      </c>
      <c r="E1554">
        <f t="shared" si="187"/>
        <v>10.834257591514172</v>
      </c>
      <c r="G1554">
        <v>1504</v>
      </c>
      <c r="H1554" s="13">
        <f t="shared" si="192"/>
        <v>5.1608656820917531E-2</v>
      </c>
      <c r="I1554">
        <f t="shared" si="193"/>
        <v>119.92201476874469</v>
      </c>
      <c r="J1554" t="e">
        <f t="shared" si="188"/>
        <v>#NUM!</v>
      </c>
      <c r="K1554" s="27" t="e">
        <f t="shared" si="189"/>
        <v>#NUM!</v>
      </c>
    </row>
    <row r="1555" spans="1:11">
      <c r="A1555" s="26">
        <v>1505</v>
      </c>
      <c r="B1555" s="82">
        <f t="shared" si="190"/>
        <v>3.2921237647087764E-4</v>
      </c>
      <c r="C1555" s="58">
        <f t="shared" si="194"/>
        <v>42.798059536676377</v>
      </c>
      <c r="D1555" s="83">
        <f t="shared" si="191"/>
        <v>181.41042687351523</v>
      </c>
      <c r="E1555">
        <f t="shared" si="187"/>
        <v>10.83433179696766</v>
      </c>
      <c r="G1555">
        <v>1505</v>
      </c>
      <c r="H1555" s="13">
        <f t="shared" si="192"/>
        <v>5.1608656820917531E-2</v>
      </c>
      <c r="I1555">
        <f t="shared" si="193"/>
        <v>119.97362342556561</v>
      </c>
      <c r="J1555" t="e">
        <f t="shared" si="188"/>
        <v>#NUM!</v>
      </c>
      <c r="K1555" s="27" t="e">
        <f t="shared" si="189"/>
        <v>#NUM!</v>
      </c>
    </row>
    <row r="1556" spans="1:11">
      <c r="A1556" s="26">
        <v>1506</v>
      </c>
      <c r="B1556" s="82">
        <f t="shared" si="190"/>
        <v>3.2921237647087764E-4</v>
      </c>
      <c r="C1556" s="58">
        <f t="shared" si="194"/>
        <v>42.798388749052847</v>
      </c>
      <c r="D1556" s="83">
        <f t="shared" si="191"/>
        <v>181.41104811198281</v>
      </c>
      <c r="E1556">
        <f t="shared" si="187"/>
        <v>10.834405999569436</v>
      </c>
      <c r="G1556">
        <v>1506</v>
      </c>
      <c r="H1556" s="13">
        <f t="shared" si="192"/>
        <v>5.1608656820917531E-2</v>
      </c>
      <c r="I1556">
        <f t="shared" si="193"/>
        <v>120.02523208238652</v>
      </c>
      <c r="J1556" t="e">
        <f t="shared" si="188"/>
        <v>#NUM!</v>
      </c>
      <c r="K1556" s="27" t="e">
        <f t="shared" si="189"/>
        <v>#NUM!</v>
      </c>
    </row>
    <row r="1557" spans="1:11">
      <c r="A1557" s="26">
        <v>1507</v>
      </c>
      <c r="B1557" s="82">
        <f t="shared" si="190"/>
        <v>3.2921237647087764E-4</v>
      </c>
      <c r="C1557" s="58">
        <f t="shared" si="194"/>
        <v>42.798717961429318</v>
      </c>
      <c r="D1557" s="83">
        <f t="shared" si="191"/>
        <v>181.41166932444958</v>
      </c>
      <c r="E1557">
        <f t="shared" si="187"/>
        <v>10.834480199319772</v>
      </c>
      <c r="G1557">
        <v>1507</v>
      </c>
      <c r="H1557" s="13">
        <f t="shared" si="192"/>
        <v>5.1608656820917531E-2</v>
      </c>
      <c r="I1557">
        <f t="shared" si="193"/>
        <v>120.07684073920744</v>
      </c>
      <c r="J1557" t="e">
        <f t="shared" si="188"/>
        <v>#NUM!</v>
      </c>
      <c r="K1557" s="27" t="e">
        <f t="shared" si="189"/>
        <v>#NUM!</v>
      </c>
    </row>
    <row r="1558" spans="1:11">
      <c r="A1558" s="26">
        <v>1508</v>
      </c>
      <c r="B1558" s="82">
        <f t="shared" si="190"/>
        <v>3.2921237647087764E-4</v>
      </c>
      <c r="C1558" s="58">
        <f t="shared" si="194"/>
        <v>42.799047173805789</v>
      </c>
      <c r="D1558" s="83">
        <f t="shared" si="191"/>
        <v>181.41229051091815</v>
      </c>
      <c r="E1558">
        <f t="shared" si="187"/>
        <v>10.834554396218946</v>
      </c>
      <c r="G1558">
        <v>1508</v>
      </c>
      <c r="H1558" s="13">
        <f t="shared" si="192"/>
        <v>5.1608656820917531E-2</v>
      </c>
      <c r="I1558">
        <f t="shared" si="193"/>
        <v>120.12844939602836</v>
      </c>
      <c r="J1558" t="e">
        <f t="shared" si="188"/>
        <v>#NUM!</v>
      </c>
      <c r="K1558" s="27" t="e">
        <f t="shared" si="189"/>
        <v>#NUM!</v>
      </c>
    </row>
    <row r="1559" spans="1:11">
      <c r="A1559" s="26">
        <v>1509</v>
      </c>
      <c r="B1559" s="82">
        <f t="shared" si="190"/>
        <v>3.2921237647087764E-4</v>
      </c>
      <c r="C1559" s="58">
        <f t="shared" si="194"/>
        <v>42.79937638618226</v>
      </c>
      <c r="D1559" s="83">
        <f t="shared" si="191"/>
        <v>181.41291167139104</v>
      </c>
      <c r="E1559">
        <f t="shared" si="187"/>
        <v>10.83462859026722</v>
      </c>
      <c r="G1559">
        <v>1509</v>
      </c>
      <c r="H1559" s="13">
        <f t="shared" si="192"/>
        <v>5.1608656820917531E-2</v>
      </c>
      <c r="I1559">
        <f t="shared" si="193"/>
        <v>120.18005805284928</v>
      </c>
      <c r="J1559" t="e">
        <f t="shared" si="188"/>
        <v>#NUM!</v>
      </c>
      <c r="K1559" s="27" t="e">
        <f t="shared" si="189"/>
        <v>#NUM!</v>
      </c>
    </row>
    <row r="1560" spans="1:11">
      <c r="A1560" s="26">
        <v>1510</v>
      </c>
      <c r="B1560" s="82">
        <f t="shared" si="190"/>
        <v>3.2921237647087764E-4</v>
      </c>
      <c r="C1560" s="58">
        <f t="shared" si="194"/>
        <v>42.799705598558731</v>
      </c>
      <c r="D1560" s="83">
        <f t="shared" si="191"/>
        <v>181.4135328058708</v>
      </c>
      <c r="E1560">
        <f t="shared" si="187"/>
        <v>10.834702781464875</v>
      </c>
      <c r="G1560">
        <v>1510</v>
      </c>
      <c r="H1560" s="13">
        <f t="shared" si="192"/>
        <v>5.1608656820917531E-2</v>
      </c>
      <c r="I1560">
        <f t="shared" si="193"/>
        <v>120.23166670967019</v>
      </c>
      <c r="J1560" t="e">
        <f t="shared" si="188"/>
        <v>#NUM!</v>
      </c>
      <c r="K1560" s="27" t="e">
        <f t="shared" si="189"/>
        <v>#NUM!</v>
      </c>
    </row>
    <row r="1561" spans="1:11">
      <c r="A1561" s="26">
        <v>1511</v>
      </c>
      <c r="B1561" s="82">
        <f t="shared" si="190"/>
        <v>3.2921237647087764E-4</v>
      </c>
      <c r="C1561" s="58">
        <f t="shared" si="194"/>
        <v>42.800034810935202</v>
      </c>
      <c r="D1561" s="83">
        <f t="shared" si="191"/>
        <v>181.41415391435999</v>
      </c>
      <c r="E1561">
        <f t="shared" si="187"/>
        <v>10.834776969812177</v>
      </c>
      <c r="G1561">
        <v>1511</v>
      </c>
      <c r="H1561" s="13">
        <f t="shared" si="192"/>
        <v>5.1608656820917531E-2</v>
      </c>
      <c r="I1561">
        <f t="shared" si="193"/>
        <v>120.28327536649111</v>
      </c>
      <c r="J1561" t="e">
        <f t="shared" si="188"/>
        <v>#NUM!</v>
      </c>
      <c r="K1561" s="27" t="e">
        <f t="shared" si="189"/>
        <v>#NUM!</v>
      </c>
    </row>
    <row r="1562" spans="1:11">
      <c r="A1562" s="26">
        <v>1512</v>
      </c>
      <c r="B1562" s="82">
        <f t="shared" si="190"/>
        <v>3.2921237647087764E-4</v>
      </c>
      <c r="C1562" s="58">
        <f t="shared" si="194"/>
        <v>42.800364023311673</v>
      </c>
      <c r="D1562" s="83">
        <f t="shared" si="191"/>
        <v>181.41477499686115</v>
      </c>
      <c r="E1562">
        <f t="shared" si="187"/>
        <v>10.834851155309407</v>
      </c>
      <c r="G1562">
        <v>1512</v>
      </c>
      <c r="H1562" s="13">
        <f t="shared" si="192"/>
        <v>5.1608656820917531E-2</v>
      </c>
      <c r="I1562">
        <f t="shared" si="193"/>
        <v>120.33488402331203</v>
      </c>
      <c r="J1562" t="e">
        <f t="shared" si="188"/>
        <v>#NUM!</v>
      </c>
      <c r="K1562" s="27" t="e">
        <f t="shared" si="189"/>
        <v>#NUM!</v>
      </c>
    </row>
    <row r="1563" spans="1:11">
      <c r="A1563" s="26">
        <v>1513</v>
      </c>
      <c r="B1563" s="82">
        <f t="shared" si="190"/>
        <v>3.2921237647087764E-4</v>
      </c>
      <c r="C1563" s="58">
        <f t="shared" si="194"/>
        <v>42.800693235688144</v>
      </c>
      <c r="D1563" s="83">
        <f t="shared" si="191"/>
        <v>181.41539605337681</v>
      </c>
      <c r="E1563">
        <f t="shared" si="187"/>
        <v>10.834925337956827</v>
      </c>
      <c r="G1563">
        <v>1513</v>
      </c>
      <c r="H1563" s="13">
        <f t="shared" si="192"/>
        <v>5.1608656820917531E-2</v>
      </c>
      <c r="I1563">
        <f t="shared" si="193"/>
        <v>120.38649268013295</v>
      </c>
      <c r="J1563" t="e">
        <f t="shared" si="188"/>
        <v>#NUM!</v>
      </c>
      <c r="K1563" s="27" t="e">
        <f t="shared" si="189"/>
        <v>#NUM!</v>
      </c>
    </row>
    <row r="1564" spans="1:11">
      <c r="A1564" s="26">
        <v>1514</v>
      </c>
      <c r="B1564" s="82">
        <f t="shared" si="190"/>
        <v>3.2921237647087764E-4</v>
      </c>
      <c r="C1564" s="58">
        <f t="shared" si="194"/>
        <v>42.801022448064614</v>
      </c>
      <c r="D1564" s="83">
        <f t="shared" si="191"/>
        <v>181.41601708390957</v>
      </c>
      <c r="E1564">
        <f t="shared" si="187"/>
        <v>10.834999517754717</v>
      </c>
      <c r="G1564">
        <v>1514</v>
      </c>
      <c r="H1564" s="13">
        <f t="shared" si="192"/>
        <v>5.1608656820917531E-2</v>
      </c>
      <c r="I1564">
        <f t="shared" si="193"/>
        <v>120.43810133695386</v>
      </c>
      <c r="J1564" t="e">
        <f t="shared" si="188"/>
        <v>#NUM!</v>
      </c>
      <c r="K1564" s="27" t="e">
        <f t="shared" si="189"/>
        <v>#NUM!</v>
      </c>
    </row>
    <row r="1565" spans="1:11">
      <c r="A1565" s="26">
        <v>1515</v>
      </c>
      <c r="B1565" s="82">
        <f t="shared" si="190"/>
        <v>3.2921237647087764E-4</v>
      </c>
      <c r="C1565" s="58">
        <f t="shared" si="194"/>
        <v>42.801351660441085</v>
      </c>
      <c r="D1565" s="83">
        <f t="shared" si="191"/>
        <v>181.41663808846189</v>
      </c>
      <c r="E1565">
        <f t="shared" si="187"/>
        <v>10.835073694703347</v>
      </c>
      <c r="G1565">
        <v>1515</v>
      </c>
      <c r="H1565" s="13">
        <f t="shared" si="192"/>
        <v>5.1608656820917531E-2</v>
      </c>
      <c r="I1565">
        <f t="shared" si="193"/>
        <v>120.48970999377478</v>
      </c>
      <c r="J1565" t="e">
        <f t="shared" si="188"/>
        <v>#NUM!</v>
      </c>
      <c r="K1565" s="27" t="e">
        <f t="shared" si="189"/>
        <v>#NUM!</v>
      </c>
    </row>
    <row r="1566" spans="1:11">
      <c r="A1566" s="26">
        <v>1516</v>
      </c>
      <c r="B1566" s="82">
        <f t="shared" si="190"/>
        <v>3.2921237647087764E-4</v>
      </c>
      <c r="C1566" s="58">
        <f t="shared" si="194"/>
        <v>42.801680872817556</v>
      </c>
      <c r="D1566" s="83">
        <f t="shared" si="191"/>
        <v>181.41725906703641</v>
      </c>
      <c r="E1566">
        <f t="shared" si="187"/>
        <v>10.83514786880299</v>
      </c>
      <c r="G1566">
        <v>1516</v>
      </c>
      <c r="H1566" s="13">
        <f t="shared" si="192"/>
        <v>5.1608656820917531E-2</v>
      </c>
      <c r="I1566">
        <f t="shared" si="193"/>
        <v>120.5413186505957</v>
      </c>
      <c r="J1566" t="e">
        <f t="shared" si="188"/>
        <v>#NUM!</v>
      </c>
      <c r="K1566" s="27" t="e">
        <f t="shared" si="189"/>
        <v>#NUM!</v>
      </c>
    </row>
    <row r="1567" spans="1:11">
      <c r="A1567" s="26">
        <v>1517</v>
      </c>
      <c r="B1567" s="82">
        <f t="shared" si="190"/>
        <v>3.2921237647087764E-4</v>
      </c>
      <c r="C1567" s="58">
        <f t="shared" si="194"/>
        <v>42.802010085194027</v>
      </c>
      <c r="D1567" s="83">
        <f t="shared" si="191"/>
        <v>181.41788001963559</v>
      </c>
      <c r="E1567">
        <f t="shared" si="187"/>
        <v>10.835222040053912</v>
      </c>
      <c r="G1567">
        <v>1517</v>
      </c>
      <c r="H1567" s="13">
        <f t="shared" si="192"/>
        <v>5.1608656820917531E-2</v>
      </c>
      <c r="I1567">
        <f t="shared" si="193"/>
        <v>120.59292730741662</v>
      </c>
      <c r="J1567" t="e">
        <f t="shared" si="188"/>
        <v>#NUM!</v>
      </c>
      <c r="K1567" s="27" t="e">
        <f t="shared" si="189"/>
        <v>#NUM!</v>
      </c>
    </row>
    <row r="1568" spans="1:11">
      <c r="A1568" s="26">
        <v>1518</v>
      </c>
      <c r="B1568" s="82">
        <f t="shared" si="190"/>
        <v>3.2921237647087764E-4</v>
      </c>
      <c r="C1568" s="58">
        <f t="shared" si="194"/>
        <v>42.802339297570498</v>
      </c>
      <c r="D1568" s="83">
        <f t="shared" si="191"/>
        <v>181.41850094626204</v>
      </c>
      <c r="E1568">
        <f t="shared" si="187"/>
        <v>10.835296208456391</v>
      </c>
      <c r="G1568">
        <v>1518</v>
      </c>
      <c r="H1568" s="13">
        <f t="shared" si="192"/>
        <v>5.1608656820917531E-2</v>
      </c>
      <c r="I1568">
        <f t="shared" si="193"/>
        <v>120.64453596423753</v>
      </c>
      <c r="J1568" t="e">
        <f t="shared" si="188"/>
        <v>#NUM!</v>
      </c>
      <c r="K1568" s="27" t="e">
        <f t="shared" si="189"/>
        <v>#NUM!</v>
      </c>
    </row>
    <row r="1569" spans="1:11">
      <c r="A1569" s="26">
        <v>1519</v>
      </c>
      <c r="B1569" s="82">
        <f t="shared" si="190"/>
        <v>3.2921237647087764E-4</v>
      </c>
      <c r="C1569" s="58">
        <f t="shared" si="194"/>
        <v>42.802668509946969</v>
      </c>
      <c r="D1569" s="83">
        <f t="shared" si="191"/>
        <v>181.41912184691827</v>
      </c>
      <c r="E1569">
        <f t="shared" si="187"/>
        <v>10.835370374010699</v>
      </c>
      <c r="G1569">
        <v>1519</v>
      </c>
      <c r="H1569" s="13">
        <f t="shared" si="192"/>
        <v>5.1608656820917531E-2</v>
      </c>
      <c r="I1569">
        <f t="shared" si="193"/>
        <v>120.69614462105845</v>
      </c>
      <c r="J1569" t="e">
        <f t="shared" si="188"/>
        <v>#NUM!</v>
      </c>
      <c r="K1569" s="27" t="e">
        <f t="shared" si="189"/>
        <v>#NUM!</v>
      </c>
    </row>
    <row r="1570" spans="1:11">
      <c r="A1570" s="26">
        <v>1520</v>
      </c>
      <c r="B1570" s="82">
        <f t="shared" si="190"/>
        <v>3.2921237647087764E-4</v>
      </c>
      <c r="C1570" s="58">
        <f t="shared" si="194"/>
        <v>42.80299772232344</v>
      </c>
      <c r="D1570" s="83">
        <f t="shared" si="191"/>
        <v>181.41974272160681</v>
      </c>
      <c r="E1570">
        <f t="shared" si="187"/>
        <v>10.835444536717105</v>
      </c>
      <c r="G1570">
        <v>1520</v>
      </c>
      <c r="H1570" s="13">
        <f t="shared" si="192"/>
        <v>5.1608656820917531E-2</v>
      </c>
      <c r="I1570">
        <f t="shared" si="193"/>
        <v>120.74775327787937</v>
      </c>
      <c r="J1570" t="e">
        <f t="shared" si="188"/>
        <v>#NUM!</v>
      </c>
      <c r="K1570" s="27" t="e">
        <f t="shared" si="189"/>
        <v>#NUM!</v>
      </c>
    </row>
    <row r="1571" spans="1:11">
      <c r="A1571" s="26">
        <v>1521</v>
      </c>
      <c r="B1571" s="82">
        <f t="shared" si="190"/>
        <v>3.2921237647087764E-4</v>
      </c>
      <c r="C1571" s="58">
        <f t="shared" si="194"/>
        <v>42.803326934699911</v>
      </c>
      <c r="D1571" s="83">
        <f t="shared" si="191"/>
        <v>181.42036357033024</v>
      </c>
      <c r="E1571">
        <f t="shared" si="187"/>
        <v>10.835518696575884</v>
      </c>
      <c r="G1571">
        <v>1521</v>
      </c>
      <c r="H1571" s="13">
        <f t="shared" si="192"/>
        <v>5.1608656820917531E-2</v>
      </c>
      <c r="I1571">
        <f t="shared" si="193"/>
        <v>120.79936193470029</v>
      </c>
      <c r="J1571" t="e">
        <f t="shared" si="188"/>
        <v>#NUM!</v>
      </c>
      <c r="K1571" s="27" t="e">
        <f t="shared" si="189"/>
        <v>#NUM!</v>
      </c>
    </row>
    <row r="1572" spans="1:11">
      <c r="A1572" s="26">
        <v>1522</v>
      </c>
      <c r="B1572" s="82">
        <f t="shared" si="190"/>
        <v>3.2921237647087764E-4</v>
      </c>
      <c r="C1572" s="58">
        <f t="shared" si="194"/>
        <v>42.803656147076381</v>
      </c>
      <c r="D1572" s="83">
        <f t="shared" si="191"/>
        <v>181.42098439309109</v>
      </c>
      <c r="E1572">
        <f t="shared" si="187"/>
        <v>10.835592853587308</v>
      </c>
      <c r="G1572">
        <v>1522</v>
      </c>
      <c r="H1572" s="13">
        <f t="shared" si="192"/>
        <v>5.1608656820917531E-2</v>
      </c>
      <c r="I1572">
        <f t="shared" si="193"/>
        <v>120.8509705915212</v>
      </c>
      <c r="J1572" t="e">
        <f t="shared" si="188"/>
        <v>#NUM!</v>
      </c>
      <c r="K1572" s="27" t="e">
        <f t="shared" si="189"/>
        <v>#NUM!</v>
      </c>
    </row>
    <row r="1573" spans="1:11">
      <c r="A1573" s="26">
        <v>1523</v>
      </c>
      <c r="B1573" s="82">
        <f t="shared" si="190"/>
        <v>3.2921237647087764E-4</v>
      </c>
      <c r="C1573" s="58">
        <f t="shared" si="194"/>
        <v>42.803985359452852</v>
      </c>
      <c r="D1573" s="83">
        <f t="shared" si="191"/>
        <v>181.42160518989189</v>
      </c>
      <c r="E1573">
        <f t="shared" si="187"/>
        <v>10.835667007751645</v>
      </c>
      <c r="G1573">
        <v>1523</v>
      </c>
      <c r="H1573" s="13">
        <f t="shared" si="192"/>
        <v>5.1608656820917531E-2</v>
      </c>
      <c r="I1573">
        <f t="shared" si="193"/>
        <v>120.90257924834212</v>
      </c>
      <c r="J1573" t="e">
        <f t="shared" si="188"/>
        <v>#NUM!</v>
      </c>
      <c r="K1573" s="27" t="e">
        <f t="shared" si="189"/>
        <v>#NUM!</v>
      </c>
    </row>
    <row r="1574" spans="1:11">
      <c r="A1574" s="26">
        <v>1524</v>
      </c>
      <c r="B1574" s="82">
        <f t="shared" si="190"/>
        <v>3.2921237647087764E-4</v>
      </c>
      <c r="C1574" s="58">
        <f t="shared" si="194"/>
        <v>42.804314571829323</v>
      </c>
      <c r="D1574" s="83">
        <f t="shared" si="191"/>
        <v>181.42222596073518</v>
      </c>
      <c r="E1574">
        <f t="shared" si="187"/>
        <v>10.835741159069167</v>
      </c>
      <c r="G1574">
        <v>1524</v>
      </c>
      <c r="H1574" s="13">
        <f t="shared" si="192"/>
        <v>5.1608656820917531E-2</v>
      </c>
      <c r="I1574">
        <f t="shared" si="193"/>
        <v>120.95418790516304</v>
      </c>
      <c r="J1574" t="e">
        <f t="shared" si="188"/>
        <v>#NUM!</v>
      </c>
      <c r="K1574" s="27" t="e">
        <f t="shared" si="189"/>
        <v>#NUM!</v>
      </c>
    </row>
    <row r="1575" spans="1:11">
      <c r="A1575" s="26">
        <v>1525</v>
      </c>
      <c r="B1575" s="82">
        <f t="shared" si="190"/>
        <v>3.2921237647087764E-4</v>
      </c>
      <c r="C1575" s="58">
        <f t="shared" si="194"/>
        <v>42.804643784205794</v>
      </c>
      <c r="D1575" s="83">
        <f t="shared" si="191"/>
        <v>181.42284670562353</v>
      </c>
      <c r="E1575">
        <f t="shared" si="187"/>
        <v>10.835815307540152</v>
      </c>
      <c r="G1575">
        <v>1525</v>
      </c>
      <c r="H1575" s="13">
        <f t="shared" si="192"/>
        <v>5.1608656820917531E-2</v>
      </c>
      <c r="I1575">
        <f t="shared" si="193"/>
        <v>121.00579656198396</v>
      </c>
      <c r="J1575" t="e">
        <f t="shared" si="188"/>
        <v>#NUM!</v>
      </c>
      <c r="K1575" s="27" t="e">
        <f t="shared" si="189"/>
        <v>#NUM!</v>
      </c>
    </row>
    <row r="1576" spans="1:11">
      <c r="A1576" s="26">
        <v>1526</v>
      </c>
      <c r="B1576" s="82">
        <f t="shared" si="190"/>
        <v>3.2921237647087764E-4</v>
      </c>
      <c r="C1576" s="58">
        <f t="shared" si="194"/>
        <v>42.804972996582265</v>
      </c>
      <c r="D1576" s="83">
        <f t="shared" si="191"/>
        <v>181.42346742455945</v>
      </c>
      <c r="E1576">
        <f t="shared" si="187"/>
        <v>10.835889453164867</v>
      </c>
      <c r="G1576">
        <v>1526</v>
      </c>
      <c r="H1576" s="13">
        <f t="shared" si="192"/>
        <v>5.1608656820917531E-2</v>
      </c>
      <c r="I1576">
        <f t="shared" si="193"/>
        <v>121.05740521880487</v>
      </c>
      <c r="J1576" t="e">
        <f t="shared" si="188"/>
        <v>#NUM!</v>
      </c>
      <c r="K1576" s="27" t="e">
        <f t="shared" si="189"/>
        <v>#NUM!</v>
      </c>
    </row>
    <row r="1577" spans="1:11">
      <c r="A1577" s="26">
        <v>1527</v>
      </c>
      <c r="B1577" s="82">
        <f t="shared" si="190"/>
        <v>3.2921237647087764E-4</v>
      </c>
      <c r="C1577" s="58">
        <f t="shared" si="194"/>
        <v>42.805302208958736</v>
      </c>
      <c r="D1577" s="83">
        <f t="shared" si="191"/>
        <v>181.42408811754549</v>
      </c>
      <c r="E1577">
        <f t="shared" si="187"/>
        <v>10.835963595943582</v>
      </c>
      <c r="G1577">
        <v>1527</v>
      </c>
      <c r="H1577" s="13">
        <f t="shared" si="192"/>
        <v>5.1608656820917531E-2</v>
      </c>
      <c r="I1577">
        <f t="shared" si="193"/>
        <v>121.10901387562579</v>
      </c>
      <c r="J1577" t="e">
        <f t="shared" si="188"/>
        <v>#NUM!</v>
      </c>
      <c r="K1577" s="27" t="e">
        <f t="shared" si="189"/>
        <v>#NUM!</v>
      </c>
    </row>
    <row r="1578" spans="1:11">
      <c r="A1578" s="26">
        <v>1528</v>
      </c>
      <c r="B1578" s="82">
        <f t="shared" si="190"/>
        <v>3.2921237647087764E-4</v>
      </c>
      <c r="C1578" s="58">
        <f t="shared" si="194"/>
        <v>42.805631421335207</v>
      </c>
      <c r="D1578" s="83">
        <f t="shared" si="191"/>
        <v>181.4247087845842</v>
      </c>
      <c r="E1578">
        <f t="shared" si="187"/>
        <v>10.836037735876571</v>
      </c>
      <c r="G1578">
        <v>1528</v>
      </c>
      <c r="H1578" s="13">
        <f t="shared" si="192"/>
        <v>5.1608656820917531E-2</v>
      </c>
      <c r="I1578">
        <f t="shared" si="193"/>
        <v>121.16062253244671</v>
      </c>
      <c r="J1578" t="e">
        <f t="shared" si="188"/>
        <v>#NUM!</v>
      </c>
      <c r="K1578" s="27" t="e">
        <f t="shared" si="189"/>
        <v>#NUM!</v>
      </c>
    </row>
    <row r="1579" spans="1:11">
      <c r="A1579" s="26">
        <v>1529</v>
      </c>
      <c r="B1579" s="82">
        <f t="shared" si="190"/>
        <v>3.2921237647087764E-4</v>
      </c>
      <c r="C1579" s="58">
        <f t="shared" si="194"/>
        <v>42.805960633711678</v>
      </c>
      <c r="D1579" s="83">
        <f t="shared" si="191"/>
        <v>181.42532942567809</v>
      </c>
      <c r="E1579">
        <f t="shared" si="187"/>
        <v>10.836111872964103</v>
      </c>
      <c r="G1579">
        <v>1529</v>
      </c>
      <c r="H1579" s="13">
        <f t="shared" si="192"/>
        <v>5.1608656820917531E-2</v>
      </c>
      <c r="I1579">
        <f t="shared" si="193"/>
        <v>121.21223118926763</v>
      </c>
      <c r="J1579" t="e">
        <f t="shared" si="188"/>
        <v>#NUM!</v>
      </c>
      <c r="K1579" s="27" t="e">
        <f t="shared" si="189"/>
        <v>#NUM!</v>
      </c>
    </row>
    <row r="1580" spans="1:11">
      <c r="A1580" s="26">
        <v>1530</v>
      </c>
      <c r="B1580" s="82">
        <f t="shared" si="190"/>
        <v>3.2921237647087764E-4</v>
      </c>
      <c r="C1580" s="58">
        <f t="shared" si="194"/>
        <v>42.806289846088148</v>
      </c>
      <c r="D1580" s="83">
        <f t="shared" si="191"/>
        <v>181.42595004082972</v>
      </c>
      <c r="E1580">
        <f t="shared" si="187"/>
        <v>10.83618600720645</v>
      </c>
      <c r="G1580">
        <v>1530</v>
      </c>
      <c r="H1580" s="13">
        <f t="shared" si="192"/>
        <v>5.1608656820917531E-2</v>
      </c>
      <c r="I1580">
        <f t="shared" si="193"/>
        <v>121.26383984608854</v>
      </c>
      <c r="J1580" t="e">
        <f t="shared" si="188"/>
        <v>#NUM!</v>
      </c>
      <c r="K1580" s="27" t="e">
        <f t="shared" si="189"/>
        <v>#NUM!</v>
      </c>
    </row>
    <row r="1581" spans="1:11">
      <c r="A1581" s="26">
        <v>1531</v>
      </c>
      <c r="B1581" s="82">
        <f t="shared" si="190"/>
        <v>3.2921237647087764E-4</v>
      </c>
      <c r="C1581" s="58">
        <f t="shared" si="194"/>
        <v>42.806619058464619</v>
      </c>
      <c r="D1581" s="83">
        <f t="shared" si="191"/>
        <v>181.42657063004162</v>
      </c>
      <c r="E1581">
        <f t="shared" si="187"/>
        <v>10.836260138603889</v>
      </c>
      <c r="G1581">
        <v>1531</v>
      </c>
      <c r="H1581" s="13">
        <f t="shared" si="192"/>
        <v>5.1608656820917531E-2</v>
      </c>
      <c r="I1581">
        <f t="shared" si="193"/>
        <v>121.31544850290946</v>
      </c>
      <c r="J1581" t="e">
        <f t="shared" si="188"/>
        <v>#NUM!</v>
      </c>
      <c r="K1581" s="27" t="e">
        <f t="shared" si="189"/>
        <v>#NUM!</v>
      </c>
    </row>
    <row r="1582" spans="1:11">
      <c r="A1582" s="26">
        <v>1532</v>
      </c>
      <c r="B1582" s="82">
        <f t="shared" si="190"/>
        <v>3.2921237647087764E-4</v>
      </c>
      <c r="C1582" s="58">
        <f t="shared" si="194"/>
        <v>42.80694827084109</v>
      </c>
      <c r="D1582" s="83">
        <f t="shared" si="191"/>
        <v>181.42719119331636</v>
      </c>
      <c r="E1582">
        <f t="shared" si="187"/>
        <v>10.836334267156687</v>
      </c>
      <c r="G1582">
        <v>1532</v>
      </c>
      <c r="H1582" s="13">
        <f t="shared" si="192"/>
        <v>5.1608656820917531E-2</v>
      </c>
      <c r="I1582">
        <f t="shared" si="193"/>
        <v>121.36705715973038</v>
      </c>
      <c r="J1582" t="e">
        <f t="shared" si="188"/>
        <v>#NUM!</v>
      </c>
      <c r="K1582" s="27" t="e">
        <f t="shared" si="189"/>
        <v>#NUM!</v>
      </c>
    </row>
    <row r="1583" spans="1:11">
      <c r="A1583" s="26">
        <v>1533</v>
      </c>
      <c r="B1583" s="82">
        <f t="shared" si="190"/>
        <v>3.2921237647087764E-4</v>
      </c>
      <c r="C1583" s="58">
        <f t="shared" si="194"/>
        <v>42.807277483217561</v>
      </c>
      <c r="D1583" s="83">
        <f t="shared" si="191"/>
        <v>181.42781173065646</v>
      </c>
      <c r="E1583">
        <f t="shared" si="187"/>
        <v>10.836408392865115</v>
      </c>
      <c r="G1583">
        <v>1533</v>
      </c>
      <c r="H1583" s="13">
        <f t="shared" si="192"/>
        <v>5.1608656820917531E-2</v>
      </c>
      <c r="I1583">
        <f t="shared" si="193"/>
        <v>121.4186658165513</v>
      </c>
      <c r="J1583" t="e">
        <f t="shared" si="188"/>
        <v>#NUM!</v>
      </c>
      <c r="K1583" s="27" t="e">
        <f t="shared" si="189"/>
        <v>#NUM!</v>
      </c>
    </row>
    <row r="1584" spans="1:11">
      <c r="A1584" s="26">
        <v>1534</v>
      </c>
      <c r="B1584" s="82">
        <f t="shared" si="190"/>
        <v>3.2921237647087764E-4</v>
      </c>
      <c r="C1584" s="58">
        <f t="shared" si="194"/>
        <v>42.807606695594032</v>
      </c>
      <c r="D1584" s="83">
        <f t="shared" si="191"/>
        <v>181.42843224206445</v>
      </c>
      <c r="E1584">
        <f t="shared" si="187"/>
        <v>10.836482515729445</v>
      </c>
      <c r="G1584">
        <v>1534</v>
      </c>
      <c r="H1584" s="13">
        <f t="shared" si="192"/>
        <v>5.1608656820917531E-2</v>
      </c>
      <c r="I1584">
        <f t="shared" si="193"/>
        <v>121.47027447337221</v>
      </c>
      <c r="J1584" t="e">
        <f t="shared" si="188"/>
        <v>#NUM!</v>
      </c>
      <c r="K1584" s="27" t="e">
        <f t="shared" si="189"/>
        <v>#NUM!</v>
      </c>
    </row>
    <row r="1585" spans="1:11">
      <c r="A1585" s="26">
        <v>1535</v>
      </c>
      <c r="B1585" s="82">
        <f t="shared" si="190"/>
        <v>3.2921237647087764E-4</v>
      </c>
      <c r="C1585" s="58">
        <f t="shared" si="194"/>
        <v>42.807935907970503</v>
      </c>
      <c r="D1585" s="83">
        <f t="shared" si="191"/>
        <v>181.42905272754285</v>
      </c>
      <c r="E1585">
        <f t="shared" si="187"/>
        <v>10.836556635749945</v>
      </c>
      <c r="G1585">
        <v>1535</v>
      </c>
      <c r="H1585" s="13">
        <f t="shared" si="192"/>
        <v>5.1608656820917531E-2</v>
      </c>
      <c r="I1585">
        <f t="shared" si="193"/>
        <v>121.52188313019313</v>
      </c>
      <c r="J1585" t="e">
        <f t="shared" si="188"/>
        <v>#NUM!</v>
      </c>
      <c r="K1585" s="27" t="e">
        <f t="shared" si="189"/>
        <v>#NUM!</v>
      </c>
    </row>
    <row r="1586" spans="1:11">
      <c r="A1586" s="26">
        <v>1536</v>
      </c>
      <c r="B1586" s="82">
        <f t="shared" si="190"/>
        <v>3.2921237647087764E-4</v>
      </c>
      <c r="C1586" s="58">
        <f t="shared" si="194"/>
        <v>42.808265120346974</v>
      </c>
      <c r="D1586" s="83">
        <f t="shared" si="191"/>
        <v>181.42967318709421</v>
      </c>
      <c r="E1586">
        <f t="shared" si="187"/>
        <v>10.836630752926892</v>
      </c>
      <c r="G1586">
        <v>1536</v>
      </c>
      <c r="H1586" s="13">
        <f t="shared" si="192"/>
        <v>5.1608656820917531E-2</v>
      </c>
      <c r="I1586">
        <f t="shared" si="193"/>
        <v>121.57349178701405</v>
      </c>
      <c r="J1586" t="e">
        <f t="shared" si="188"/>
        <v>#NUM!</v>
      </c>
      <c r="K1586" s="27" t="e">
        <f t="shared" si="189"/>
        <v>#NUM!</v>
      </c>
    </row>
    <row r="1587" spans="1:11">
      <c r="A1587" s="26">
        <v>1537</v>
      </c>
      <c r="B1587" s="82">
        <f t="shared" si="190"/>
        <v>3.2921237647087764E-4</v>
      </c>
      <c r="C1587" s="58">
        <f t="shared" si="194"/>
        <v>42.808594332723445</v>
      </c>
      <c r="D1587" s="83">
        <f t="shared" si="191"/>
        <v>181.43029362072107</v>
      </c>
      <c r="E1587">
        <f t="shared" ref="E1587:E1650" si="195">((D1587^2)+(D1587*D1588)+(D1588^2))*B1588/3</f>
        <v>10.836704867260552</v>
      </c>
      <c r="G1587">
        <v>1537</v>
      </c>
      <c r="H1587" s="13">
        <f t="shared" si="192"/>
        <v>5.1608656820917531E-2</v>
      </c>
      <c r="I1587">
        <f t="shared" si="193"/>
        <v>121.62510044383497</v>
      </c>
      <c r="J1587" t="e">
        <f t="shared" ref="J1587:J1650" si="196">IF($G$28&lt;$C$14,0,((($C$11^2)-((I1587-$C$13)^2))^0.5)+$C$16)</f>
        <v>#NUM!</v>
      </c>
      <c r="K1587" s="27" t="e">
        <f t="shared" ref="K1587:K1650" si="197">((J1587^2)+(J1587*J1588)+(J1588^2))*H1588/3</f>
        <v>#NUM!</v>
      </c>
    </row>
    <row r="1588" spans="1:11">
      <c r="A1588" s="26">
        <v>1538</v>
      </c>
      <c r="B1588" s="82">
        <f t="shared" ref="B1588:B1651" si="198">C1588-C1587</f>
        <v>3.2921237647087764E-4</v>
      </c>
      <c r="C1588" s="58">
        <f t="shared" si="194"/>
        <v>42.808923545099915</v>
      </c>
      <c r="D1588" s="83">
        <f t="shared" ref="D1588:D1651" si="199">IF($G$28&lt;$C$14,0,((($C$11^2)-((C1588-$C$13)^2))^0.5)+$C$16)</f>
        <v>181.430914028426</v>
      </c>
      <c r="E1588">
        <f t="shared" si="195"/>
        <v>10.8367789787512</v>
      </c>
      <c r="G1588">
        <v>1538</v>
      </c>
      <c r="H1588" s="13">
        <f t="shared" ref="H1588:H1651" si="200">I1588-I1587</f>
        <v>5.1608656820917531E-2</v>
      </c>
      <c r="I1588">
        <f t="shared" ref="I1588:I1651" si="201">($G$27-$C$14)/2000+I1587</f>
        <v>121.67670910065588</v>
      </c>
      <c r="J1588" t="e">
        <f t="shared" si="196"/>
        <v>#NUM!</v>
      </c>
      <c r="K1588" s="27" t="e">
        <f t="shared" si="197"/>
        <v>#NUM!</v>
      </c>
    </row>
    <row r="1589" spans="1:11">
      <c r="A1589" s="26">
        <v>1539</v>
      </c>
      <c r="B1589" s="82">
        <f t="shared" si="198"/>
        <v>3.2921237647087764E-4</v>
      </c>
      <c r="C1589" s="58">
        <f t="shared" si="194"/>
        <v>42.809252757476386</v>
      </c>
      <c r="D1589" s="83">
        <f t="shared" si="199"/>
        <v>181.43153441021147</v>
      </c>
      <c r="E1589">
        <f t="shared" si="195"/>
        <v>10.836853087399108</v>
      </c>
      <c r="G1589">
        <v>1539</v>
      </c>
      <c r="H1589" s="13">
        <f t="shared" si="200"/>
        <v>5.1608656820917531E-2</v>
      </c>
      <c r="I1589">
        <f t="shared" si="201"/>
        <v>121.7283177574768</v>
      </c>
      <c r="J1589" t="e">
        <f t="shared" si="196"/>
        <v>#NUM!</v>
      </c>
      <c r="K1589" s="27" t="e">
        <f t="shared" si="197"/>
        <v>#NUM!</v>
      </c>
    </row>
    <row r="1590" spans="1:11">
      <c r="A1590" s="26">
        <v>1540</v>
      </c>
      <c r="B1590" s="82">
        <f t="shared" si="198"/>
        <v>3.2921237647087764E-4</v>
      </c>
      <c r="C1590" s="58">
        <f t="shared" si="194"/>
        <v>42.809581969852857</v>
      </c>
      <c r="D1590" s="83">
        <f t="shared" si="199"/>
        <v>181.43215476608006</v>
      </c>
      <c r="E1590">
        <f t="shared" si="195"/>
        <v>10.836927193204543</v>
      </c>
      <c r="G1590">
        <v>1540</v>
      </c>
      <c r="H1590" s="13">
        <f t="shared" si="200"/>
        <v>5.1608656820917531E-2</v>
      </c>
      <c r="I1590">
        <f t="shared" si="201"/>
        <v>121.77992641429772</v>
      </c>
      <c r="J1590" t="e">
        <f t="shared" si="196"/>
        <v>#NUM!</v>
      </c>
      <c r="K1590" s="27" t="e">
        <f t="shared" si="197"/>
        <v>#NUM!</v>
      </c>
    </row>
    <row r="1591" spans="1:11">
      <c r="A1591" s="26">
        <v>1541</v>
      </c>
      <c r="B1591" s="82">
        <f t="shared" si="198"/>
        <v>3.2921237647087764E-4</v>
      </c>
      <c r="C1591" s="58">
        <f t="shared" si="194"/>
        <v>42.809911182229328</v>
      </c>
      <c r="D1591" s="83">
        <f t="shared" si="199"/>
        <v>181.43277509603428</v>
      </c>
      <c r="E1591">
        <f t="shared" si="195"/>
        <v>10.837001296167776</v>
      </c>
      <c r="G1591">
        <v>1541</v>
      </c>
      <c r="H1591" s="13">
        <f t="shared" si="200"/>
        <v>5.1608656820917531E-2</v>
      </c>
      <c r="I1591">
        <f t="shared" si="201"/>
        <v>121.83153507111864</v>
      </c>
      <c r="J1591" t="e">
        <f t="shared" si="196"/>
        <v>#NUM!</v>
      </c>
      <c r="K1591" s="27" t="e">
        <f t="shared" si="197"/>
        <v>#NUM!</v>
      </c>
    </row>
    <row r="1592" spans="1:11">
      <c r="A1592" s="26">
        <v>1542</v>
      </c>
      <c r="B1592" s="82">
        <f t="shared" si="198"/>
        <v>3.2921237647087764E-4</v>
      </c>
      <c r="C1592" s="58">
        <f t="shared" si="194"/>
        <v>42.810240394605799</v>
      </c>
      <c r="D1592" s="83">
        <f t="shared" si="199"/>
        <v>181.43339540007668</v>
      </c>
      <c r="E1592">
        <f t="shared" si="195"/>
        <v>10.837075396289078</v>
      </c>
      <c r="G1592">
        <v>1542</v>
      </c>
      <c r="H1592" s="13">
        <f t="shared" si="200"/>
        <v>5.1608656820917531E-2</v>
      </c>
      <c r="I1592">
        <f t="shared" si="201"/>
        <v>121.88314372793955</v>
      </c>
      <c r="J1592" t="e">
        <f t="shared" si="196"/>
        <v>#NUM!</v>
      </c>
      <c r="K1592" s="27" t="e">
        <f t="shared" si="197"/>
        <v>#NUM!</v>
      </c>
    </row>
    <row r="1593" spans="1:11">
      <c r="A1593" s="26">
        <v>1543</v>
      </c>
      <c r="B1593" s="82">
        <f t="shared" si="198"/>
        <v>3.2921237647087764E-4</v>
      </c>
      <c r="C1593" s="58">
        <f t="shared" si="194"/>
        <v>42.81056960698227</v>
      </c>
      <c r="D1593" s="83">
        <f t="shared" si="199"/>
        <v>181.43401567820976</v>
      </c>
      <c r="E1593">
        <f t="shared" si="195"/>
        <v>10.837149493568724</v>
      </c>
      <c r="G1593">
        <v>1543</v>
      </c>
      <c r="H1593" s="13">
        <f t="shared" si="200"/>
        <v>5.1608656820917531E-2</v>
      </c>
      <c r="I1593">
        <f t="shared" si="201"/>
        <v>121.93475238476047</v>
      </c>
      <c r="J1593" t="e">
        <f t="shared" si="196"/>
        <v>#NUM!</v>
      </c>
      <c r="K1593" s="27" t="e">
        <f t="shared" si="197"/>
        <v>#NUM!</v>
      </c>
    </row>
    <row r="1594" spans="1:11">
      <c r="A1594" s="26">
        <v>1544</v>
      </c>
      <c r="B1594" s="82">
        <f t="shared" si="198"/>
        <v>3.2921237647087764E-4</v>
      </c>
      <c r="C1594" s="58">
        <f t="shared" si="194"/>
        <v>42.810898819358741</v>
      </c>
      <c r="D1594" s="83">
        <f t="shared" si="199"/>
        <v>181.43463593043612</v>
      </c>
      <c r="E1594">
        <f t="shared" si="195"/>
        <v>10.837223588006983</v>
      </c>
      <c r="G1594">
        <v>1544</v>
      </c>
      <c r="H1594" s="13">
        <f t="shared" si="200"/>
        <v>5.1608656820917531E-2</v>
      </c>
      <c r="I1594">
        <f t="shared" si="201"/>
        <v>121.98636104158139</v>
      </c>
      <c r="J1594" t="e">
        <f t="shared" si="196"/>
        <v>#NUM!</v>
      </c>
      <c r="K1594" s="27" t="e">
        <f t="shared" si="197"/>
        <v>#NUM!</v>
      </c>
    </row>
    <row r="1595" spans="1:11">
      <c r="A1595" s="26">
        <v>1545</v>
      </c>
      <c r="B1595" s="82">
        <f t="shared" si="198"/>
        <v>3.2921237647087764E-4</v>
      </c>
      <c r="C1595" s="58">
        <f t="shared" si="194"/>
        <v>42.811228031735212</v>
      </c>
      <c r="D1595" s="83">
        <f t="shared" si="199"/>
        <v>181.43525615675821</v>
      </c>
      <c r="E1595">
        <f t="shared" si="195"/>
        <v>10.837297679604125</v>
      </c>
      <c r="G1595">
        <v>1545</v>
      </c>
      <c r="H1595" s="13">
        <f t="shared" si="200"/>
        <v>5.1608656820917531E-2</v>
      </c>
      <c r="I1595">
        <f t="shared" si="201"/>
        <v>122.03796969840231</v>
      </c>
      <c r="J1595" t="e">
        <f t="shared" si="196"/>
        <v>#NUM!</v>
      </c>
      <c r="K1595" s="27" t="e">
        <f t="shared" si="197"/>
        <v>#NUM!</v>
      </c>
    </row>
    <row r="1596" spans="1:11">
      <c r="A1596" s="26">
        <v>1546</v>
      </c>
      <c r="B1596" s="82">
        <f t="shared" si="198"/>
        <v>3.2921237647087764E-4</v>
      </c>
      <c r="C1596" s="58">
        <f t="shared" si="194"/>
        <v>42.811557244111683</v>
      </c>
      <c r="D1596" s="83">
        <f t="shared" si="199"/>
        <v>181.43587635717864</v>
      </c>
      <c r="E1596">
        <f t="shared" si="195"/>
        <v>10.837371768360418</v>
      </c>
      <c r="G1596">
        <v>1546</v>
      </c>
      <c r="H1596" s="13">
        <f t="shared" si="200"/>
        <v>5.1608656820917531E-2</v>
      </c>
      <c r="I1596">
        <f t="shared" si="201"/>
        <v>122.08957835522322</v>
      </c>
      <c r="J1596" t="e">
        <f t="shared" si="196"/>
        <v>#NUM!</v>
      </c>
      <c r="K1596" s="27" t="e">
        <f t="shared" si="197"/>
        <v>#NUM!</v>
      </c>
    </row>
    <row r="1597" spans="1:11">
      <c r="A1597" s="26">
        <v>1547</v>
      </c>
      <c r="B1597" s="82">
        <f t="shared" si="198"/>
        <v>3.2921237647087764E-4</v>
      </c>
      <c r="C1597" s="58">
        <f t="shared" si="194"/>
        <v>42.811886456488153</v>
      </c>
      <c r="D1597" s="83">
        <f t="shared" si="199"/>
        <v>181.4364965316999</v>
      </c>
      <c r="E1597">
        <f t="shared" si="195"/>
        <v>10.837445854276135</v>
      </c>
      <c r="G1597">
        <v>1547</v>
      </c>
      <c r="H1597" s="13">
        <f t="shared" si="200"/>
        <v>5.1608656820917531E-2</v>
      </c>
      <c r="I1597">
        <f t="shared" si="201"/>
        <v>122.14118701204414</v>
      </c>
      <c r="J1597" t="e">
        <f t="shared" si="196"/>
        <v>#NUM!</v>
      </c>
      <c r="K1597" s="27" t="e">
        <f t="shared" si="197"/>
        <v>#NUM!</v>
      </c>
    </row>
    <row r="1598" spans="1:11">
      <c r="A1598" s="26">
        <v>1548</v>
      </c>
      <c r="B1598" s="82">
        <f t="shared" si="198"/>
        <v>3.2921237647087764E-4</v>
      </c>
      <c r="C1598" s="58">
        <f t="shared" si="194"/>
        <v>42.812215668864624</v>
      </c>
      <c r="D1598" s="83">
        <f t="shared" si="199"/>
        <v>181.43711668032452</v>
      </c>
      <c r="E1598">
        <f t="shared" si="195"/>
        <v>10.83751993735155</v>
      </c>
      <c r="G1598">
        <v>1548</v>
      </c>
      <c r="H1598" s="13">
        <f t="shared" si="200"/>
        <v>5.1608656820917531E-2</v>
      </c>
      <c r="I1598">
        <f t="shared" si="201"/>
        <v>122.19279566886506</v>
      </c>
      <c r="J1598" t="e">
        <f t="shared" si="196"/>
        <v>#NUM!</v>
      </c>
      <c r="K1598" s="27" t="e">
        <f t="shared" si="197"/>
        <v>#NUM!</v>
      </c>
    </row>
    <row r="1599" spans="1:11">
      <c r="A1599" s="26">
        <v>1549</v>
      </c>
      <c r="B1599" s="82">
        <f t="shared" si="198"/>
        <v>3.2921237647087764E-4</v>
      </c>
      <c r="C1599" s="58">
        <f t="shared" si="194"/>
        <v>42.812544881241095</v>
      </c>
      <c r="D1599" s="83">
        <f t="shared" si="199"/>
        <v>181.43773680305503</v>
      </c>
      <c r="E1599">
        <f t="shared" si="195"/>
        <v>10.837594017586925</v>
      </c>
      <c r="G1599">
        <v>1549</v>
      </c>
      <c r="H1599" s="13">
        <f t="shared" si="200"/>
        <v>5.1608656820917531E-2</v>
      </c>
      <c r="I1599">
        <f t="shared" si="201"/>
        <v>122.24440432568598</v>
      </c>
      <c r="J1599" t="e">
        <f t="shared" si="196"/>
        <v>#NUM!</v>
      </c>
      <c r="K1599" s="27" t="e">
        <f t="shared" si="197"/>
        <v>#NUM!</v>
      </c>
    </row>
    <row r="1600" spans="1:11">
      <c r="A1600" s="26">
        <v>1550</v>
      </c>
      <c r="B1600" s="82">
        <f t="shared" si="198"/>
        <v>3.2921237647087764E-4</v>
      </c>
      <c r="C1600" s="58">
        <f t="shared" si="194"/>
        <v>42.812874093617566</v>
      </c>
      <c r="D1600" s="83">
        <f t="shared" si="199"/>
        <v>181.43835689989399</v>
      </c>
      <c r="E1600">
        <f t="shared" si="195"/>
        <v>10.83766809498254</v>
      </c>
      <c r="G1600">
        <v>1550</v>
      </c>
      <c r="H1600" s="13">
        <f t="shared" si="200"/>
        <v>5.1608656820917531E-2</v>
      </c>
      <c r="I1600">
        <f t="shared" si="201"/>
        <v>122.29601298250689</v>
      </c>
      <c r="J1600" t="e">
        <f t="shared" si="196"/>
        <v>#NUM!</v>
      </c>
      <c r="K1600" s="27" t="e">
        <f t="shared" si="197"/>
        <v>#NUM!</v>
      </c>
    </row>
    <row r="1601" spans="1:11">
      <c r="A1601" s="26">
        <v>1551</v>
      </c>
      <c r="B1601" s="82">
        <f t="shared" si="198"/>
        <v>3.2921237647087764E-4</v>
      </c>
      <c r="C1601" s="58">
        <f t="shared" si="194"/>
        <v>42.813203305994037</v>
      </c>
      <c r="D1601" s="83">
        <f t="shared" si="199"/>
        <v>181.4389769708439</v>
      </c>
      <c r="E1601">
        <f t="shared" si="195"/>
        <v>10.837742169538663</v>
      </c>
      <c r="G1601">
        <v>1551</v>
      </c>
      <c r="H1601" s="13">
        <f t="shared" si="200"/>
        <v>5.1608656820917531E-2</v>
      </c>
      <c r="I1601">
        <f t="shared" si="201"/>
        <v>122.34762163932781</v>
      </c>
      <c r="J1601" t="e">
        <f t="shared" si="196"/>
        <v>#NUM!</v>
      </c>
      <c r="K1601" s="27" t="e">
        <f t="shared" si="197"/>
        <v>#NUM!</v>
      </c>
    </row>
    <row r="1602" spans="1:11">
      <c r="A1602" s="26">
        <v>1552</v>
      </c>
      <c r="B1602" s="82">
        <f t="shared" si="198"/>
        <v>3.2921237647087764E-4</v>
      </c>
      <c r="C1602" s="58">
        <f t="shared" si="194"/>
        <v>42.813532518370508</v>
      </c>
      <c r="D1602" s="83">
        <f t="shared" si="199"/>
        <v>181.43959701590728</v>
      </c>
      <c r="E1602">
        <f t="shared" si="195"/>
        <v>10.83781624125556</v>
      </c>
      <c r="G1602">
        <v>1552</v>
      </c>
      <c r="H1602" s="13">
        <f t="shared" si="200"/>
        <v>5.1608656820917531E-2</v>
      </c>
      <c r="I1602">
        <f t="shared" si="201"/>
        <v>122.39923029614873</v>
      </c>
      <c r="J1602" t="e">
        <f t="shared" si="196"/>
        <v>#NUM!</v>
      </c>
      <c r="K1602" s="27" t="e">
        <f t="shared" si="197"/>
        <v>#NUM!</v>
      </c>
    </row>
    <row r="1603" spans="1:11">
      <c r="A1603" s="26">
        <v>1553</v>
      </c>
      <c r="B1603" s="82">
        <f t="shared" si="198"/>
        <v>3.2921237647087764E-4</v>
      </c>
      <c r="C1603" s="58">
        <f t="shared" si="194"/>
        <v>42.813861730746979</v>
      </c>
      <c r="D1603" s="83">
        <f t="shared" si="199"/>
        <v>181.44021703508668</v>
      </c>
      <c r="E1603">
        <f t="shared" si="195"/>
        <v>10.837890310133504</v>
      </c>
      <c r="G1603">
        <v>1553</v>
      </c>
      <c r="H1603" s="13">
        <f t="shared" si="200"/>
        <v>5.1608656820917531E-2</v>
      </c>
      <c r="I1603">
        <f t="shared" si="201"/>
        <v>122.45083895296965</v>
      </c>
      <c r="J1603" t="e">
        <f t="shared" si="196"/>
        <v>#NUM!</v>
      </c>
      <c r="K1603" s="27" t="e">
        <f t="shared" si="197"/>
        <v>#NUM!</v>
      </c>
    </row>
    <row r="1604" spans="1:11">
      <c r="A1604" s="26">
        <v>1554</v>
      </c>
      <c r="B1604" s="82">
        <f t="shared" si="198"/>
        <v>3.2921237647087764E-4</v>
      </c>
      <c r="C1604" s="58">
        <f t="shared" si="194"/>
        <v>42.81419094312345</v>
      </c>
      <c r="D1604" s="83">
        <f t="shared" si="199"/>
        <v>181.44083702838464</v>
      </c>
      <c r="E1604">
        <f t="shared" si="195"/>
        <v>10.837964376172769</v>
      </c>
      <c r="G1604">
        <v>1554</v>
      </c>
      <c r="H1604" s="13">
        <f t="shared" si="200"/>
        <v>5.1608656820917531E-2</v>
      </c>
      <c r="I1604">
        <f t="shared" si="201"/>
        <v>122.50244760979056</v>
      </c>
      <c r="J1604" t="e">
        <f t="shared" si="196"/>
        <v>#NUM!</v>
      </c>
      <c r="K1604" s="27" t="e">
        <f t="shared" si="197"/>
        <v>#NUM!</v>
      </c>
    </row>
    <row r="1605" spans="1:11">
      <c r="A1605" s="26">
        <v>1555</v>
      </c>
      <c r="B1605" s="82">
        <f t="shared" si="198"/>
        <v>3.2921237647087764E-4</v>
      </c>
      <c r="C1605" s="58">
        <f t="shared" si="194"/>
        <v>42.81452015549992</v>
      </c>
      <c r="D1605" s="83">
        <f t="shared" si="199"/>
        <v>181.44145699580366</v>
      </c>
      <c r="E1605">
        <f t="shared" si="195"/>
        <v>10.838038439373619</v>
      </c>
      <c r="G1605">
        <v>1555</v>
      </c>
      <c r="H1605" s="13">
        <f t="shared" si="200"/>
        <v>5.1608656820917531E-2</v>
      </c>
      <c r="I1605">
        <f t="shared" si="201"/>
        <v>122.55405626661148</v>
      </c>
      <c r="J1605" t="e">
        <f t="shared" si="196"/>
        <v>#NUM!</v>
      </c>
      <c r="K1605" s="27" t="e">
        <f t="shared" si="197"/>
        <v>#NUM!</v>
      </c>
    </row>
    <row r="1606" spans="1:11">
      <c r="A1606" s="26">
        <v>1556</v>
      </c>
      <c r="B1606" s="82">
        <f t="shared" si="198"/>
        <v>3.2921237647087764E-4</v>
      </c>
      <c r="C1606" s="58">
        <f t="shared" si="194"/>
        <v>42.814849367876391</v>
      </c>
      <c r="D1606" s="83">
        <f t="shared" si="199"/>
        <v>181.44207693734629</v>
      </c>
      <c r="E1606">
        <f t="shared" si="195"/>
        <v>10.838112499736328</v>
      </c>
      <c r="G1606">
        <v>1556</v>
      </c>
      <c r="H1606" s="13">
        <f t="shared" si="200"/>
        <v>5.1608656820917531E-2</v>
      </c>
      <c r="I1606">
        <f t="shared" si="201"/>
        <v>122.6056649234324</v>
      </c>
      <c r="J1606" t="e">
        <f t="shared" si="196"/>
        <v>#NUM!</v>
      </c>
      <c r="K1606" s="27" t="e">
        <f t="shared" si="197"/>
        <v>#NUM!</v>
      </c>
    </row>
    <row r="1607" spans="1:11">
      <c r="A1607" s="26">
        <v>1557</v>
      </c>
      <c r="B1607" s="82">
        <f t="shared" si="198"/>
        <v>3.2921237647087764E-4</v>
      </c>
      <c r="C1607" s="58">
        <f t="shared" si="194"/>
        <v>42.815178580252862</v>
      </c>
      <c r="D1607" s="83">
        <f t="shared" si="199"/>
        <v>181.44269685301504</v>
      </c>
      <c r="E1607">
        <f t="shared" si="195"/>
        <v>10.838186557261162</v>
      </c>
      <c r="G1607">
        <v>1557</v>
      </c>
      <c r="H1607" s="13">
        <f t="shared" si="200"/>
        <v>5.1608656820917531E-2</v>
      </c>
      <c r="I1607">
        <f t="shared" si="201"/>
        <v>122.65727358025332</v>
      </c>
      <c r="J1607" t="e">
        <f t="shared" si="196"/>
        <v>#NUM!</v>
      </c>
      <c r="K1607" s="27" t="e">
        <f t="shared" si="197"/>
        <v>#NUM!</v>
      </c>
    </row>
    <row r="1608" spans="1:11">
      <c r="A1608" s="26">
        <v>1558</v>
      </c>
      <c r="B1608" s="82">
        <f t="shared" si="198"/>
        <v>3.2921237647087764E-4</v>
      </c>
      <c r="C1608" s="58">
        <f t="shared" si="194"/>
        <v>42.815507792629333</v>
      </c>
      <c r="D1608" s="83">
        <f t="shared" si="199"/>
        <v>181.44331674281244</v>
      </c>
      <c r="E1608">
        <f t="shared" si="195"/>
        <v>10.838260611948401</v>
      </c>
      <c r="G1608">
        <v>1558</v>
      </c>
      <c r="H1608" s="13">
        <f t="shared" si="200"/>
        <v>5.1608656820917531E-2</v>
      </c>
      <c r="I1608">
        <f t="shared" si="201"/>
        <v>122.70888223707423</v>
      </c>
      <c r="J1608" t="e">
        <f t="shared" si="196"/>
        <v>#NUM!</v>
      </c>
      <c r="K1608" s="27" t="e">
        <f t="shared" si="197"/>
        <v>#NUM!</v>
      </c>
    </row>
    <row r="1609" spans="1:11">
      <c r="A1609" s="26">
        <v>1559</v>
      </c>
      <c r="B1609" s="82">
        <f t="shared" si="198"/>
        <v>3.2921237647087764E-4</v>
      </c>
      <c r="C1609" s="58">
        <f t="shared" si="194"/>
        <v>42.815837005005804</v>
      </c>
      <c r="D1609" s="83">
        <f t="shared" si="199"/>
        <v>181.44393660674103</v>
      </c>
      <c r="E1609">
        <f t="shared" si="195"/>
        <v>10.838334663798307</v>
      </c>
      <c r="G1609">
        <v>1559</v>
      </c>
      <c r="H1609" s="13">
        <f t="shared" si="200"/>
        <v>5.1608656820917531E-2</v>
      </c>
      <c r="I1609">
        <f t="shared" si="201"/>
        <v>122.76049089389515</v>
      </c>
      <c r="J1609" t="e">
        <f t="shared" si="196"/>
        <v>#NUM!</v>
      </c>
      <c r="K1609" s="27" t="e">
        <f t="shared" si="197"/>
        <v>#NUM!</v>
      </c>
    </row>
    <row r="1610" spans="1:11">
      <c r="A1610" s="26">
        <v>1560</v>
      </c>
      <c r="B1610" s="82">
        <f t="shared" si="198"/>
        <v>3.2921237647087764E-4</v>
      </c>
      <c r="C1610" s="58">
        <f t="shared" si="194"/>
        <v>42.816166217382275</v>
      </c>
      <c r="D1610" s="83">
        <f t="shared" si="199"/>
        <v>181.44455644480334</v>
      </c>
      <c r="E1610">
        <f t="shared" si="195"/>
        <v>10.83840871281115</v>
      </c>
      <c r="G1610">
        <v>1560</v>
      </c>
      <c r="H1610" s="13">
        <f t="shared" si="200"/>
        <v>5.1608656820917531E-2</v>
      </c>
      <c r="I1610">
        <f t="shared" si="201"/>
        <v>122.81209955071607</v>
      </c>
      <c r="J1610" t="e">
        <f t="shared" si="196"/>
        <v>#NUM!</v>
      </c>
      <c r="K1610" s="27" t="e">
        <f t="shared" si="197"/>
        <v>#NUM!</v>
      </c>
    </row>
    <row r="1611" spans="1:11">
      <c r="A1611" s="26">
        <v>1561</v>
      </c>
      <c r="B1611" s="82">
        <f t="shared" si="198"/>
        <v>3.2921237647087764E-4</v>
      </c>
      <c r="C1611" s="58">
        <f t="shared" si="194"/>
        <v>42.816495429758746</v>
      </c>
      <c r="D1611" s="83">
        <f t="shared" si="199"/>
        <v>181.44517625700186</v>
      </c>
      <c r="E1611">
        <f t="shared" si="195"/>
        <v>10.838482758987203</v>
      </c>
      <c r="G1611">
        <v>1561</v>
      </c>
      <c r="H1611" s="13">
        <f t="shared" si="200"/>
        <v>5.1608656820917531E-2</v>
      </c>
      <c r="I1611">
        <f t="shared" si="201"/>
        <v>122.86370820753699</v>
      </c>
      <c r="J1611" t="e">
        <f t="shared" si="196"/>
        <v>#NUM!</v>
      </c>
      <c r="K1611" s="27" t="e">
        <f t="shared" si="197"/>
        <v>#NUM!</v>
      </c>
    </row>
    <row r="1612" spans="1:11">
      <c r="A1612" s="26">
        <v>1562</v>
      </c>
      <c r="B1612" s="82">
        <f t="shared" si="198"/>
        <v>3.2921237647087764E-4</v>
      </c>
      <c r="C1612" s="58">
        <f t="shared" si="194"/>
        <v>42.816824642135217</v>
      </c>
      <c r="D1612" s="83">
        <f t="shared" si="199"/>
        <v>181.44579604333916</v>
      </c>
      <c r="E1612">
        <f t="shared" si="195"/>
        <v>10.838556802326735</v>
      </c>
      <c r="G1612">
        <v>1562</v>
      </c>
      <c r="H1612" s="13">
        <f t="shared" si="200"/>
        <v>5.1608656820917531E-2</v>
      </c>
      <c r="I1612">
        <f t="shared" si="201"/>
        <v>122.91531686435791</v>
      </c>
      <c r="J1612" t="e">
        <f t="shared" si="196"/>
        <v>#NUM!</v>
      </c>
      <c r="K1612" s="27" t="e">
        <f t="shared" si="197"/>
        <v>#NUM!</v>
      </c>
    </row>
    <row r="1613" spans="1:11">
      <c r="A1613" s="26">
        <v>1563</v>
      </c>
      <c r="B1613" s="82">
        <f t="shared" si="198"/>
        <v>3.2921237647087764E-4</v>
      </c>
      <c r="C1613" s="58">
        <f t="shared" si="194"/>
        <v>42.817153854511687</v>
      </c>
      <c r="D1613" s="83">
        <f t="shared" si="199"/>
        <v>181.44641580381773</v>
      </c>
      <c r="E1613">
        <f t="shared" si="195"/>
        <v>10.838630842830016</v>
      </c>
      <c r="G1613">
        <v>1563</v>
      </c>
      <c r="H1613" s="13">
        <f t="shared" si="200"/>
        <v>5.1608656820917531E-2</v>
      </c>
      <c r="I1613">
        <f t="shared" si="201"/>
        <v>122.96692552117882</v>
      </c>
      <c r="J1613" t="e">
        <f t="shared" si="196"/>
        <v>#NUM!</v>
      </c>
      <c r="K1613" s="27" t="e">
        <f t="shared" si="197"/>
        <v>#NUM!</v>
      </c>
    </row>
    <row r="1614" spans="1:11">
      <c r="A1614" s="26">
        <v>1564</v>
      </c>
      <c r="B1614" s="82">
        <f t="shared" si="198"/>
        <v>3.2921237647087764E-4</v>
      </c>
      <c r="C1614" s="58">
        <f t="shared" si="194"/>
        <v>42.817483066888158</v>
      </c>
      <c r="D1614" s="83">
        <f t="shared" si="199"/>
        <v>181.4470355384401</v>
      </c>
      <c r="E1614">
        <f t="shared" si="195"/>
        <v>10.838704880497312</v>
      </c>
      <c r="G1614">
        <v>1564</v>
      </c>
      <c r="H1614" s="13">
        <f t="shared" si="200"/>
        <v>5.1608656820917531E-2</v>
      </c>
      <c r="I1614">
        <f t="shared" si="201"/>
        <v>123.01853417799974</v>
      </c>
      <c r="J1614" t="e">
        <f t="shared" si="196"/>
        <v>#NUM!</v>
      </c>
      <c r="K1614" s="27" t="e">
        <f t="shared" si="197"/>
        <v>#NUM!</v>
      </c>
    </row>
    <row r="1615" spans="1:11">
      <c r="A1615" s="26">
        <v>1565</v>
      </c>
      <c r="B1615" s="82">
        <f t="shared" si="198"/>
        <v>3.2921237647087764E-4</v>
      </c>
      <c r="C1615" s="58">
        <f t="shared" si="194"/>
        <v>42.817812279264629</v>
      </c>
      <c r="D1615" s="83">
        <f t="shared" si="199"/>
        <v>181.44765524720879</v>
      </c>
      <c r="E1615">
        <f t="shared" si="195"/>
        <v>10.838778915328897</v>
      </c>
      <c r="G1615">
        <v>1565</v>
      </c>
      <c r="H1615" s="13">
        <f t="shared" si="200"/>
        <v>5.1608656820917531E-2</v>
      </c>
      <c r="I1615">
        <f t="shared" si="201"/>
        <v>123.07014283482066</v>
      </c>
      <c r="J1615" t="e">
        <f t="shared" si="196"/>
        <v>#NUM!</v>
      </c>
      <c r="K1615" s="27" t="e">
        <f t="shared" si="197"/>
        <v>#NUM!</v>
      </c>
    </row>
    <row r="1616" spans="1:11">
      <c r="A1616" s="26">
        <v>1566</v>
      </c>
      <c r="B1616" s="82">
        <f t="shared" si="198"/>
        <v>3.2921237647087764E-4</v>
      </c>
      <c r="C1616" s="58">
        <f t="shared" ref="C1616:C1679" si="202">($C$37-$C$36)/2000+C1615</f>
        <v>42.8181414916411</v>
      </c>
      <c r="D1616" s="83">
        <f t="shared" si="199"/>
        <v>181.44827493012636</v>
      </c>
      <c r="E1616">
        <f t="shared" si="195"/>
        <v>10.838852947325046</v>
      </c>
      <c r="G1616">
        <v>1566</v>
      </c>
      <c r="H1616" s="13">
        <f t="shared" si="200"/>
        <v>5.1608656820917531E-2</v>
      </c>
      <c r="I1616">
        <f t="shared" si="201"/>
        <v>123.12175149164158</v>
      </c>
      <c r="J1616" t="e">
        <f t="shared" si="196"/>
        <v>#NUM!</v>
      </c>
      <c r="K1616" s="27" t="e">
        <f t="shared" si="197"/>
        <v>#NUM!</v>
      </c>
    </row>
    <row r="1617" spans="1:11">
      <c r="A1617" s="26">
        <v>1567</v>
      </c>
      <c r="B1617" s="82">
        <f t="shared" si="198"/>
        <v>3.2921237647087764E-4</v>
      </c>
      <c r="C1617" s="58">
        <f t="shared" si="202"/>
        <v>42.818470704017571</v>
      </c>
      <c r="D1617" s="83">
        <f t="shared" si="199"/>
        <v>181.4488945871953</v>
      </c>
      <c r="E1617">
        <f t="shared" si="195"/>
        <v>10.838926976486016</v>
      </c>
      <c r="G1617">
        <v>1567</v>
      </c>
      <c r="H1617" s="13">
        <f t="shared" si="200"/>
        <v>5.1608656820917531E-2</v>
      </c>
      <c r="I1617">
        <f t="shared" si="201"/>
        <v>123.17336014846249</v>
      </c>
      <c r="J1617" t="e">
        <f t="shared" si="196"/>
        <v>#NUM!</v>
      </c>
      <c r="K1617" s="27" t="e">
        <f t="shared" si="197"/>
        <v>#NUM!</v>
      </c>
    </row>
    <row r="1618" spans="1:11">
      <c r="A1618" s="26">
        <v>1568</v>
      </c>
      <c r="B1618" s="82">
        <f t="shared" si="198"/>
        <v>3.2921237647087764E-4</v>
      </c>
      <c r="C1618" s="58">
        <f t="shared" si="202"/>
        <v>42.818799916394042</v>
      </c>
      <c r="D1618" s="83">
        <f t="shared" si="199"/>
        <v>181.44951421841813</v>
      </c>
      <c r="E1618">
        <f t="shared" si="195"/>
        <v>10.83900100281209</v>
      </c>
      <c r="G1618">
        <v>1568</v>
      </c>
      <c r="H1618" s="13">
        <f t="shared" si="200"/>
        <v>5.1608656820917531E-2</v>
      </c>
      <c r="I1618">
        <f t="shared" si="201"/>
        <v>123.22496880528341</v>
      </c>
      <c r="J1618" t="e">
        <f t="shared" si="196"/>
        <v>#NUM!</v>
      </c>
      <c r="K1618" s="27" t="e">
        <f t="shared" si="197"/>
        <v>#NUM!</v>
      </c>
    </row>
    <row r="1619" spans="1:11">
      <c r="A1619" s="26">
        <v>1569</v>
      </c>
      <c r="B1619" s="82">
        <f t="shared" si="198"/>
        <v>3.2921237647087764E-4</v>
      </c>
      <c r="C1619" s="58">
        <f t="shared" si="202"/>
        <v>42.819129128770513</v>
      </c>
      <c r="D1619" s="83">
        <f t="shared" si="199"/>
        <v>181.45013382379739</v>
      </c>
      <c r="E1619">
        <f t="shared" si="195"/>
        <v>10.839075026303528</v>
      </c>
      <c r="G1619">
        <v>1569</v>
      </c>
      <c r="H1619" s="13">
        <f t="shared" si="200"/>
        <v>5.1608656820917531E-2</v>
      </c>
      <c r="I1619">
        <f t="shared" si="201"/>
        <v>123.27657746210433</v>
      </c>
      <c r="J1619" t="e">
        <f t="shared" si="196"/>
        <v>#NUM!</v>
      </c>
      <c r="K1619" s="27" t="e">
        <f t="shared" si="197"/>
        <v>#NUM!</v>
      </c>
    </row>
    <row r="1620" spans="1:11">
      <c r="A1620" s="26">
        <v>1570</v>
      </c>
      <c r="B1620" s="82">
        <f t="shared" si="198"/>
        <v>3.2921237647087764E-4</v>
      </c>
      <c r="C1620" s="58">
        <f t="shared" si="202"/>
        <v>42.819458341146984</v>
      </c>
      <c r="D1620" s="83">
        <f t="shared" si="199"/>
        <v>181.45075340333557</v>
      </c>
      <c r="E1620">
        <f t="shared" si="195"/>
        <v>10.839149046960602</v>
      </c>
      <c r="G1620">
        <v>1570</v>
      </c>
      <c r="H1620" s="13">
        <f t="shared" si="200"/>
        <v>5.1608656820917531E-2</v>
      </c>
      <c r="I1620">
        <f t="shared" si="201"/>
        <v>123.32818611892525</v>
      </c>
      <c r="J1620" t="e">
        <f t="shared" si="196"/>
        <v>#NUM!</v>
      </c>
      <c r="K1620" s="27" t="e">
        <f t="shared" si="197"/>
        <v>#NUM!</v>
      </c>
    </row>
    <row r="1621" spans="1:11">
      <c r="A1621" s="26">
        <v>1571</v>
      </c>
      <c r="B1621" s="82">
        <f t="shared" si="198"/>
        <v>3.2921237647087764E-4</v>
      </c>
      <c r="C1621" s="58">
        <f t="shared" si="202"/>
        <v>42.819787553523454</v>
      </c>
      <c r="D1621" s="83">
        <f t="shared" si="199"/>
        <v>181.45137295703523</v>
      </c>
      <c r="E1621">
        <f t="shared" si="195"/>
        <v>10.839223064783583</v>
      </c>
      <c r="G1621">
        <v>1571</v>
      </c>
      <c r="H1621" s="13">
        <f t="shared" si="200"/>
        <v>5.1608656820917531E-2</v>
      </c>
      <c r="I1621">
        <f t="shared" si="201"/>
        <v>123.37979477574616</v>
      </c>
      <c r="J1621" t="e">
        <f t="shared" si="196"/>
        <v>#NUM!</v>
      </c>
      <c r="K1621" s="27" t="e">
        <f t="shared" si="197"/>
        <v>#NUM!</v>
      </c>
    </row>
    <row r="1622" spans="1:11">
      <c r="A1622" s="26">
        <v>1572</v>
      </c>
      <c r="B1622" s="82">
        <f t="shared" si="198"/>
        <v>3.2921237647087764E-4</v>
      </c>
      <c r="C1622" s="58">
        <f t="shared" si="202"/>
        <v>42.820116765899925</v>
      </c>
      <c r="D1622" s="83">
        <f t="shared" si="199"/>
        <v>181.45199248489888</v>
      </c>
      <c r="E1622">
        <f t="shared" si="195"/>
        <v>10.839297079772743</v>
      </c>
      <c r="G1622">
        <v>1572</v>
      </c>
      <c r="H1622" s="13">
        <f t="shared" si="200"/>
        <v>5.1608656820917531E-2</v>
      </c>
      <c r="I1622">
        <f t="shared" si="201"/>
        <v>123.43140343256708</v>
      </c>
      <c r="J1622" t="e">
        <f t="shared" si="196"/>
        <v>#NUM!</v>
      </c>
      <c r="K1622" s="27" t="e">
        <f t="shared" si="197"/>
        <v>#NUM!</v>
      </c>
    </row>
    <row r="1623" spans="1:11">
      <c r="A1623" s="26">
        <v>1573</v>
      </c>
      <c r="B1623" s="82">
        <f t="shared" si="198"/>
        <v>3.2921237647087764E-4</v>
      </c>
      <c r="C1623" s="58">
        <f t="shared" si="202"/>
        <v>42.820445978276396</v>
      </c>
      <c r="D1623" s="83">
        <f t="shared" si="199"/>
        <v>181.45261198692904</v>
      </c>
      <c r="E1623">
        <f t="shared" si="195"/>
        <v>10.839371091928347</v>
      </c>
      <c r="G1623">
        <v>1573</v>
      </c>
      <c r="H1623" s="13">
        <f t="shared" si="200"/>
        <v>5.1608656820917531E-2</v>
      </c>
      <c r="I1623">
        <f t="shared" si="201"/>
        <v>123.483012089388</v>
      </c>
      <c r="J1623" t="e">
        <f t="shared" si="196"/>
        <v>#NUM!</v>
      </c>
      <c r="K1623" s="27" t="e">
        <f t="shared" si="197"/>
        <v>#NUM!</v>
      </c>
    </row>
    <row r="1624" spans="1:11">
      <c r="A1624" s="26">
        <v>1574</v>
      </c>
      <c r="B1624" s="82">
        <f t="shared" si="198"/>
        <v>3.2921237647087764E-4</v>
      </c>
      <c r="C1624" s="58">
        <f t="shared" si="202"/>
        <v>42.820775190652867</v>
      </c>
      <c r="D1624" s="83">
        <f t="shared" si="199"/>
        <v>181.45323146312822</v>
      </c>
      <c r="E1624">
        <f t="shared" si="195"/>
        <v>10.839445101250666</v>
      </c>
      <c r="G1624">
        <v>1574</v>
      </c>
      <c r="H1624" s="13">
        <f t="shared" si="200"/>
        <v>5.1608656820917531E-2</v>
      </c>
      <c r="I1624">
        <f t="shared" si="201"/>
        <v>123.53462074620892</v>
      </c>
      <c r="J1624" t="e">
        <f t="shared" si="196"/>
        <v>#NUM!</v>
      </c>
      <c r="K1624" s="27" t="e">
        <f t="shared" si="197"/>
        <v>#NUM!</v>
      </c>
    </row>
    <row r="1625" spans="1:11">
      <c r="A1625" s="26">
        <v>1575</v>
      </c>
      <c r="B1625" s="82">
        <f t="shared" si="198"/>
        <v>3.2921237647087764E-4</v>
      </c>
      <c r="C1625" s="58">
        <f t="shared" si="202"/>
        <v>42.821104403029338</v>
      </c>
      <c r="D1625" s="83">
        <f t="shared" si="199"/>
        <v>181.45385091349891</v>
      </c>
      <c r="E1625">
        <f t="shared" si="195"/>
        <v>10.839519107739967</v>
      </c>
      <c r="G1625">
        <v>1575</v>
      </c>
      <c r="H1625" s="13">
        <f t="shared" si="200"/>
        <v>5.1608656820917531E-2</v>
      </c>
      <c r="I1625">
        <f t="shared" si="201"/>
        <v>123.58622940302983</v>
      </c>
      <c r="J1625" t="e">
        <f t="shared" si="196"/>
        <v>#NUM!</v>
      </c>
      <c r="K1625" s="27" t="e">
        <f t="shared" si="197"/>
        <v>#NUM!</v>
      </c>
    </row>
    <row r="1626" spans="1:11">
      <c r="A1626" s="26">
        <v>1576</v>
      </c>
      <c r="B1626" s="82">
        <f t="shared" si="198"/>
        <v>3.2921237647087764E-4</v>
      </c>
      <c r="C1626" s="58">
        <f t="shared" si="202"/>
        <v>42.821433615405809</v>
      </c>
      <c r="D1626" s="83">
        <f t="shared" si="199"/>
        <v>181.45447033804371</v>
      </c>
      <c r="E1626">
        <f t="shared" si="195"/>
        <v>10.839593111396523</v>
      </c>
      <c r="G1626">
        <v>1576</v>
      </c>
      <c r="H1626" s="13">
        <f t="shared" si="200"/>
        <v>5.1608656820917531E-2</v>
      </c>
      <c r="I1626">
        <f t="shared" si="201"/>
        <v>123.63783805985075</v>
      </c>
      <c r="J1626" t="e">
        <f t="shared" si="196"/>
        <v>#NUM!</v>
      </c>
      <c r="K1626" s="27" t="e">
        <f t="shared" si="197"/>
        <v>#NUM!</v>
      </c>
    </row>
    <row r="1627" spans="1:11">
      <c r="A1627" s="26">
        <v>1577</v>
      </c>
      <c r="B1627" s="82">
        <f t="shared" si="198"/>
        <v>3.2921237647087764E-4</v>
      </c>
      <c r="C1627" s="58">
        <f t="shared" si="202"/>
        <v>42.82176282778228</v>
      </c>
      <c r="D1627" s="83">
        <f t="shared" si="199"/>
        <v>181.45508973676507</v>
      </c>
      <c r="E1627">
        <f t="shared" si="195"/>
        <v>10.839667112220603</v>
      </c>
      <c r="G1627">
        <v>1577</v>
      </c>
      <c r="H1627" s="13">
        <f t="shared" si="200"/>
        <v>5.1608656820917531E-2</v>
      </c>
      <c r="I1627">
        <f t="shared" si="201"/>
        <v>123.68944671667167</v>
      </c>
      <c r="J1627" t="e">
        <f t="shared" si="196"/>
        <v>#NUM!</v>
      </c>
      <c r="K1627" s="27" t="e">
        <f t="shared" si="197"/>
        <v>#NUM!</v>
      </c>
    </row>
    <row r="1628" spans="1:11">
      <c r="A1628" s="26">
        <v>1578</v>
      </c>
      <c r="B1628" s="82">
        <f t="shared" si="198"/>
        <v>3.2921237647087764E-4</v>
      </c>
      <c r="C1628" s="58">
        <f t="shared" si="202"/>
        <v>42.822092040158751</v>
      </c>
      <c r="D1628" s="83">
        <f t="shared" si="199"/>
        <v>181.45570910966552</v>
      </c>
      <c r="E1628">
        <f t="shared" si="195"/>
        <v>10.839741110212472</v>
      </c>
      <c r="G1628">
        <v>1578</v>
      </c>
      <c r="H1628" s="13">
        <f t="shared" si="200"/>
        <v>5.1608656820917531E-2</v>
      </c>
      <c r="I1628">
        <f t="shared" si="201"/>
        <v>123.74105537349259</v>
      </c>
      <c r="J1628" t="e">
        <f t="shared" si="196"/>
        <v>#NUM!</v>
      </c>
      <c r="K1628" s="27" t="e">
        <f t="shared" si="197"/>
        <v>#NUM!</v>
      </c>
    </row>
    <row r="1629" spans="1:11">
      <c r="A1629" s="26">
        <v>1579</v>
      </c>
      <c r="B1629" s="82">
        <f t="shared" si="198"/>
        <v>3.2921237647087764E-4</v>
      </c>
      <c r="C1629" s="58">
        <f t="shared" si="202"/>
        <v>42.822421252535221</v>
      </c>
      <c r="D1629" s="83">
        <f t="shared" si="199"/>
        <v>181.4563284567476</v>
      </c>
      <c r="E1629">
        <f t="shared" si="195"/>
        <v>10.839815105372407</v>
      </c>
      <c r="G1629">
        <v>1579</v>
      </c>
      <c r="H1629" s="13">
        <f t="shared" si="200"/>
        <v>5.1608656820917531E-2</v>
      </c>
      <c r="I1629">
        <f t="shared" si="201"/>
        <v>123.7926640303135</v>
      </c>
      <c r="J1629" t="e">
        <f t="shared" si="196"/>
        <v>#NUM!</v>
      </c>
      <c r="K1629" s="27" t="e">
        <f t="shared" si="197"/>
        <v>#NUM!</v>
      </c>
    </row>
    <row r="1630" spans="1:11">
      <c r="A1630" s="26">
        <v>1580</v>
      </c>
      <c r="B1630" s="82">
        <f t="shared" si="198"/>
        <v>3.2921237647087764E-4</v>
      </c>
      <c r="C1630" s="58">
        <f t="shared" si="202"/>
        <v>42.822750464911692</v>
      </c>
      <c r="D1630" s="83">
        <f t="shared" si="199"/>
        <v>181.45694777801384</v>
      </c>
      <c r="E1630">
        <f t="shared" si="195"/>
        <v>10.83988909770067</v>
      </c>
      <c r="G1630">
        <v>1580</v>
      </c>
      <c r="H1630" s="13">
        <f t="shared" si="200"/>
        <v>5.1608656820917531E-2</v>
      </c>
      <c r="I1630">
        <f t="shared" si="201"/>
        <v>123.84427268713442</v>
      </c>
      <c r="J1630" t="e">
        <f t="shared" si="196"/>
        <v>#NUM!</v>
      </c>
      <c r="K1630" s="27" t="e">
        <f t="shared" si="197"/>
        <v>#NUM!</v>
      </c>
    </row>
    <row r="1631" spans="1:11">
      <c r="A1631" s="26">
        <v>1581</v>
      </c>
      <c r="B1631" s="82">
        <f t="shared" si="198"/>
        <v>3.2921237647087764E-4</v>
      </c>
      <c r="C1631" s="58">
        <f t="shared" si="202"/>
        <v>42.823079677288163</v>
      </c>
      <c r="D1631" s="83">
        <f t="shared" si="199"/>
        <v>181.45756707346669</v>
      </c>
      <c r="E1631">
        <f t="shared" si="195"/>
        <v>10.839963087197532</v>
      </c>
      <c r="G1631">
        <v>1581</v>
      </c>
      <c r="H1631" s="13">
        <f t="shared" si="200"/>
        <v>5.1608656820917531E-2</v>
      </c>
      <c r="I1631">
        <f t="shared" si="201"/>
        <v>123.89588134395534</v>
      </c>
      <c r="J1631" t="e">
        <f t="shared" si="196"/>
        <v>#NUM!</v>
      </c>
      <c r="K1631" s="27" t="e">
        <f t="shared" si="197"/>
        <v>#NUM!</v>
      </c>
    </row>
    <row r="1632" spans="1:11">
      <c r="A1632" s="26">
        <v>1582</v>
      </c>
      <c r="B1632" s="82">
        <f t="shared" si="198"/>
        <v>3.2921237647087764E-4</v>
      </c>
      <c r="C1632" s="58">
        <f t="shared" si="202"/>
        <v>42.823408889664634</v>
      </c>
      <c r="D1632" s="83">
        <f t="shared" si="199"/>
        <v>181.45818634310874</v>
      </c>
      <c r="E1632">
        <f t="shared" si="195"/>
        <v>10.840037073863263</v>
      </c>
      <c r="G1632">
        <v>1582</v>
      </c>
      <c r="H1632" s="13">
        <f t="shared" si="200"/>
        <v>5.1608656820917531E-2</v>
      </c>
      <c r="I1632">
        <f t="shared" si="201"/>
        <v>123.94749000077626</v>
      </c>
      <c r="J1632" t="e">
        <f t="shared" si="196"/>
        <v>#NUM!</v>
      </c>
      <c r="K1632" s="27" t="e">
        <f t="shared" si="197"/>
        <v>#NUM!</v>
      </c>
    </row>
    <row r="1633" spans="1:11">
      <c r="A1633" s="26">
        <v>1583</v>
      </c>
      <c r="B1633" s="82">
        <f t="shared" si="198"/>
        <v>3.2921237647087764E-4</v>
      </c>
      <c r="C1633" s="58">
        <f t="shared" si="202"/>
        <v>42.823738102041105</v>
      </c>
      <c r="D1633" s="83">
        <f t="shared" si="199"/>
        <v>181.45880558694245</v>
      </c>
      <c r="E1633">
        <f t="shared" si="195"/>
        <v>10.840111057698131</v>
      </c>
      <c r="G1633">
        <v>1583</v>
      </c>
      <c r="H1633" s="13">
        <f t="shared" si="200"/>
        <v>5.1608656820917531E-2</v>
      </c>
      <c r="I1633">
        <f t="shared" si="201"/>
        <v>123.99909865759717</v>
      </c>
      <c r="J1633" t="e">
        <f t="shared" si="196"/>
        <v>#NUM!</v>
      </c>
      <c r="K1633" s="27" t="e">
        <f t="shared" si="197"/>
        <v>#NUM!</v>
      </c>
    </row>
    <row r="1634" spans="1:11">
      <c r="A1634" s="26">
        <v>1584</v>
      </c>
      <c r="B1634" s="82">
        <f t="shared" si="198"/>
        <v>3.2921237647087764E-4</v>
      </c>
      <c r="C1634" s="58">
        <f t="shared" si="202"/>
        <v>42.824067314417576</v>
      </c>
      <c r="D1634" s="83">
        <f t="shared" si="199"/>
        <v>181.45942480497035</v>
      </c>
      <c r="E1634">
        <f t="shared" si="195"/>
        <v>10.840185038702407</v>
      </c>
      <c r="G1634">
        <v>1584</v>
      </c>
      <c r="H1634" s="13">
        <f t="shared" si="200"/>
        <v>5.1608656820917531E-2</v>
      </c>
      <c r="I1634">
        <f t="shared" si="201"/>
        <v>124.05070731441809</v>
      </c>
      <c r="J1634" t="e">
        <f t="shared" si="196"/>
        <v>#NUM!</v>
      </c>
      <c r="K1634" s="27" t="e">
        <f t="shared" si="197"/>
        <v>#NUM!</v>
      </c>
    </row>
    <row r="1635" spans="1:11">
      <c r="A1635" s="26">
        <v>1585</v>
      </c>
      <c r="B1635" s="82">
        <f t="shared" si="198"/>
        <v>3.2921237647087764E-4</v>
      </c>
      <c r="C1635" s="58">
        <f t="shared" si="202"/>
        <v>42.824396526794047</v>
      </c>
      <c r="D1635" s="83">
        <f t="shared" si="199"/>
        <v>181.46004399719499</v>
      </c>
      <c r="E1635">
        <f t="shared" si="195"/>
        <v>10.840259016876358</v>
      </c>
      <c r="G1635">
        <v>1585</v>
      </c>
      <c r="H1635" s="13">
        <f t="shared" si="200"/>
        <v>5.1608656820917531E-2</v>
      </c>
      <c r="I1635">
        <f t="shared" si="201"/>
        <v>124.10231597123901</v>
      </c>
      <c r="J1635" t="e">
        <f t="shared" si="196"/>
        <v>#NUM!</v>
      </c>
      <c r="K1635" s="27" t="e">
        <f t="shared" si="197"/>
        <v>#NUM!</v>
      </c>
    </row>
    <row r="1636" spans="1:11">
      <c r="A1636" s="26">
        <v>1586</v>
      </c>
      <c r="B1636" s="82">
        <f t="shared" si="198"/>
        <v>3.2921237647087764E-4</v>
      </c>
      <c r="C1636" s="58">
        <f t="shared" si="202"/>
        <v>42.824725739170518</v>
      </c>
      <c r="D1636" s="83">
        <f t="shared" si="199"/>
        <v>181.46066316361885</v>
      </c>
      <c r="E1636">
        <f t="shared" si="195"/>
        <v>10.840332992220253</v>
      </c>
      <c r="G1636">
        <v>1586</v>
      </c>
      <c r="H1636" s="13">
        <f t="shared" si="200"/>
        <v>5.1608656820917531E-2</v>
      </c>
      <c r="I1636">
        <f t="shared" si="201"/>
        <v>124.15392462805993</v>
      </c>
      <c r="J1636" t="e">
        <f t="shared" si="196"/>
        <v>#NUM!</v>
      </c>
      <c r="K1636" s="27" t="e">
        <f t="shared" si="197"/>
        <v>#NUM!</v>
      </c>
    </row>
    <row r="1637" spans="1:11">
      <c r="A1637" s="26">
        <v>1587</v>
      </c>
      <c r="B1637" s="82">
        <f t="shared" si="198"/>
        <v>3.2921237647087764E-4</v>
      </c>
      <c r="C1637" s="58">
        <f t="shared" si="202"/>
        <v>42.825054951546988</v>
      </c>
      <c r="D1637" s="83">
        <f t="shared" si="199"/>
        <v>181.46128230424446</v>
      </c>
      <c r="E1637">
        <f t="shared" si="195"/>
        <v>10.840406964734361</v>
      </c>
      <c r="G1637">
        <v>1587</v>
      </c>
      <c r="H1637" s="13">
        <f t="shared" si="200"/>
        <v>5.1608656820917531E-2</v>
      </c>
      <c r="I1637">
        <f t="shared" si="201"/>
        <v>124.20553328488084</v>
      </c>
      <c r="J1637" t="e">
        <f t="shared" si="196"/>
        <v>#NUM!</v>
      </c>
      <c r="K1637" s="27" t="e">
        <f t="shared" si="197"/>
        <v>#NUM!</v>
      </c>
    </row>
    <row r="1638" spans="1:11">
      <c r="A1638" s="26">
        <v>1588</v>
      </c>
      <c r="B1638" s="82">
        <f t="shared" si="198"/>
        <v>3.2921237647087764E-4</v>
      </c>
      <c r="C1638" s="58">
        <f t="shared" si="202"/>
        <v>42.825384163923459</v>
      </c>
      <c r="D1638" s="83">
        <f t="shared" si="199"/>
        <v>181.46190141907431</v>
      </c>
      <c r="E1638">
        <f t="shared" si="195"/>
        <v>10.840480934418954</v>
      </c>
      <c r="G1638">
        <v>1588</v>
      </c>
      <c r="H1638" s="13">
        <f t="shared" si="200"/>
        <v>5.1608656820917531E-2</v>
      </c>
      <c r="I1638">
        <f t="shared" si="201"/>
        <v>124.25714194170176</v>
      </c>
      <c r="J1638" t="e">
        <f t="shared" si="196"/>
        <v>#NUM!</v>
      </c>
      <c r="K1638" s="27" t="e">
        <f t="shared" si="197"/>
        <v>#NUM!</v>
      </c>
    </row>
    <row r="1639" spans="1:11">
      <c r="A1639" s="26">
        <v>1589</v>
      </c>
      <c r="B1639" s="82">
        <f t="shared" si="198"/>
        <v>3.2921237647087764E-4</v>
      </c>
      <c r="C1639" s="58">
        <f t="shared" si="202"/>
        <v>42.82571337629993</v>
      </c>
      <c r="D1639" s="83">
        <f t="shared" si="199"/>
        <v>181.46252050811097</v>
      </c>
      <c r="E1639">
        <f t="shared" si="195"/>
        <v>10.840554901274293</v>
      </c>
      <c r="G1639">
        <v>1589</v>
      </c>
      <c r="H1639" s="13">
        <f t="shared" si="200"/>
        <v>5.1608656820917531E-2</v>
      </c>
      <c r="I1639">
        <f t="shared" si="201"/>
        <v>124.30875059852268</v>
      </c>
      <c r="J1639" t="e">
        <f t="shared" si="196"/>
        <v>#NUM!</v>
      </c>
      <c r="K1639" s="27" t="e">
        <f t="shared" si="197"/>
        <v>#NUM!</v>
      </c>
    </row>
    <row r="1640" spans="1:11">
      <c r="A1640" s="26">
        <v>1590</v>
      </c>
      <c r="B1640" s="82">
        <f t="shared" si="198"/>
        <v>3.2921237647087764E-4</v>
      </c>
      <c r="C1640" s="58">
        <f t="shared" si="202"/>
        <v>42.826042588676401</v>
      </c>
      <c r="D1640" s="83">
        <f t="shared" si="199"/>
        <v>181.46313957135686</v>
      </c>
      <c r="E1640">
        <f t="shared" si="195"/>
        <v>10.840628865300651</v>
      </c>
      <c r="G1640">
        <v>1590</v>
      </c>
      <c r="H1640" s="13">
        <f t="shared" si="200"/>
        <v>5.1608656820917531E-2</v>
      </c>
      <c r="I1640">
        <f t="shared" si="201"/>
        <v>124.3603592553436</v>
      </c>
      <c r="J1640" t="e">
        <f t="shared" si="196"/>
        <v>#NUM!</v>
      </c>
      <c r="K1640" s="27" t="e">
        <f t="shared" si="197"/>
        <v>#NUM!</v>
      </c>
    </row>
    <row r="1641" spans="1:11">
      <c r="A1641" s="26">
        <v>1591</v>
      </c>
      <c r="B1641" s="82">
        <f t="shared" si="198"/>
        <v>3.2921237647087764E-4</v>
      </c>
      <c r="C1641" s="58">
        <f t="shared" si="202"/>
        <v>42.826371801052872</v>
      </c>
      <c r="D1641" s="83">
        <f t="shared" si="199"/>
        <v>181.4637586088146</v>
      </c>
      <c r="E1641">
        <f t="shared" si="195"/>
        <v>10.840702826498303</v>
      </c>
      <c r="G1641">
        <v>1591</v>
      </c>
      <c r="H1641" s="13">
        <f t="shared" si="200"/>
        <v>5.1608656820917531E-2</v>
      </c>
      <c r="I1641">
        <f t="shared" si="201"/>
        <v>124.41196791216451</v>
      </c>
      <c r="J1641" t="e">
        <f t="shared" si="196"/>
        <v>#NUM!</v>
      </c>
      <c r="K1641" s="27" t="e">
        <f t="shared" si="197"/>
        <v>#NUM!</v>
      </c>
    </row>
    <row r="1642" spans="1:11">
      <c r="A1642" s="26">
        <v>1592</v>
      </c>
      <c r="B1642" s="82">
        <f t="shared" si="198"/>
        <v>3.2921237647087764E-4</v>
      </c>
      <c r="C1642" s="58">
        <f t="shared" si="202"/>
        <v>42.826701013429343</v>
      </c>
      <c r="D1642" s="83">
        <f t="shared" si="199"/>
        <v>181.4643776204866</v>
      </c>
      <c r="E1642">
        <f t="shared" si="195"/>
        <v>10.840776784867506</v>
      </c>
      <c r="G1642">
        <v>1592</v>
      </c>
      <c r="H1642" s="13">
        <f t="shared" si="200"/>
        <v>5.1608656820917531E-2</v>
      </c>
      <c r="I1642">
        <f t="shared" si="201"/>
        <v>124.46357656898543</v>
      </c>
      <c r="J1642" t="e">
        <f t="shared" si="196"/>
        <v>#NUM!</v>
      </c>
      <c r="K1642" s="27" t="e">
        <f t="shared" si="197"/>
        <v>#NUM!</v>
      </c>
    </row>
    <row r="1643" spans="1:11">
      <c r="A1643" s="26">
        <v>1593</v>
      </c>
      <c r="B1643" s="82">
        <f t="shared" si="198"/>
        <v>3.2921237647087764E-4</v>
      </c>
      <c r="C1643" s="58">
        <f t="shared" si="202"/>
        <v>42.827030225805814</v>
      </c>
      <c r="D1643" s="83">
        <f t="shared" si="199"/>
        <v>181.46499660637545</v>
      </c>
      <c r="E1643">
        <f t="shared" si="195"/>
        <v>10.840850740408536</v>
      </c>
      <c r="G1643">
        <v>1593</v>
      </c>
      <c r="H1643" s="13">
        <f t="shared" si="200"/>
        <v>5.1608656820917531E-2</v>
      </c>
      <c r="I1643">
        <f t="shared" si="201"/>
        <v>124.51518522580635</v>
      </c>
      <c r="J1643" t="e">
        <f t="shared" si="196"/>
        <v>#NUM!</v>
      </c>
      <c r="K1643" s="27" t="e">
        <f t="shared" si="197"/>
        <v>#NUM!</v>
      </c>
    </row>
    <row r="1644" spans="1:11">
      <c r="A1644" s="26">
        <v>1594</v>
      </c>
      <c r="B1644" s="82">
        <f t="shared" si="198"/>
        <v>3.2921237647087764E-4</v>
      </c>
      <c r="C1644" s="58">
        <f t="shared" si="202"/>
        <v>42.827359438182285</v>
      </c>
      <c r="D1644" s="83">
        <f t="shared" si="199"/>
        <v>181.46561556648362</v>
      </c>
      <c r="E1644">
        <f t="shared" si="195"/>
        <v>10.840924693121663</v>
      </c>
      <c r="G1644">
        <v>1594</v>
      </c>
      <c r="H1644" s="13">
        <f t="shared" si="200"/>
        <v>5.1608656820917531E-2</v>
      </c>
      <c r="I1644">
        <f t="shared" si="201"/>
        <v>124.56679388262727</v>
      </c>
      <c r="J1644" t="e">
        <f t="shared" si="196"/>
        <v>#NUM!</v>
      </c>
      <c r="K1644" s="27" t="e">
        <f t="shared" si="197"/>
        <v>#NUM!</v>
      </c>
    </row>
    <row r="1645" spans="1:11">
      <c r="A1645" s="26">
        <v>1595</v>
      </c>
      <c r="B1645" s="82">
        <f t="shared" si="198"/>
        <v>3.2921237647087764E-4</v>
      </c>
      <c r="C1645" s="58">
        <f t="shared" si="202"/>
        <v>42.827688650558756</v>
      </c>
      <c r="D1645" s="83">
        <f t="shared" si="199"/>
        <v>181.46623450081364</v>
      </c>
      <c r="E1645">
        <f t="shared" si="195"/>
        <v>10.840998643007147</v>
      </c>
      <c r="G1645">
        <v>1595</v>
      </c>
      <c r="H1645" s="13">
        <f t="shared" si="200"/>
        <v>5.1608656820917531E-2</v>
      </c>
      <c r="I1645">
        <f t="shared" si="201"/>
        <v>124.61840253944818</v>
      </c>
      <c r="J1645" t="e">
        <f t="shared" si="196"/>
        <v>#NUM!</v>
      </c>
      <c r="K1645" s="27" t="e">
        <f t="shared" si="197"/>
        <v>#NUM!</v>
      </c>
    </row>
    <row r="1646" spans="1:11">
      <c r="A1646" s="26">
        <v>1596</v>
      </c>
      <c r="B1646" s="82">
        <f t="shared" si="198"/>
        <v>3.2921237647087764E-4</v>
      </c>
      <c r="C1646" s="58">
        <f t="shared" si="202"/>
        <v>42.828017862935226</v>
      </c>
      <c r="D1646" s="83">
        <f t="shared" si="199"/>
        <v>181.46685340936801</v>
      </c>
      <c r="E1646">
        <f t="shared" si="195"/>
        <v>10.841072590065265</v>
      </c>
      <c r="G1646">
        <v>1596</v>
      </c>
      <c r="H1646" s="13">
        <f t="shared" si="200"/>
        <v>5.1608656820917531E-2</v>
      </c>
      <c r="I1646">
        <f t="shared" si="201"/>
        <v>124.6700111962691</v>
      </c>
      <c r="J1646" t="e">
        <f t="shared" si="196"/>
        <v>#NUM!</v>
      </c>
      <c r="K1646" s="27" t="e">
        <f t="shared" si="197"/>
        <v>#NUM!</v>
      </c>
    </row>
    <row r="1647" spans="1:11">
      <c r="A1647" s="26">
        <v>1597</v>
      </c>
      <c r="B1647" s="82">
        <f t="shared" si="198"/>
        <v>3.2921237647087764E-4</v>
      </c>
      <c r="C1647" s="58">
        <f t="shared" si="202"/>
        <v>42.828347075311697</v>
      </c>
      <c r="D1647" s="83">
        <f t="shared" si="199"/>
        <v>181.46747229214924</v>
      </c>
      <c r="E1647">
        <f t="shared" si="195"/>
        <v>10.84114653429628</v>
      </c>
      <c r="G1647">
        <v>1597</v>
      </c>
      <c r="H1647" s="13">
        <f t="shared" si="200"/>
        <v>5.1608656820917531E-2</v>
      </c>
      <c r="I1647">
        <f t="shared" si="201"/>
        <v>124.72161985309002</v>
      </c>
      <c r="J1647" t="e">
        <f t="shared" si="196"/>
        <v>#NUM!</v>
      </c>
      <c r="K1647" s="27" t="e">
        <f t="shared" si="197"/>
        <v>#NUM!</v>
      </c>
    </row>
    <row r="1648" spans="1:11">
      <c r="A1648" s="26">
        <v>1598</v>
      </c>
      <c r="B1648" s="82">
        <f t="shared" si="198"/>
        <v>3.2921237647087764E-4</v>
      </c>
      <c r="C1648" s="58">
        <f t="shared" si="202"/>
        <v>42.828676287688168</v>
      </c>
      <c r="D1648" s="83">
        <f t="shared" si="199"/>
        <v>181.46809114915985</v>
      </c>
      <c r="E1648">
        <f t="shared" si="195"/>
        <v>10.841220475700462</v>
      </c>
      <c r="G1648">
        <v>1598</v>
      </c>
      <c r="H1648" s="13">
        <f t="shared" si="200"/>
        <v>5.1608656820917531E-2</v>
      </c>
      <c r="I1648">
        <f t="shared" si="201"/>
        <v>124.77322850991094</v>
      </c>
      <c r="J1648" t="e">
        <f t="shared" si="196"/>
        <v>#NUM!</v>
      </c>
      <c r="K1648" s="27" t="e">
        <f t="shared" si="197"/>
        <v>#NUM!</v>
      </c>
    </row>
    <row r="1649" spans="1:11">
      <c r="A1649" s="26">
        <v>1599</v>
      </c>
      <c r="B1649" s="82">
        <f t="shared" si="198"/>
        <v>3.2921237647087764E-4</v>
      </c>
      <c r="C1649" s="58">
        <f t="shared" si="202"/>
        <v>42.829005500064639</v>
      </c>
      <c r="D1649" s="83">
        <f t="shared" si="199"/>
        <v>181.46870998040231</v>
      </c>
      <c r="E1649">
        <f t="shared" si="195"/>
        <v>10.841294414278082</v>
      </c>
      <c r="G1649">
        <v>1599</v>
      </c>
      <c r="H1649" s="13">
        <f t="shared" si="200"/>
        <v>5.1608656820917531E-2</v>
      </c>
      <c r="I1649">
        <f t="shared" si="201"/>
        <v>124.82483716673185</v>
      </c>
      <c r="J1649" t="e">
        <f t="shared" si="196"/>
        <v>#NUM!</v>
      </c>
      <c r="K1649" s="27" t="e">
        <f t="shared" si="197"/>
        <v>#NUM!</v>
      </c>
    </row>
    <row r="1650" spans="1:11">
      <c r="A1650" s="26">
        <v>1600</v>
      </c>
      <c r="B1650" s="82">
        <f t="shared" si="198"/>
        <v>3.2921237647087764E-4</v>
      </c>
      <c r="C1650" s="58">
        <f t="shared" si="202"/>
        <v>42.82933471244111</v>
      </c>
      <c r="D1650" s="83">
        <f t="shared" si="199"/>
        <v>181.46932878587918</v>
      </c>
      <c r="E1650">
        <f t="shared" si="195"/>
        <v>10.841368350029406</v>
      </c>
      <c r="G1650">
        <v>1600</v>
      </c>
      <c r="H1650" s="13">
        <f t="shared" si="200"/>
        <v>5.1608656820917531E-2</v>
      </c>
      <c r="I1650">
        <f t="shared" si="201"/>
        <v>124.87644582355277</v>
      </c>
      <c r="J1650" t="e">
        <f t="shared" si="196"/>
        <v>#NUM!</v>
      </c>
      <c r="K1650" s="27" t="e">
        <f t="shared" si="197"/>
        <v>#NUM!</v>
      </c>
    </row>
    <row r="1651" spans="1:11">
      <c r="A1651" s="26">
        <v>1601</v>
      </c>
      <c r="B1651" s="82">
        <f t="shared" si="198"/>
        <v>3.2921237647087764E-4</v>
      </c>
      <c r="C1651" s="58">
        <f t="shared" si="202"/>
        <v>42.829663924817581</v>
      </c>
      <c r="D1651" s="83">
        <f t="shared" si="199"/>
        <v>181.46994756559297</v>
      </c>
      <c r="E1651">
        <f t="shared" ref="E1651:E1714" si="203">((D1651^2)+(D1651*D1652)+(D1652^2))*B1652/3</f>
        <v>10.8414422829547</v>
      </c>
      <c r="G1651">
        <v>1601</v>
      </c>
      <c r="H1651" s="13">
        <f t="shared" si="200"/>
        <v>5.1608656820917531E-2</v>
      </c>
      <c r="I1651">
        <f t="shared" si="201"/>
        <v>124.92805448037369</v>
      </c>
      <c r="J1651" t="e">
        <f t="shared" ref="J1651:J1714" si="204">IF($G$28&lt;$C$14,0,((($C$11^2)-((I1651-$C$13)^2))^0.5)+$C$16)</f>
        <v>#NUM!</v>
      </c>
      <c r="K1651" s="27" t="e">
        <f t="shared" ref="K1651:K1714" si="205">((J1651^2)+(J1651*J1652)+(J1652^2))*H1652/3</f>
        <v>#NUM!</v>
      </c>
    </row>
    <row r="1652" spans="1:11">
      <c r="A1652" s="26">
        <v>1602</v>
      </c>
      <c r="B1652" s="82">
        <f t="shared" ref="B1652:B1715" si="206">C1652-C1651</f>
        <v>3.2921237647087764E-4</v>
      </c>
      <c r="C1652" s="58">
        <f t="shared" si="202"/>
        <v>42.829993137194052</v>
      </c>
      <c r="D1652" s="83">
        <f t="shared" ref="D1652:D1715" si="207">IF($G$28&lt;$C$14,0,((($C$11^2)-((C1652-$C$13)^2))^0.5)+$C$16)</f>
        <v>181.47056631954615</v>
      </c>
      <c r="E1652">
        <f t="shared" si="203"/>
        <v>10.841516213054234</v>
      </c>
      <c r="G1652">
        <v>1602</v>
      </c>
      <c r="H1652" s="13">
        <f t="shared" ref="H1652:H1715" si="208">I1652-I1651</f>
        <v>5.1608656820917531E-2</v>
      </c>
      <c r="I1652">
        <f t="shared" ref="I1652:I1715" si="209">($G$27-$C$14)/2000+I1651</f>
        <v>124.97966313719461</v>
      </c>
      <c r="J1652" t="e">
        <f t="shared" si="204"/>
        <v>#NUM!</v>
      </c>
      <c r="K1652" s="27" t="e">
        <f t="shared" si="205"/>
        <v>#NUM!</v>
      </c>
    </row>
    <row r="1653" spans="1:11">
      <c r="A1653" s="26">
        <v>1603</v>
      </c>
      <c r="B1653" s="82">
        <f t="shared" si="206"/>
        <v>3.2921237647087764E-4</v>
      </c>
      <c r="C1653" s="58">
        <f t="shared" si="202"/>
        <v>42.830322349570523</v>
      </c>
      <c r="D1653" s="83">
        <f t="shared" si="207"/>
        <v>181.47118504774124</v>
      </c>
      <c r="E1653">
        <f t="shared" si="203"/>
        <v>10.841590140328274</v>
      </c>
      <c r="G1653">
        <v>1603</v>
      </c>
      <c r="H1653" s="13">
        <f t="shared" si="208"/>
        <v>5.1608656820917531E-2</v>
      </c>
      <c r="I1653">
        <f t="shared" si="209"/>
        <v>125.03127179401552</v>
      </c>
      <c r="J1653" t="e">
        <f t="shared" si="204"/>
        <v>#NUM!</v>
      </c>
      <c r="K1653" s="27" t="e">
        <f t="shared" si="205"/>
        <v>#NUM!</v>
      </c>
    </row>
    <row r="1654" spans="1:11">
      <c r="A1654" s="26">
        <v>1604</v>
      </c>
      <c r="B1654" s="82">
        <f t="shared" si="206"/>
        <v>3.2921237647087764E-4</v>
      </c>
      <c r="C1654" s="58">
        <f t="shared" si="202"/>
        <v>42.830651561946993</v>
      </c>
      <c r="D1654" s="83">
        <f t="shared" si="207"/>
        <v>181.47180375018073</v>
      </c>
      <c r="E1654">
        <f t="shared" si="203"/>
        <v>10.841664064777092</v>
      </c>
      <c r="G1654">
        <v>1604</v>
      </c>
      <c r="H1654" s="13">
        <f t="shared" si="208"/>
        <v>5.1608656820917531E-2</v>
      </c>
      <c r="I1654">
        <f t="shared" si="209"/>
        <v>125.08288045083644</v>
      </c>
      <c r="J1654" t="e">
        <f t="shared" si="204"/>
        <v>#NUM!</v>
      </c>
      <c r="K1654" s="27" t="e">
        <f t="shared" si="205"/>
        <v>#NUM!</v>
      </c>
    </row>
    <row r="1655" spans="1:11">
      <c r="A1655" s="26">
        <v>1605</v>
      </c>
      <c r="B1655" s="82">
        <f t="shared" si="206"/>
        <v>3.2921237647087764E-4</v>
      </c>
      <c r="C1655" s="58">
        <f t="shared" si="202"/>
        <v>42.830980774323464</v>
      </c>
      <c r="D1655" s="83">
        <f t="shared" si="207"/>
        <v>181.47242242686718</v>
      </c>
      <c r="E1655">
        <f t="shared" si="203"/>
        <v>10.841737986400952</v>
      </c>
      <c r="G1655">
        <v>1605</v>
      </c>
      <c r="H1655" s="13">
        <f t="shared" si="208"/>
        <v>5.1608656820917531E-2</v>
      </c>
      <c r="I1655">
        <f t="shared" si="209"/>
        <v>125.13448910765736</v>
      </c>
      <c r="J1655" t="e">
        <f t="shared" si="204"/>
        <v>#NUM!</v>
      </c>
      <c r="K1655" s="27" t="e">
        <f t="shared" si="205"/>
        <v>#NUM!</v>
      </c>
    </row>
    <row r="1656" spans="1:11">
      <c r="A1656" s="26">
        <v>1606</v>
      </c>
      <c r="B1656" s="82">
        <f t="shared" si="206"/>
        <v>3.2921237647087764E-4</v>
      </c>
      <c r="C1656" s="58">
        <f t="shared" si="202"/>
        <v>42.831309986699935</v>
      </c>
      <c r="D1656" s="83">
        <f t="shared" si="207"/>
        <v>181.47304107780303</v>
      </c>
      <c r="E1656">
        <f t="shared" si="203"/>
        <v>10.841811905200126</v>
      </c>
      <c r="G1656">
        <v>1606</v>
      </c>
      <c r="H1656" s="13">
        <f t="shared" si="208"/>
        <v>5.1608656820917531E-2</v>
      </c>
      <c r="I1656">
        <f t="shared" si="209"/>
        <v>125.18609776447828</v>
      </c>
      <c r="J1656" t="e">
        <f t="shared" si="204"/>
        <v>#NUM!</v>
      </c>
      <c r="K1656" s="27" t="e">
        <f t="shared" si="205"/>
        <v>#NUM!</v>
      </c>
    </row>
    <row r="1657" spans="1:11">
      <c r="A1657" s="26">
        <v>1607</v>
      </c>
      <c r="B1657" s="82">
        <f t="shared" si="206"/>
        <v>3.2921237647087764E-4</v>
      </c>
      <c r="C1657" s="58">
        <f t="shared" si="202"/>
        <v>42.831639199076406</v>
      </c>
      <c r="D1657" s="83">
        <f t="shared" si="207"/>
        <v>181.47365970299086</v>
      </c>
      <c r="E1657">
        <f t="shared" si="203"/>
        <v>10.841885821174882</v>
      </c>
      <c r="G1657">
        <v>1607</v>
      </c>
      <c r="H1657" s="13">
        <f t="shared" si="208"/>
        <v>5.1608656820917531E-2</v>
      </c>
      <c r="I1657">
        <f t="shared" si="209"/>
        <v>125.23770642129919</v>
      </c>
      <c r="J1657" t="e">
        <f t="shared" si="204"/>
        <v>#NUM!</v>
      </c>
      <c r="K1657" s="27" t="e">
        <f t="shared" si="205"/>
        <v>#NUM!</v>
      </c>
    </row>
    <row r="1658" spans="1:11">
      <c r="A1658" s="26">
        <v>1608</v>
      </c>
      <c r="B1658" s="82">
        <f t="shared" si="206"/>
        <v>3.2921237647087764E-4</v>
      </c>
      <c r="C1658" s="58">
        <f t="shared" si="202"/>
        <v>42.831968411452877</v>
      </c>
      <c r="D1658" s="83">
        <f t="shared" si="207"/>
        <v>181.47427830243311</v>
      </c>
      <c r="E1658">
        <f t="shared" si="203"/>
        <v>10.841959734325483</v>
      </c>
      <c r="G1658">
        <v>1608</v>
      </c>
      <c r="H1658" s="13">
        <f t="shared" si="208"/>
        <v>5.1608656820917531E-2</v>
      </c>
      <c r="I1658">
        <f t="shared" si="209"/>
        <v>125.28931507812011</v>
      </c>
      <c r="J1658" t="e">
        <f t="shared" si="204"/>
        <v>#NUM!</v>
      </c>
      <c r="K1658" s="27" t="e">
        <f t="shared" si="205"/>
        <v>#NUM!</v>
      </c>
    </row>
    <row r="1659" spans="1:11">
      <c r="A1659" s="26">
        <v>1609</v>
      </c>
      <c r="B1659" s="82">
        <f t="shared" si="206"/>
        <v>3.2921237647087764E-4</v>
      </c>
      <c r="C1659" s="58">
        <f t="shared" si="202"/>
        <v>42.832297623829348</v>
      </c>
      <c r="D1659" s="83">
        <f t="shared" si="207"/>
        <v>181.47489687613231</v>
      </c>
      <c r="E1659">
        <f t="shared" si="203"/>
        <v>10.842033644652204</v>
      </c>
      <c r="G1659">
        <v>1609</v>
      </c>
      <c r="H1659" s="13">
        <f t="shared" si="208"/>
        <v>5.1608656820917531E-2</v>
      </c>
      <c r="I1659">
        <f t="shared" si="209"/>
        <v>125.34092373494103</v>
      </c>
      <c r="J1659" t="e">
        <f t="shared" si="204"/>
        <v>#NUM!</v>
      </c>
      <c r="K1659" s="27" t="e">
        <f t="shared" si="205"/>
        <v>#NUM!</v>
      </c>
    </row>
    <row r="1660" spans="1:11">
      <c r="A1660" s="26">
        <v>1610</v>
      </c>
      <c r="B1660" s="82">
        <f t="shared" si="206"/>
        <v>3.2921237647087764E-4</v>
      </c>
      <c r="C1660" s="58">
        <f t="shared" si="202"/>
        <v>42.832626836205819</v>
      </c>
      <c r="D1660" s="83">
        <f t="shared" si="207"/>
        <v>181.47551542409096</v>
      </c>
      <c r="E1660">
        <f t="shared" si="203"/>
        <v>10.842107552155303</v>
      </c>
      <c r="G1660">
        <v>1610</v>
      </c>
      <c r="H1660" s="13">
        <f t="shared" si="208"/>
        <v>5.1608656820917531E-2</v>
      </c>
      <c r="I1660">
        <f t="shared" si="209"/>
        <v>125.39253239176195</v>
      </c>
      <c r="J1660" t="e">
        <f t="shared" si="204"/>
        <v>#NUM!</v>
      </c>
      <c r="K1660" s="27" t="e">
        <f t="shared" si="205"/>
        <v>#NUM!</v>
      </c>
    </row>
    <row r="1661" spans="1:11">
      <c r="A1661" s="26">
        <v>1611</v>
      </c>
      <c r="B1661" s="82">
        <f t="shared" si="206"/>
        <v>3.2921237647087764E-4</v>
      </c>
      <c r="C1661" s="58">
        <f t="shared" si="202"/>
        <v>42.83295604858229</v>
      </c>
      <c r="D1661" s="83">
        <f t="shared" si="207"/>
        <v>181.47613394631156</v>
      </c>
      <c r="E1661">
        <f t="shared" si="203"/>
        <v>10.842181456835055</v>
      </c>
      <c r="G1661">
        <v>1611</v>
      </c>
      <c r="H1661" s="13">
        <f t="shared" si="208"/>
        <v>5.1608656820917531E-2</v>
      </c>
      <c r="I1661">
        <f t="shared" si="209"/>
        <v>125.44414104858286</v>
      </c>
      <c r="J1661" t="e">
        <f t="shared" si="204"/>
        <v>#NUM!</v>
      </c>
      <c r="K1661" s="27" t="e">
        <f t="shared" si="205"/>
        <v>#NUM!</v>
      </c>
    </row>
    <row r="1662" spans="1:11">
      <c r="A1662" s="26">
        <v>1612</v>
      </c>
      <c r="B1662" s="82">
        <f t="shared" si="206"/>
        <v>3.2921237647087764E-4</v>
      </c>
      <c r="C1662" s="58">
        <f t="shared" si="202"/>
        <v>42.83328526095876</v>
      </c>
      <c r="D1662" s="83">
        <f t="shared" si="207"/>
        <v>181.47675244279662</v>
      </c>
      <c r="E1662">
        <f t="shared" si="203"/>
        <v>10.842255358691725</v>
      </c>
      <c r="G1662">
        <v>1612</v>
      </c>
      <c r="H1662" s="13">
        <f t="shared" si="208"/>
        <v>5.1608656820917531E-2</v>
      </c>
      <c r="I1662">
        <f t="shared" si="209"/>
        <v>125.49574970540378</v>
      </c>
      <c r="J1662" t="e">
        <f t="shared" si="204"/>
        <v>#NUM!</v>
      </c>
      <c r="K1662" s="27" t="e">
        <f t="shared" si="205"/>
        <v>#NUM!</v>
      </c>
    </row>
    <row r="1663" spans="1:11">
      <c r="A1663" s="26">
        <v>1613</v>
      </c>
      <c r="B1663" s="82">
        <f t="shared" si="206"/>
        <v>3.2921237647087764E-4</v>
      </c>
      <c r="C1663" s="58">
        <f t="shared" si="202"/>
        <v>42.833614473335231</v>
      </c>
      <c r="D1663" s="83">
        <f t="shared" si="207"/>
        <v>181.47737091354864</v>
      </c>
      <c r="E1663">
        <f t="shared" si="203"/>
        <v>10.842329257725581</v>
      </c>
      <c r="G1663">
        <v>1613</v>
      </c>
      <c r="H1663" s="13">
        <f t="shared" si="208"/>
        <v>5.1608656820917531E-2</v>
      </c>
      <c r="I1663">
        <f t="shared" si="209"/>
        <v>125.5473583622247</v>
      </c>
      <c r="J1663" t="e">
        <f t="shared" si="204"/>
        <v>#NUM!</v>
      </c>
      <c r="K1663" s="27" t="e">
        <f t="shared" si="205"/>
        <v>#NUM!</v>
      </c>
    </row>
    <row r="1664" spans="1:11">
      <c r="A1664" s="26">
        <v>1614</v>
      </c>
      <c r="B1664" s="82">
        <f t="shared" si="206"/>
        <v>3.2921237647087764E-4</v>
      </c>
      <c r="C1664" s="58">
        <f t="shared" si="202"/>
        <v>42.833943685711702</v>
      </c>
      <c r="D1664" s="83">
        <f t="shared" si="207"/>
        <v>181.47798935857014</v>
      </c>
      <c r="E1664">
        <f t="shared" si="203"/>
        <v>10.842403153936893</v>
      </c>
      <c r="G1664">
        <v>1614</v>
      </c>
      <c r="H1664" s="13">
        <f t="shared" si="208"/>
        <v>5.1608656820917531E-2</v>
      </c>
      <c r="I1664">
        <f t="shared" si="209"/>
        <v>125.59896701904562</v>
      </c>
      <c r="J1664" t="e">
        <f t="shared" si="204"/>
        <v>#NUM!</v>
      </c>
      <c r="K1664" s="27" t="e">
        <f t="shared" si="205"/>
        <v>#NUM!</v>
      </c>
    </row>
    <row r="1665" spans="1:11">
      <c r="A1665" s="26">
        <v>1615</v>
      </c>
      <c r="B1665" s="82">
        <f t="shared" si="206"/>
        <v>3.2921237647087764E-4</v>
      </c>
      <c r="C1665" s="58">
        <f t="shared" si="202"/>
        <v>42.834272898088173</v>
      </c>
      <c r="D1665" s="83">
        <f t="shared" si="207"/>
        <v>181.4786077778636</v>
      </c>
      <c r="E1665">
        <f t="shared" si="203"/>
        <v>10.842477047325927</v>
      </c>
      <c r="G1665">
        <v>1615</v>
      </c>
      <c r="H1665" s="13">
        <f t="shared" si="208"/>
        <v>5.1608656820917531E-2</v>
      </c>
      <c r="I1665">
        <f t="shared" si="209"/>
        <v>125.65057567586653</v>
      </c>
      <c r="J1665" t="e">
        <f t="shared" si="204"/>
        <v>#NUM!</v>
      </c>
      <c r="K1665" s="27" t="e">
        <f t="shared" si="205"/>
        <v>#NUM!</v>
      </c>
    </row>
    <row r="1666" spans="1:11">
      <c r="A1666" s="26">
        <v>1616</v>
      </c>
      <c r="B1666" s="82">
        <f t="shared" si="206"/>
        <v>3.2921237647087764E-4</v>
      </c>
      <c r="C1666" s="58">
        <f t="shared" si="202"/>
        <v>42.834602110464644</v>
      </c>
      <c r="D1666" s="83">
        <f t="shared" si="207"/>
        <v>181.47922617143155</v>
      </c>
      <c r="E1666">
        <f t="shared" si="203"/>
        <v>10.842550937892947</v>
      </c>
      <c r="G1666">
        <v>1616</v>
      </c>
      <c r="H1666" s="13">
        <f t="shared" si="208"/>
        <v>5.1608656820917531E-2</v>
      </c>
      <c r="I1666">
        <f t="shared" si="209"/>
        <v>125.70218433268745</v>
      </c>
      <c r="J1666" t="e">
        <f t="shared" si="204"/>
        <v>#NUM!</v>
      </c>
      <c r="K1666" s="27" t="e">
        <f t="shared" si="205"/>
        <v>#NUM!</v>
      </c>
    </row>
    <row r="1667" spans="1:11">
      <c r="A1667" s="26">
        <v>1617</v>
      </c>
      <c r="B1667" s="82">
        <f t="shared" si="206"/>
        <v>3.2921237647087764E-4</v>
      </c>
      <c r="C1667" s="58">
        <f t="shared" si="202"/>
        <v>42.834931322841115</v>
      </c>
      <c r="D1667" s="83">
        <f t="shared" si="207"/>
        <v>181.47984453927643</v>
      </c>
      <c r="E1667">
        <f t="shared" si="203"/>
        <v>10.842624825638225</v>
      </c>
      <c r="G1667">
        <v>1617</v>
      </c>
      <c r="H1667" s="13">
        <f t="shared" si="208"/>
        <v>5.1608656820917531E-2</v>
      </c>
      <c r="I1667">
        <f t="shared" si="209"/>
        <v>125.75379298950837</v>
      </c>
      <c r="J1667" t="e">
        <f t="shared" si="204"/>
        <v>#NUM!</v>
      </c>
      <c r="K1667" s="27" t="e">
        <f t="shared" si="205"/>
        <v>#NUM!</v>
      </c>
    </row>
    <row r="1668" spans="1:11">
      <c r="A1668" s="26">
        <v>1618</v>
      </c>
      <c r="B1668" s="82">
        <f t="shared" si="206"/>
        <v>3.2921237647087764E-4</v>
      </c>
      <c r="C1668" s="58">
        <f t="shared" si="202"/>
        <v>42.835260535217586</v>
      </c>
      <c r="D1668" s="83">
        <f t="shared" si="207"/>
        <v>181.48046288140083</v>
      </c>
      <c r="E1668">
        <f t="shared" si="203"/>
        <v>10.842698710562027</v>
      </c>
      <c r="G1668">
        <v>1618</v>
      </c>
      <c r="H1668" s="13">
        <f t="shared" si="208"/>
        <v>5.1608656820917531E-2</v>
      </c>
      <c r="I1668">
        <f t="shared" si="209"/>
        <v>125.80540164632929</v>
      </c>
      <c r="J1668" t="e">
        <f t="shared" si="204"/>
        <v>#NUM!</v>
      </c>
      <c r="K1668" s="27" t="e">
        <f t="shared" si="205"/>
        <v>#NUM!</v>
      </c>
    </row>
    <row r="1669" spans="1:11">
      <c r="A1669" s="26">
        <v>1619</v>
      </c>
      <c r="B1669" s="82">
        <f t="shared" si="206"/>
        <v>3.2921237647087764E-4</v>
      </c>
      <c r="C1669" s="58">
        <f t="shared" si="202"/>
        <v>42.835589747594057</v>
      </c>
      <c r="D1669" s="83">
        <f t="shared" si="207"/>
        <v>181.48108119780716</v>
      </c>
      <c r="E1669">
        <f t="shared" si="203"/>
        <v>10.842772592664618</v>
      </c>
      <c r="G1669">
        <v>1619</v>
      </c>
      <c r="H1669" s="13">
        <f t="shared" si="208"/>
        <v>5.1608656820917531E-2</v>
      </c>
      <c r="I1669">
        <f t="shared" si="209"/>
        <v>125.8570103031502</v>
      </c>
      <c r="J1669" t="e">
        <f t="shared" si="204"/>
        <v>#NUM!</v>
      </c>
      <c r="K1669" s="27" t="e">
        <f t="shared" si="205"/>
        <v>#NUM!</v>
      </c>
    </row>
    <row r="1670" spans="1:11">
      <c r="A1670" s="26">
        <v>1620</v>
      </c>
      <c r="B1670" s="82">
        <f t="shared" si="206"/>
        <v>3.2921237647087764E-4</v>
      </c>
      <c r="C1670" s="58">
        <f t="shared" si="202"/>
        <v>42.835918959970527</v>
      </c>
      <c r="D1670" s="83">
        <f t="shared" si="207"/>
        <v>181.48169948849798</v>
      </c>
      <c r="E1670">
        <f t="shared" si="203"/>
        <v>10.842846471946272</v>
      </c>
      <c r="G1670">
        <v>1620</v>
      </c>
      <c r="H1670" s="13">
        <f t="shared" si="208"/>
        <v>5.1608656820917531E-2</v>
      </c>
      <c r="I1670">
        <f t="shared" si="209"/>
        <v>125.90861895997112</v>
      </c>
      <c r="J1670" t="e">
        <f t="shared" si="204"/>
        <v>#NUM!</v>
      </c>
      <c r="K1670" s="27" t="e">
        <f t="shared" si="205"/>
        <v>#NUM!</v>
      </c>
    </row>
    <row r="1671" spans="1:11">
      <c r="A1671" s="26">
        <v>1621</v>
      </c>
      <c r="B1671" s="82">
        <f t="shared" si="206"/>
        <v>3.2921237647087764E-4</v>
      </c>
      <c r="C1671" s="58">
        <f t="shared" si="202"/>
        <v>42.836248172346998</v>
      </c>
      <c r="D1671" s="83">
        <f t="shared" si="207"/>
        <v>181.4823177534758</v>
      </c>
      <c r="E1671">
        <f t="shared" si="203"/>
        <v>10.842920348407253</v>
      </c>
      <c r="G1671">
        <v>1621</v>
      </c>
      <c r="H1671" s="13">
        <f t="shared" si="208"/>
        <v>5.1608656820917531E-2</v>
      </c>
      <c r="I1671">
        <f t="shared" si="209"/>
        <v>125.96022761679204</v>
      </c>
      <c r="J1671" t="e">
        <f t="shared" si="204"/>
        <v>#NUM!</v>
      </c>
      <c r="K1671" s="27" t="e">
        <f t="shared" si="205"/>
        <v>#NUM!</v>
      </c>
    </row>
    <row r="1672" spans="1:11">
      <c r="A1672" s="26">
        <v>1622</v>
      </c>
      <c r="B1672" s="82">
        <f t="shared" si="206"/>
        <v>3.2921237647087764E-4</v>
      </c>
      <c r="C1672" s="58">
        <f t="shared" si="202"/>
        <v>42.836577384723469</v>
      </c>
      <c r="D1672" s="83">
        <f t="shared" si="207"/>
        <v>181.48293599274305</v>
      </c>
      <c r="E1672">
        <f t="shared" si="203"/>
        <v>10.842994222047821</v>
      </c>
      <c r="G1672">
        <v>1622</v>
      </c>
      <c r="H1672" s="13">
        <f t="shared" si="208"/>
        <v>5.1608656820917531E-2</v>
      </c>
      <c r="I1672">
        <f t="shared" si="209"/>
        <v>126.01183627361296</v>
      </c>
      <c r="J1672" t="e">
        <f t="shared" si="204"/>
        <v>#NUM!</v>
      </c>
      <c r="K1672" s="27" t="e">
        <f t="shared" si="205"/>
        <v>#NUM!</v>
      </c>
    </row>
    <row r="1673" spans="1:11">
      <c r="A1673" s="26">
        <v>1623</v>
      </c>
      <c r="B1673" s="82">
        <f t="shared" si="206"/>
        <v>3.2921237647087764E-4</v>
      </c>
      <c r="C1673" s="58">
        <f t="shared" si="202"/>
        <v>42.83690659709994</v>
      </c>
      <c r="D1673" s="83">
        <f t="shared" si="207"/>
        <v>181.48355420630227</v>
      </c>
      <c r="E1673">
        <f t="shared" si="203"/>
        <v>10.843068092868251</v>
      </c>
      <c r="G1673">
        <v>1623</v>
      </c>
      <c r="H1673" s="13">
        <f t="shared" si="208"/>
        <v>5.1608656820917531E-2</v>
      </c>
      <c r="I1673">
        <f t="shared" si="209"/>
        <v>126.06344493043387</v>
      </c>
      <c r="J1673" t="e">
        <f t="shared" si="204"/>
        <v>#NUM!</v>
      </c>
      <c r="K1673" s="27" t="e">
        <f t="shared" si="205"/>
        <v>#NUM!</v>
      </c>
    </row>
    <row r="1674" spans="1:11">
      <c r="A1674" s="26">
        <v>1624</v>
      </c>
      <c r="B1674" s="82">
        <f t="shared" si="206"/>
        <v>3.2921237647087764E-4</v>
      </c>
      <c r="C1674" s="58">
        <f t="shared" si="202"/>
        <v>42.837235809476411</v>
      </c>
      <c r="D1674" s="83">
        <f t="shared" si="207"/>
        <v>181.48417239415599</v>
      </c>
      <c r="E1674">
        <f t="shared" si="203"/>
        <v>10.843141960868808</v>
      </c>
      <c r="G1674">
        <v>1624</v>
      </c>
      <c r="H1674" s="13">
        <f t="shared" si="208"/>
        <v>5.1608656820917531E-2</v>
      </c>
      <c r="I1674">
        <f t="shared" si="209"/>
        <v>126.11505358725479</v>
      </c>
      <c r="J1674" t="e">
        <f t="shared" si="204"/>
        <v>#NUM!</v>
      </c>
      <c r="K1674" s="27" t="e">
        <f t="shared" si="205"/>
        <v>#NUM!</v>
      </c>
    </row>
    <row r="1675" spans="1:11">
      <c r="A1675" s="26">
        <v>1625</v>
      </c>
      <c r="B1675" s="82">
        <f t="shared" si="206"/>
        <v>3.2921237647087764E-4</v>
      </c>
      <c r="C1675" s="58">
        <f t="shared" si="202"/>
        <v>42.837565021852882</v>
      </c>
      <c r="D1675" s="83">
        <f t="shared" si="207"/>
        <v>181.48479055630665</v>
      </c>
      <c r="E1675">
        <f t="shared" si="203"/>
        <v>10.843215826049763</v>
      </c>
      <c r="G1675">
        <v>1625</v>
      </c>
      <c r="H1675" s="13">
        <f t="shared" si="208"/>
        <v>5.1608656820917531E-2</v>
      </c>
      <c r="I1675">
        <f t="shared" si="209"/>
        <v>126.16666224407571</v>
      </c>
      <c r="J1675" t="e">
        <f t="shared" si="204"/>
        <v>#NUM!</v>
      </c>
      <c r="K1675" s="27" t="e">
        <f t="shared" si="205"/>
        <v>#NUM!</v>
      </c>
    </row>
    <row r="1676" spans="1:11">
      <c r="A1676" s="26">
        <v>1626</v>
      </c>
      <c r="B1676" s="82">
        <f t="shared" si="206"/>
        <v>3.2921237647087764E-4</v>
      </c>
      <c r="C1676" s="58">
        <f t="shared" si="202"/>
        <v>42.837894234229353</v>
      </c>
      <c r="D1676" s="83">
        <f t="shared" si="207"/>
        <v>181.48540869275678</v>
      </c>
      <c r="E1676">
        <f t="shared" si="203"/>
        <v>10.843289688411373</v>
      </c>
      <c r="G1676">
        <v>1626</v>
      </c>
      <c r="H1676" s="13">
        <f t="shared" si="208"/>
        <v>5.1608656820917531E-2</v>
      </c>
      <c r="I1676">
        <f t="shared" si="209"/>
        <v>126.21827090089663</v>
      </c>
      <c r="J1676" t="e">
        <f t="shared" si="204"/>
        <v>#NUM!</v>
      </c>
      <c r="K1676" s="27" t="e">
        <f t="shared" si="205"/>
        <v>#NUM!</v>
      </c>
    </row>
    <row r="1677" spans="1:11">
      <c r="A1677" s="26">
        <v>1627</v>
      </c>
      <c r="B1677" s="82">
        <f t="shared" si="206"/>
        <v>3.2921237647087764E-4</v>
      </c>
      <c r="C1677" s="58">
        <f t="shared" si="202"/>
        <v>42.838223446605824</v>
      </c>
      <c r="D1677" s="83">
        <f t="shared" si="207"/>
        <v>181.48602680350888</v>
      </c>
      <c r="E1677">
        <f t="shared" si="203"/>
        <v>10.843363547953915</v>
      </c>
      <c r="G1677">
        <v>1627</v>
      </c>
      <c r="H1677" s="13">
        <f t="shared" si="208"/>
        <v>5.1608656820917531E-2</v>
      </c>
      <c r="I1677">
        <f t="shared" si="209"/>
        <v>126.26987955771754</v>
      </c>
      <c r="J1677" t="e">
        <f t="shared" si="204"/>
        <v>#NUM!</v>
      </c>
      <c r="K1677" s="27" t="e">
        <f t="shared" si="205"/>
        <v>#NUM!</v>
      </c>
    </row>
    <row r="1678" spans="1:11">
      <c r="A1678" s="26">
        <v>1628</v>
      </c>
      <c r="B1678" s="82">
        <f t="shared" si="206"/>
        <v>3.2921237647087764E-4</v>
      </c>
      <c r="C1678" s="58">
        <f t="shared" si="202"/>
        <v>42.838552658982294</v>
      </c>
      <c r="D1678" s="83">
        <f t="shared" si="207"/>
        <v>181.48664488856545</v>
      </c>
      <c r="E1678">
        <f t="shared" si="203"/>
        <v>10.843437404677653</v>
      </c>
      <c r="G1678">
        <v>1628</v>
      </c>
      <c r="H1678" s="13">
        <f t="shared" si="208"/>
        <v>5.1608656820917531E-2</v>
      </c>
      <c r="I1678">
        <f t="shared" si="209"/>
        <v>126.32148821453846</v>
      </c>
      <c r="J1678" t="e">
        <f t="shared" si="204"/>
        <v>#NUM!</v>
      </c>
      <c r="K1678" s="27" t="e">
        <f t="shared" si="205"/>
        <v>#NUM!</v>
      </c>
    </row>
    <row r="1679" spans="1:11">
      <c r="A1679" s="26">
        <v>1629</v>
      </c>
      <c r="B1679" s="82">
        <f t="shared" si="206"/>
        <v>3.2921237647087764E-4</v>
      </c>
      <c r="C1679" s="58">
        <f t="shared" si="202"/>
        <v>42.838881871358765</v>
      </c>
      <c r="D1679" s="83">
        <f t="shared" si="207"/>
        <v>181.48726294792894</v>
      </c>
      <c r="E1679">
        <f t="shared" si="203"/>
        <v>10.843511258582852</v>
      </c>
      <c r="G1679">
        <v>1629</v>
      </c>
      <c r="H1679" s="13">
        <f t="shared" si="208"/>
        <v>5.1608656820917531E-2</v>
      </c>
      <c r="I1679">
        <f t="shared" si="209"/>
        <v>126.37309687135938</v>
      </c>
      <c r="J1679" t="e">
        <f t="shared" si="204"/>
        <v>#NUM!</v>
      </c>
      <c r="K1679" s="27" t="e">
        <f t="shared" si="205"/>
        <v>#NUM!</v>
      </c>
    </row>
    <row r="1680" spans="1:11">
      <c r="A1680" s="26">
        <v>1630</v>
      </c>
      <c r="B1680" s="82">
        <f t="shared" si="206"/>
        <v>3.2921237647087764E-4</v>
      </c>
      <c r="C1680" s="58">
        <f t="shared" ref="C1680:C1743" si="210">($C$37-$C$36)/2000+C1679</f>
        <v>42.839211083735236</v>
      </c>
      <c r="D1680" s="83">
        <f t="shared" si="207"/>
        <v>181.4878809816019</v>
      </c>
      <c r="E1680">
        <f t="shared" si="203"/>
        <v>10.84358510966978</v>
      </c>
      <c r="G1680">
        <v>1630</v>
      </c>
      <c r="H1680" s="13">
        <f t="shared" si="208"/>
        <v>5.1608656820917531E-2</v>
      </c>
      <c r="I1680">
        <f t="shared" si="209"/>
        <v>126.4247055281803</v>
      </c>
      <c r="J1680" t="e">
        <f t="shared" si="204"/>
        <v>#NUM!</v>
      </c>
      <c r="K1680" s="27" t="e">
        <f t="shared" si="205"/>
        <v>#NUM!</v>
      </c>
    </row>
    <row r="1681" spans="1:11">
      <c r="A1681" s="26">
        <v>1631</v>
      </c>
      <c r="B1681" s="82">
        <f t="shared" si="206"/>
        <v>3.2921237647087764E-4</v>
      </c>
      <c r="C1681" s="58">
        <f t="shared" si="210"/>
        <v>42.839540296111707</v>
      </c>
      <c r="D1681" s="83">
        <f t="shared" si="207"/>
        <v>181.48849898958682</v>
      </c>
      <c r="E1681">
        <f t="shared" si="203"/>
        <v>10.843658957938707</v>
      </c>
      <c r="G1681">
        <v>1631</v>
      </c>
      <c r="H1681" s="13">
        <f t="shared" si="208"/>
        <v>5.1608656820917531E-2</v>
      </c>
      <c r="I1681">
        <f t="shared" si="209"/>
        <v>126.47631418500121</v>
      </c>
      <c r="J1681" t="e">
        <f t="shared" si="204"/>
        <v>#NUM!</v>
      </c>
      <c r="K1681" s="27" t="e">
        <f t="shared" si="205"/>
        <v>#NUM!</v>
      </c>
    </row>
    <row r="1682" spans="1:11">
      <c r="A1682" s="26">
        <v>1632</v>
      </c>
      <c r="B1682" s="82">
        <f t="shared" si="206"/>
        <v>3.2921237647087764E-4</v>
      </c>
      <c r="C1682" s="58">
        <f t="shared" si="210"/>
        <v>42.839869508488178</v>
      </c>
      <c r="D1682" s="83">
        <f t="shared" si="207"/>
        <v>181.48911697188615</v>
      </c>
      <c r="E1682">
        <f t="shared" si="203"/>
        <v>10.843732803389893</v>
      </c>
      <c r="G1682">
        <v>1632</v>
      </c>
      <c r="H1682" s="13">
        <f t="shared" si="208"/>
        <v>5.1608656820917531E-2</v>
      </c>
      <c r="I1682">
        <f t="shared" si="209"/>
        <v>126.52792284182213</v>
      </c>
      <c r="J1682" t="e">
        <f t="shared" si="204"/>
        <v>#NUM!</v>
      </c>
      <c r="K1682" s="27" t="e">
        <f t="shared" si="205"/>
        <v>#NUM!</v>
      </c>
    </row>
    <row r="1683" spans="1:11">
      <c r="A1683" s="26">
        <v>1633</v>
      </c>
      <c r="B1683" s="82">
        <f t="shared" si="206"/>
        <v>3.2921237647087764E-4</v>
      </c>
      <c r="C1683" s="58">
        <f t="shared" si="210"/>
        <v>42.840198720864649</v>
      </c>
      <c r="D1683" s="83">
        <f t="shared" si="207"/>
        <v>181.48973492850243</v>
      </c>
      <c r="E1683">
        <f t="shared" si="203"/>
        <v>10.84380664602361</v>
      </c>
      <c r="G1683">
        <v>1633</v>
      </c>
      <c r="H1683" s="13">
        <f t="shared" si="208"/>
        <v>5.1608656820917531E-2</v>
      </c>
      <c r="I1683">
        <f t="shared" si="209"/>
        <v>126.57953149864305</v>
      </c>
      <c r="J1683" t="e">
        <f t="shared" si="204"/>
        <v>#NUM!</v>
      </c>
      <c r="K1683" s="27" t="e">
        <f t="shared" si="205"/>
        <v>#NUM!</v>
      </c>
    </row>
    <row r="1684" spans="1:11">
      <c r="A1684" s="26">
        <v>1634</v>
      </c>
      <c r="B1684" s="82">
        <f t="shared" si="206"/>
        <v>3.2921237647087764E-4</v>
      </c>
      <c r="C1684" s="58">
        <f t="shared" si="210"/>
        <v>42.84052793324112</v>
      </c>
      <c r="D1684" s="83">
        <f t="shared" si="207"/>
        <v>181.49035285943813</v>
      </c>
      <c r="E1684">
        <f t="shared" si="203"/>
        <v>10.843880485840122</v>
      </c>
      <c r="G1684">
        <v>1634</v>
      </c>
      <c r="H1684" s="13">
        <f t="shared" si="208"/>
        <v>5.1608656820917531E-2</v>
      </c>
      <c r="I1684">
        <f t="shared" si="209"/>
        <v>126.63114015546397</v>
      </c>
      <c r="J1684" t="e">
        <f t="shared" si="204"/>
        <v>#NUM!</v>
      </c>
      <c r="K1684" s="27" t="e">
        <f t="shared" si="205"/>
        <v>#NUM!</v>
      </c>
    </row>
    <row r="1685" spans="1:11">
      <c r="A1685" s="26">
        <v>1635</v>
      </c>
      <c r="B1685" s="82">
        <f t="shared" si="206"/>
        <v>3.2921237647087764E-4</v>
      </c>
      <c r="C1685" s="58">
        <f t="shared" si="210"/>
        <v>42.840857145617591</v>
      </c>
      <c r="D1685" s="83">
        <f t="shared" si="207"/>
        <v>181.49097076469576</v>
      </c>
      <c r="E1685">
        <f t="shared" si="203"/>
        <v>10.843954322839695</v>
      </c>
      <c r="G1685">
        <v>1635</v>
      </c>
      <c r="H1685" s="13">
        <f t="shared" si="208"/>
        <v>5.1608656820917531E-2</v>
      </c>
      <c r="I1685">
        <f t="shared" si="209"/>
        <v>126.68274881228488</v>
      </c>
      <c r="J1685" t="e">
        <f t="shared" si="204"/>
        <v>#NUM!</v>
      </c>
      <c r="K1685" s="27" t="e">
        <f t="shared" si="205"/>
        <v>#NUM!</v>
      </c>
    </row>
    <row r="1686" spans="1:11">
      <c r="A1686" s="26">
        <v>1636</v>
      </c>
      <c r="B1686" s="82">
        <f t="shared" si="206"/>
        <v>3.2921237647087764E-4</v>
      </c>
      <c r="C1686" s="58">
        <f t="shared" si="210"/>
        <v>42.841186357994061</v>
      </c>
      <c r="D1686" s="83">
        <f t="shared" si="207"/>
        <v>181.49158864427778</v>
      </c>
      <c r="E1686">
        <f t="shared" si="203"/>
        <v>10.844028157022599</v>
      </c>
      <c r="G1686">
        <v>1636</v>
      </c>
      <c r="H1686" s="13">
        <f t="shared" si="208"/>
        <v>5.1608656820917531E-2</v>
      </c>
      <c r="I1686">
        <f t="shared" si="209"/>
        <v>126.7343574691058</v>
      </c>
      <c r="J1686" t="e">
        <f t="shared" si="204"/>
        <v>#NUM!</v>
      </c>
      <c r="K1686" s="27" t="e">
        <f t="shared" si="205"/>
        <v>#NUM!</v>
      </c>
    </row>
    <row r="1687" spans="1:11">
      <c r="A1687" s="26">
        <v>1637</v>
      </c>
      <c r="B1687" s="82">
        <f t="shared" si="206"/>
        <v>3.2921237647087764E-4</v>
      </c>
      <c r="C1687" s="58">
        <f t="shared" si="210"/>
        <v>42.841515570370532</v>
      </c>
      <c r="D1687" s="83">
        <f t="shared" si="207"/>
        <v>181.49220649818676</v>
      </c>
      <c r="E1687">
        <f t="shared" si="203"/>
        <v>10.844101988389101</v>
      </c>
      <c r="G1687">
        <v>1637</v>
      </c>
      <c r="H1687" s="13">
        <f t="shared" si="208"/>
        <v>5.1608656820917531E-2</v>
      </c>
      <c r="I1687">
        <f t="shared" si="209"/>
        <v>126.78596612592672</v>
      </c>
      <c r="J1687" t="e">
        <f t="shared" si="204"/>
        <v>#NUM!</v>
      </c>
      <c r="K1687" s="27" t="e">
        <f t="shared" si="205"/>
        <v>#NUM!</v>
      </c>
    </row>
    <row r="1688" spans="1:11">
      <c r="A1688" s="26">
        <v>1638</v>
      </c>
      <c r="B1688" s="82">
        <f t="shared" si="206"/>
        <v>3.2921237647087764E-4</v>
      </c>
      <c r="C1688" s="58">
        <f t="shared" si="210"/>
        <v>42.841844782747003</v>
      </c>
      <c r="D1688" s="83">
        <f t="shared" si="207"/>
        <v>181.49282432642511</v>
      </c>
      <c r="E1688">
        <f t="shared" si="203"/>
        <v>10.844175816939462</v>
      </c>
      <c r="G1688">
        <v>1638</v>
      </c>
      <c r="H1688" s="13">
        <f t="shared" si="208"/>
        <v>5.1608656820917531E-2</v>
      </c>
      <c r="I1688">
        <f t="shared" si="209"/>
        <v>126.83757478274764</v>
      </c>
      <c r="J1688" t="e">
        <f t="shared" si="204"/>
        <v>#NUM!</v>
      </c>
      <c r="K1688" s="27" t="e">
        <f t="shared" si="205"/>
        <v>#NUM!</v>
      </c>
    </row>
    <row r="1689" spans="1:11">
      <c r="A1689" s="26">
        <v>1639</v>
      </c>
      <c r="B1689" s="82">
        <f t="shared" si="206"/>
        <v>3.2921237647087764E-4</v>
      </c>
      <c r="C1689" s="58">
        <f t="shared" si="210"/>
        <v>42.842173995123474</v>
      </c>
      <c r="D1689" s="83">
        <f t="shared" si="207"/>
        <v>181.49344212899535</v>
      </c>
      <c r="E1689">
        <f t="shared" si="203"/>
        <v>10.844249642673951</v>
      </c>
      <c r="G1689">
        <v>1639</v>
      </c>
      <c r="H1689" s="13">
        <f t="shared" si="208"/>
        <v>5.1608656820917531E-2</v>
      </c>
      <c r="I1689">
        <f t="shared" si="209"/>
        <v>126.88918343956855</v>
      </c>
      <c r="J1689" t="e">
        <f t="shared" si="204"/>
        <v>#NUM!</v>
      </c>
      <c r="K1689" s="27" t="e">
        <f t="shared" si="205"/>
        <v>#NUM!</v>
      </c>
    </row>
    <row r="1690" spans="1:11">
      <c r="A1690" s="26">
        <v>1640</v>
      </c>
      <c r="B1690" s="82">
        <f t="shared" si="206"/>
        <v>3.2921237647087764E-4</v>
      </c>
      <c r="C1690" s="58">
        <f t="shared" si="210"/>
        <v>42.842503207499945</v>
      </c>
      <c r="D1690" s="83">
        <f t="shared" si="207"/>
        <v>181.49405990589997</v>
      </c>
      <c r="E1690">
        <f t="shared" si="203"/>
        <v>10.844323465592836</v>
      </c>
      <c r="G1690">
        <v>1640</v>
      </c>
      <c r="H1690" s="13">
        <f t="shared" si="208"/>
        <v>5.1608656820917531E-2</v>
      </c>
      <c r="I1690">
        <f t="shared" si="209"/>
        <v>126.94079209638947</v>
      </c>
      <c r="J1690" t="e">
        <f t="shared" si="204"/>
        <v>#NUM!</v>
      </c>
      <c r="K1690" s="27" t="e">
        <f t="shared" si="205"/>
        <v>#NUM!</v>
      </c>
    </row>
    <row r="1691" spans="1:11">
      <c r="A1691" s="26">
        <v>1641</v>
      </c>
      <c r="B1691" s="82">
        <f t="shared" si="206"/>
        <v>3.2921237647087764E-4</v>
      </c>
      <c r="C1691" s="58">
        <f t="shared" si="210"/>
        <v>42.842832419876416</v>
      </c>
      <c r="D1691" s="83">
        <f t="shared" si="207"/>
        <v>181.49467765714149</v>
      </c>
      <c r="E1691">
        <f t="shared" si="203"/>
        <v>10.844397285696386</v>
      </c>
      <c r="G1691">
        <v>1641</v>
      </c>
      <c r="H1691" s="13">
        <f t="shared" si="208"/>
        <v>5.1608656820917531E-2</v>
      </c>
      <c r="I1691">
        <f t="shared" si="209"/>
        <v>126.99240075321039</v>
      </c>
      <c r="J1691" t="e">
        <f t="shared" si="204"/>
        <v>#NUM!</v>
      </c>
      <c r="K1691" s="27" t="e">
        <f t="shared" si="205"/>
        <v>#NUM!</v>
      </c>
    </row>
    <row r="1692" spans="1:11">
      <c r="A1692" s="26">
        <v>1642</v>
      </c>
      <c r="B1692" s="82">
        <f t="shared" si="206"/>
        <v>3.2921237647087764E-4</v>
      </c>
      <c r="C1692" s="58">
        <f t="shared" si="210"/>
        <v>42.843161632252887</v>
      </c>
      <c r="D1692" s="83">
        <f t="shared" si="207"/>
        <v>181.49529538272236</v>
      </c>
      <c r="E1692">
        <f t="shared" si="203"/>
        <v>10.84447110298486</v>
      </c>
      <c r="G1692">
        <v>1642</v>
      </c>
      <c r="H1692" s="13">
        <f t="shared" si="208"/>
        <v>5.1608656820917531E-2</v>
      </c>
      <c r="I1692">
        <f t="shared" si="209"/>
        <v>127.04400941003131</v>
      </c>
      <c r="J1692" t="e">
        <f t="shared" si="204"/>
        <v>#NUM!</v>
      </c>
      <c r="K1692" s="27" t="e">
        <f t="shared" si="205"/>
        <v>#NUM!</v>
      </c>
    </row>
    <row r="1693" spans="1:11">
      <c r="A1693" s="26">
        <v>1643</v>
      </c>
      <c r="B1693" s="82">
        <f t="shared" si="206"/>
        <v>3.2921237647087764E-4</v>
      </c>
      <c r="C1693" s="58">
        <f t="shared" si="210"/>
        <v>42.843490844629358</v>
      </c>
      <c r="D1693" s="83">
        <f t="shared" si="207"/>
        <v>181.49591308264507</v>
      </c>
      <c r="E1693">
        <f t="shared" si="203"/>
        <v>10.844544917458528</v>
      </c>
      <c r="G1693">
        <v>1643</v>
      </c>
      <c r="H1693" s="13">
        <f t="shared" si="208"/>
        <v>5.1608656820917531E-2</v>
      </c>
      <c r="I1693">
        <f t="shared" si="209"/>
        <v>127.09561806685223</v>
      </c>
      <c r="J1693" t="e">
        <f t="shared" si="204"/>
        <v>#NUM!</v>
      </c>
      <c r="K1693" s="27" t="e">
        <f t="shared" si="205"/>
        <v>#NUM!</v>
      </c>
    </row>
    <row r="1694" spans="1:11">
      <c r="A1694" s="26">
        <v>1644</v>
      </c>
      <c r="B1694" s="82">
        <f t="shared" si="206"/>
        <v>3.2921237647087764E-4</v>
      </c>
      <c r="C1694" s="58">
        <f t="shared" si="210"/>
        <v>42.843820057005829</v>
      </c>
      <c r="D1694" s="83">
        <f t="shared" si="207"/>
        <v>181.49653075691216</v>
      </c>
      <c r="E1694">
        <f t="shared" si="203"/>
        <v>10.844618729117656</v>
      </c>
      <c r="G1694">
        <v>1644</v>
      </c>
      <c r="H1694" s="13">
        <f t="shared" si="208"/>
        <v>5.1608656820917531E-2</v>
      </c>
      <c r="I1694">
        <f t="shared" si="209"/>
        <v>127.14722672367314</v>
      </c>
      <c r="J1694" t="e">
        <f t="shared" si="204"/>
        <v>#NUM!</v>
      </c>
      <c r="K1694" s="27" t="e">
        <f t="shared" si="205"/>
        <v>#NUM!</v>
      </c>
    </row>
    <row r="1695" spans="1:11">
      <c r="A1695" s="26">
        <v>1645</v>
      </c>
      <c r="B1695" s="82">
        <f t="shared" si="206"/>
        <v>3.2921237647087764E-4</v>
      </c>
      <c r="C1695" s="58">
        <f t="shared" si="210"/>
        <v>42.844149269382299</v>
      </c>
      <c r="D1695" s="83">
        <f t="shared" si="207"/>
        <v>181.49714840552605</v>
      </c>
      <c r="E1695">
        <f t="shared" si="203"/>
        <v>10.84469253796251</v>
      </c>
      <c r="G1695">
        <v>1645</v>
      </c>
      <c r="H1695" s="13">
        <f t="shared" si="208"/>
        <v>5.1608656820917531E-2</v>
      </c>
      <c r="I1695">
        <f t="shared" si="209"/>
        <v>127.19883538049406</v>
      </c>
      <c r="J1695" t="e">
        <f t="shared" si="204"/>
        <v>#NUM!</v>
      </c>
      <c r="K1695" s="27" t="e">
        <f t="shared" si="205"/>
        <v>#NUM!</v>
      </c>
    </row>
    <row r="1696" spans="1:11">
      <c r="A1696" s="26">
        <v>1646</v>
      </c>
      <c r="B1696" s="82">
        <f t="shared" si="206"/>
        <v>3.2921237647087764E-4</v>
      </c>
      <c r="C1696" s="58">
        <f t="shared" si="210"/>
        <v>42.84447848175877</v>
      </c>
      <c r="D1696" s="83">
        <f t="shared" si="207"/>
        <v>181.49776602848928</v>
      </c>
      <c r="E1696">
        <f t="shared" si="203"/>
        <v>10.844766343993356</v>
      </c>
      <c r="G1696">
        <v>1646</v>
      </c>
      <c r="H1696" s="13">
        <f t="shared" si="208"/>
        <v>5.1608656820917531E-2</v>
      </c>
      <c r="I1696">
        <f t="shared" si="209"/>
        <v>127.25044403731498</v>
      </c>
      <c r="J1696" t="e">
        <f t="shared" si="204"/>
        <v>#NUM!</v>
      </c>
      <c r="K1696" s="27" t="e">
        <f t="shared" si="205"/>
        <v>#NUM!</v>
      </c>
    </row>
    <row r="1697" spans="1:11">
      <c r="A1697" s="26">
        <v>1647</v>
      </c>
      <c r="B1697" s="82">
        <f t="shared" si="206"/>
        <v>3.2921237647087764E-4</v>
      </c>
      <c r="C1697" s="58">
        <f t="shared" si="210"/>
        <v>42.844807694135241</v>
      </c>
      <c r="D1697" s="83">
        <f t="shared" si="207"/>
        <v>181.49838362580434</v>
      </c>
      <c r="E1697">
        <f t="shared" si="203"/>
        <v>10.844840147210464</v>
      </c>
      <c r="G1697">
        <v>1647</v>
      </c>
      <c r="H1697" s="13">
        <f t="shared" si="208"/>
        <v>5.1608656820917531E-2</v>
      </c>
      <c r="I1697">
        <f t="shared" si="209"/>
        <v>127.3020526941359</v>
      </c>
      <c r="J1697" t="e">
        <f t="shared" si="204"/>
        <v>#NUM!</v>
      </c>
      <c r="K1697" s="27" t="e">
        <f t="shared" si="205"/>
        <v>#NUM!</v>
      </c>
    </row>
    <row r="1698" spans="1:11">
      <c r="A1698" s="26">
        <v>1648</v>
      </c>
      <c r="B1698" s="82">
        <f t="shared" si="206"/>
        <v>3.2921237647087764E-4</v>
      </c>
      <c r="C1698" s="58">
        <f t="shared" si="210"/>
        <v>42.845136906511712</v>
      </c>
      <c r="D1698" s="83">
        <f t="shared" si="207"/>
        <v>181.49900119747369</v>
      </c>
      <c r="E1698">
        <f t="shared" si="203"/>
        <v>10.844913947614096</v>
      </c>
      <c r="G1698">
        <v>1648</v>
      </c>
      <c r="H1698" s="13">
        <f t="shared" si="208"/>
        <v>5.1608656820917531E-2</v>
      </c>
      <c r="I1698">
        <f t="shared" si="209"/>
        <v>127.35366135095681</v>
      </c>
      <c r="J1698" t="e">
        <f t="shared" si="204"/>
        <v>#NUM!</v>
      </c>
      <c r="K1698" s="27" t="e">
        <f t="shared" si="205"/>
        <v>#NUM!</v>
      </c>
    </row>
    <row r="1699" spans="1:11">
      <c r="A1699" s="26">
        <v>1649</v>
      </c>
      <c r="B1699" s="82">
        <f t="shared" si="206"/>
        <v>3.2921237647087764E-4</v>
      </c>
      <c r="C1699" s="58">
        <f t="shared" si="210"/>
        <v>42.845466118888183</v>
      </c>
      <c r="D1699" s="83">
        <f t="shared" si="207"/>
        <v>181.49961874349984</v>
      </c>
      <c r="E1699">
        <f t="shared" si="203"/>
        <v>10.844987745204518</v>
      </c>
      <c r="G1699">
        <v>1649</v>
      </c>
      <c r="H1699" s="13">
        <f t="shared" si="208"/>
        <v>5.1608656820917531E-2</v>
      </c>
      <c r="I1699">
        <f t="shared" si="209"/>
        <v>127.40527000777773</v>
      </c>
      <c r="J1699" t="e">
        <f t="shared" si="204"/>
        <v>#NUM!</v>
      </c>
      <c r="K1699" s="27" t="e">
        <f t="shared" si="205"/>
        <v>#NUM!</v>
      </c>
    </row>
    <row r="1700" spans="1:11">
      <c r="A1700" s="26">
        <v>1650</v>
      </c>
      <c r="B1700" s="82">
        <f t="shared" si="206"/>
        <v>3.2921237647087764E-4</v>
      </c>
      <c r="C1700" s="58">
        <f t="shared" si="210"/>
        <v>42.845795331264654</v>
      </c>
      <c r="D1700" s="83">
        <f t="shared" si="207"/>
        <v>181.50023626388523</v>
      </c>
      <c r="E1700">
        <f t="shared" si="203"/>
        <v>10.845061539981993</v>
      </c>
      <c r="G1700">
        <v>1650</v>
      </c>
      <c r="H1700" s="13">
        <f t="shared" si="208"/>
        <v>5.1608656820917531E-2</v>
      </c>
      <c r="I1700">
        <f t="shared" si="209"/>
        <v>127.45687866459865</v>
      </c>
      <c r="J1700" t="e">
        <f t="shared" si="204"/>
        <v>#NUM!</v>
      </c>
      <c r="K1700" s="27" t="e">
        <f t="shared" si="205"/>
        <v>#NUM!</v>
      </c>
    </row>
    <row r="1701" spans="1:11">
      <c r="A1701" s="26">
        <v>1651</v>
      </c>
      <c r="B1701" s="82">
        <f t="shared" si="206"/>
        <v>3.2921237647087764E-4</v>
      </c>
      <c r="C1701" s="58">
        <f t="shared" si="210"/>
        <v>42.846124543641125</v>
      </c>
      <c r="D1701" s="83">
        <f t="shared" si="207"/>
        <v>181.50085375863242</v>
      </c>
      <c r="E1701">
        <f t="shared" si="203"/>
        <v>10.845135331946793</v>
      </c>
      <c r="G1701">
        <v>1651</v>
      </c>
      <c r="H1701" s="13">
        <f t="shared" si="208"/>
        <v>5.1608656820917531E-2</v>
      </c>
      <c r="I1701">
        <f t="shared" si="209"/>
        <v>127.50848732141957</v>
      </c>
      <c r="J1701" t="e">
        <f t="shared" si="204"/>
        <v>#NUM!</v>
      </c>
      <c r="K1701" s="27" t="e">
        <f t="shared" si="205"/>
        <v>#NUM!</v>
      </c>
    </row>
    <row r="1702" spans="1:11">
      <c r="A1702" s="26">
        <v>1652</v>
      </c>
      <c r="B1702" s="82">
        <f t="shared" si="206"/>
        <v>3.2921237647087764E-4</v>
      </c>
      <c r="C1702" s="58">
        <f t="shared" si="210"/>
        <v>42.846453756017596</v>
      </c>
      <c r="D1702" s="83">
        <f t="shared" si="207"/>
        <v>181.50147122774385</v>
      </c>
      <c r="E1702">
        <f t="shared" si="203"/>
        <v>10.845209121099181</v>
      </c>
      <c r="G1702">
        <v>1652</v>
      </c>
      <c r="H1702" s="13">
        <f t="shared" si="208"/>
        <v>5.1608656820917531E-2</v>
      </c>
      <c r="I1702">
        <f t="shared" si="209"/>
        <v>127.56009597824048</v>
      </c>
      <c r="J1702" t="e">
        <f t="shared" si="204"/>
        <v>#NUM!</v>
      </c>
      <c r="K1702" s="27" t="e">
        <f t="shared" si="205"/>
        <v>#NUM!</v>
      </c>
    </row>
    <row r="1703" spans="1:11">
      <c r="A1703" s="26">
        <v>1653</v>
      </c>
      <c r="B1703" s="82">
        <f t="shared" si="206"/>
        <v>3.2921237647087764E-4</v>
      </c>
      <c r="C1703" s="58">
        <f t="shared" si="210"/>
        <v>42.846782968394066</v>
      </c>
      <c r="D1703" s="83">
        <f t="shared" si="207"/>
        <v>181.502088671222</v>
      </c>
      <c r="E1703">
        <f t="shared" si="203"/>
        <v>10.845282907439421</v>
      </c>
      <c r="G1703">
        <v>1653</v>
      </c>
      <c r="H1703" s="13">
        <f t="shared" si="208"/>
        <v>5.1608656820917531E-2</v>
      </c>
      <c r="I1703">
        <f t="shared" si="209"/>
        <v>127.6117046350614</v>
      </c>
      <c r="J1703" t="e">
        <f t="shared" si="204"/>
        <v>#NUM!</v>
      </c>
      <c r="K1703" s="27" t="e">
        <f t="shared" si="205"/>
        <v>#NUM!</v>
      </c>
    </row>
    <row r="1704" spans="1:11">
      <c r="A1704" s="26">
        <v>1654</v>
      </c>
      <c r="B1704" s="82">
        <f t="shared" si="206"/>
        <v>3.2921237647087764E-4</v>
      </c>
      <c r="C1704" s="58">
        <f t="shared" si="210"/>
        <v>42.847112180770537</v>
      </c>
      <c r="D1704" s="83">
        <f t="shared" si="207"/>
        <v>181.50270608906939</v>
      </c>
      <c r="E1704">
        <f t="shared" si="203"/>
        <v>10.845356690967785</v>
      </c>
      <c r="G1704">
        <v>1654</v>
      </c>
      <c r="H1704" s="13">
        <f t="shared" si="208"/>
        <v>5.1608656820917531E-2</v>
      </c>
      <c r="I1704">
        <f t="shared" si="209"/>
        <v>127.66331329188232</v>
      </c>
      <c r="J1704" t="e">
        <f t="shared" si="204"/>
        <v>#NUM!</v>
      </c>
      <c r="K1704" s="27" t="e">
        <f t="shared" si="205"/>
        <v>#NUM!</v>
      </c>
    </row>
    <row r="1705" spans="1:11">
      <c r="A1705" s="26">
        <v>1655</v>
      </c>
      <c r="B1705" s="82">
        <f t="shared" si="206"/>
        <v>3.2921237647087764E-4</v>
      </c>
      <c r="C1705" s="58">
        <f t="shared" si="210"/>
        <v>42.847441393147008</v>
      </c>
      <c r="D1705" s="83">
        <f t="shared" si="207"/>
        <v>181.50332348128848</v>
      </c>
      <c r="E1705">
        <f t="shared" si="203"/>
        <v>10.845430471684532</v>
      </c>
      <c r="G1705">
        <v>1655</v>
      </c>
      <c r="H1705" s="13">
        <f t="shared" si="208"/>
        <v>5.1608656820917531E-2</v>
      </c>
      <c r="I1705">
        <f t="shared" si="209"/>
        <v>127.71492194870324</v>
      </c>
      <c r="J1705" t="e">
        <f t="shared" si="204"/>
        <v>#NUM!</v>
      </c>
      <c r="K1705" s="27" t="e">
        <f t="shared" si="205"/>
        <v>#NUM!</v>
      </c>
    </row>
    <row r="1706" spans="1:11">
      <c r="A1706" s="26">
        <v>1656</v>
      </c>
      <c r="B1706" s="82">
        <f t="shared" si="206"/>
        <v>3.2921237647087764E-4</v>
      </c>
      <c r="C1706" s="58">
        <f t="shared" si="210"/>
        <v>42.847770605523479</v>
      </c>
      <c r="D1706" s="83">
        <f t="shared" si="207"/>
        <v>181.50394084788175</v>
      </c>
      <c r="E1706">
        <f t="shared" si="203"/>
        <v>10.845504249589929</v>
      </c>
      <c r="G1706">
        <v>1656</v>
      </c>
      <c r="H1706" s="13">
        <f t="shared" si="208"/>
        <v>5.1608656820917531E-2</v>
      </c>
      <c r="I1706">
        <f t="shared" si="209"/>
        <v>127.76653060552415</v>
      </c>
      <c r="J1706" t="e">
        <f t="shared" si="204"/>
        <v>#NUM!</v>
      </c>
      <c r="K1706" s="27" t="e">
        <f t="shared" si="205"/>
        <v>#NUM!</v>
      </c>
    </row>
    <row r="1707" spans="1:11">
      <c r="A1707" s="26">
        <v>1657</v>
      </c>
      <c r="B1707" s="82">
        <f t="shared" si="206"/>
        <v>3.2921237647087764E-4</v>
      </c>
      <c r="C1707" s="58">
        <f t="shared" si="210"/>
        <v>42.84809981789995</v>
      </c>
      <c r="D1707" s="83">
        <f t="shared" si="207"/>
        <v>181.50455818885169</v>
      </c>
      <c r="E1707">
        <f t="shared" si="203"/>
        <v>10.845578024684244</v>
      </c>
      <c r="G1707">
        <v>1657</v>
      </c>
      <c r="H1707" s="13">
        <f t="shared" si="208"/>
        <v>5.1608656820917531E-2</v>
      </c>
      <c r="I1707">
        <f t="shared" si="209"/>
        <v>127.81813926234507</v>
      </c>
      <c r="J1707" t="e">
        <f t="shared" si="204"/>
        <v>#NUM!</v>
      </c>
      <c r="K1707" s="27" t="e">
        <f t="shared" si="205"/>
        <v>#NUM!</v>
      </c>
    </row>
    <row r="1708" spans="1:11">
      <c r="A1708" s="26">
        <v>1658</v>
      </c>
      <c r="B1708" s="82">
        <f t="shared" si="206"/>
        <v>3.2921237647087764E-4</v>
      </c>
      <c r="C1708" s="58">
        <f t="shared" si="210"/>
        <v>42.848429030276421</v>
      </c>
      <c r="D1708" s="83">
        <f t="shared" si="207"/>
        <v>181.50517550420082</v>
      </c>
      <c r="E1708">
        <f t="shared" si="203"/>
        <v>10.845651796967742</v>
      </c>
      <c r="G1708">
        <v>1658</v>
      </c>
      <c r="H1708" s="13">
        <f t="shared" si="208"/>
        <v>5.1608656820917531E-2</v>
      </c>
      <c r="I1708">
        <f t="shared" si="209"/>
        <v>127.86974791916599</v>
      </c>
      <c r="J1708" t="e">
        <f t="shared" si="204"/>
        <v>#NUM!</v>
      </c>
      <c r="K1708" s="27" t="e">
        <f t="shared" si="205"/>
        <v>#NUM!</v>
      </c>
    </row>
    <row r="1709" spans="1:11">
      <c r="A1709" s="26">
        <v>1659</v>
      </c>
      <c r="B1709" s="82">
        <f t="shared" si="206"/>
        <v>3.2921237647087764E-4</v>
      </c>
      <c r="C1709" s="58">
        <f t="shared" si="210"/>
        <v>42.848758242652892</v>
      </c>
      <c r="D1709" s="83">
        <f t="shared" si="207"/>
        <v>181.50579279393156</v>
      </c>
      <c r="E1709">
        <f t="shared" si="203"/>
        <v>10.845725566440684</v>
      </c>
      <c r="G1709">
        <v>1659</v>
      </c>
      <c r="H1709" s="13">
        <f t="shared" si="208"/>
        <v>5.1608656820917531E-2</v>
      </c>
      <c r="I1709">
        <f t="shared" si="209"/>
        <v>127.92135657598691</v>
      </c>
      <c r="J1709" t="e">
        <f t="shared" si="204"/>
        <v>#NUM!</v>
      </c>
      <c r="K1709" s="27" t="e">
        <f t="shared" si="205"/>
        <v>#NUM!</v>
      </c>
    </row>
    <row r="1710" spans="1:11">
      <c r="A1710" s="26">
        <v>1660</v>
      </c>
      <c r="B1710" s="82">
        <f t="shared" si="206"/>
        <v>3.2921237647087764E-4</v>
      </c>
      <c r="C1710" s="58">
        <f t="shared" si="210"/>
        <v>42.849087455029363</v>
      </c>
      <c r="D1710" s="83">
        <f t="shared" si="207"/>
        <v>181.50641005804644</v>
      </c>
      <c r="E1710">
        <f t="shared" si="203"/>
        <v>10.845799333103342</v>
      </c>
      <c r="G1710">
        <v>1660</v>
      </c>
      <c r="H1710" s="13">
        <f t="shared" si="208"/>
        <v>5.1608656820917531E-2</v>
      </c>
      <c r="I1710">
        <f t="shared" si="209"/>
        <v>127.97296523280782</v>
      </c>
      <c r="J1710" t="e">
        <f t="shared" si="204"/>
        <v>#NUM!</v>
      </c>
      <c r="K1710" s="27" t="e">
        <f t="shared" si="205"/>
        <v>#NUM!</v>
      </c>
    </row>
    <row r="1711" spans="1:11">
      <c r="A1711" s="26">
        <v>1661</v>
      </c>
      <c r="B1711" s="82">
        <f t="shared" si="206"/>
        <v>3.2921237647087764E-4</v>
      </c>
      <c r="C1711" s="58">
        <f t="shared" si="210"/>
        <v>42.849416667405833</v>
      </c>
      <c r="D1711" s="83">
        <f t="shared" si="207"/>
        <v>181.50702729654793</v>
      </c>
      <c r="E1711">
        <f t="shared" si="203"/>
        <v>10.845873096955978</v>
      </c>
      <c r="G1711">
        <v>1661</v>
      </c>
      <c r="H1711" s="13">
        <f t="shared" si="208"/>
        <v>5.160865682090332E-2</v>
      </c>
      <c r="I1711">
        <f t="shared" si="209"/>
        <v>128.02457388962873</v>
      </c>
      <c r="J1711" t="e">
        <f t="shared" si="204"/>
        <v>#NUM!</v>
      </c>
      <c r="K1711" s="27" t="e">
        <f t="shared" si="205"/>
        <v>#NUM!</v>
      </c>
    </row>
    <row r="1712" spans="1:11">
      <c r="A1712" s="26">
        <v>1662</v>
      </c>
      <c r="B1712" s="82">
        <f t="shared" si="206"/>
        <v>3.2921237647087764E-4</v>
      </c>
      <c r="C1712" s="58">
        <f t="shared" si="210"/>
        <v>42.849745879782304</v>
      </c>
      <c r="D1712" s="83">
        <f t="shared" si="207"/>
        <v>181.50764450943851</v>
      </c>
      <c r="E1712">
        <f t="shared" si="203"/>
        <v>10.845946857998861</v>
      </c>
      <c r="G1712">
        <v>1662</v>
      </c>
      <c r="H1712" s="13">
        <f t="shared" si="208"/>
        <v>5.1608656820917531E-2</v>
      </c>
      <c r="I1712">
        <f t="shared" si="209"/>
        <v>128.07618254644964</v>
      </c>
      <c r="J1712" t="e">
        <f t="shared" si="204"/>
        <v>#NUM!</v>
      </c>
      <c r="K1712" s="27" t="e">
        <f t="shared" si="205"/>
        <v>#NUM!</v>
      </c>
    </row>
    <row r="1713" spans="1:11">
      <c r="A1713" s="26">
        <v>1663</v>
      </c>
      <c r="B1713" s="82">
        <f t="shared" si="206"/>
        <v>3.2921237647087764E-4</v>
      </c>
      <c r="C1713" s="58">
        <f t="shared" si="210"/>
        <v>42.850075092158775</v>
      </c>
      <c r="D1713" s="83">
        <f t="shared" si="207"/>
        <v>181.50826169672067</v>
      </c>
      <c r="E1713">
        <f t="shared" si="203"/>
        <v>10.84602061623225</v>
      </c>
      <c r="G1713">
        <v>1663</v>
      </c>
      <c r="H1713" s="13">
        <f t="shared" si="208"/>
        <v>5.1608656820917531E-2</v>
      </c>
      <c r="I1713">
        <f t="shared" si="209"/>
        <v>128.12779120327056</v>
      </c>
      <c r="J1713" t="e">
        <f t="shared" si="204"/>
        <v>#NUM!</v>
      </c>
      <c r="K1713" s="27" t="e">
        <f t="shared" si="205"/>
        <v>#NUM!</v>
      </c>
    </row>
    <row r="1714" spans="1:11">
      <c r="A1714" s="26">
        <v>1664</v>
      </c>
      <c r="B1714" s="82">
        <f t="shared" si="206"/>
        <v>3.2921237647087764E-4</v>
      </c>
      <c r="C1714" s="58">
        <f t="shared" si="210"/>
        <v>42.850404304535246</v>
      </c>
      <c r="D1714" s="83">
        <f t="shared" si="207"/>
        <v>181.50887885839688</v>
      </c>
      <c r="E1714">
        <f t="shared" si="203"/>
        <v>10.846094371656418</v>
      </c>
      <c r="G1714">
        <v>1664</v>
      </c>
      <c r="H1714" s="13">
        <f t="shared" si="208"/>
        <v>5.1608656820917531E-2</v>
      </c>
      <c r="I1714">
        <f t="shared" si="209"/>
        <v>128.17939986009148</v>
      </c>
      <c r="J1714" t="e">
        <f t="shared" si="204"/>
        <v>#NUM!</v>
      </c>
      <c r="K1714" s="27" t="e">
        <f t="shared" si="205"/>
        <v>#NUM!</v>
      </c>
    </row>
    <row r="1715" spans="1:11">
      <c r="A1715" s="26">
        <v>1665</v>
      </c>
      <c r="B1715" s="82">
        <f t="shared" si="206"/>
        <v>3.2921237647087764E-4</v>
      </c>
      <c r="C1715" s="58">
        <f t="shared" si="210"/>
        <v>42.850733516911717</v>
      </c>
      <c r="D1715" s="83">
        <f t="shared" si="207"/>
        <v>181.50949599446963</v>
      </c>
      <c r="E1715">
        <f t="shared" ref="E1715:E1778" si="211">((D1715^2)+(D1715*D1716)+(D1716^2))*B1716/3</f>
        <v>10.846168124271626</v>
      </c>
      <c r="G1715">
        <v>1665</v>
      </c>
      <c r="H1715" s="13">
        <f t="shared" si="208"/>
        <v>5.1608656820917531E-2</v>
      </c>
      <c r="I1715">
        <f t="shared" si="209"/>
        <v>128.2310085169124</v>
      </c>
      <c r="J1715" t="e">
        <f t="shared" ref="J1715:J1778" si="212">IF($G$28&lt;$C$14,0,((($C$11^2)-((I1715-$C$13)^2))^0.5)+$C$16)</f>
        <v>#NUM!</v>
      </c>
      <c r="K1715" s="27" t="e">
        <f t="shared" ref="K1715:K1778" si="213">((J1715^2)+(J1715*J1716)+(J1716^2))*H1716/3</f>
        <v>#NUM!</v>
      </c>
    </row>
    <row r="1716" spans="1:11">
      <c r="A1716" s="26">
        <v>1666</v>
      </c>
      <c r="B1716" s="82">
        <f t="shared" ref="B1716:B1779" si="214">C1716-C1715</f>
        <v>3.2921237647087764E-4</v>
      </c>
      <c r="C1716" s="58">
        <f t="shared" si="210"/>
        <v>42.851062729288188</v>
      </c>
      <c r="D1716" s="83">
        <f t="shared" ref="D1716:D1779" si="215">IF($G$28&lt;$C$14,0,((($C$11^2)-((C1716-$C$13)^2))^0.5)+$C$16)</f>
        <v>181.51011310494138</v>
      </c>
      <c r="E1716">
        <f t="shared" si="211"/>
        <v>10.846241874078133</v>
      </c>
      <c r="G1716">
        <v>1666</v>
      </c>
      <c r="H1716" s="13">
        <f t="shared" ref="H1716:H1779" si="216">I1716-I1715</f>
        <v>5.1608656820917531E-2</v>
      </c>
      <c r="I1716">
        <f t="shared" ref="I1716:I1779" si="217">($G$27-$C$14)/2000+I1715</f>
        <v>128.28261717373331</v>
      </c>
      <c r="J1716" t="e">
        <f t="shared" si="212"/>
        <v>#NUM!</v>
      </c>
      <c r="K1716" s="27" t="e">
        <f t="shared" si="213"/>
        <v>#NUM!</v>
      </c>
    </row>
    <row r="1717" spans="1:11">
      <c r="A1717" s="26">
        <v>1667</v>
      </c>
      <c r="B1717" s="82">
        <f t="shared" si="214"/>
        <v>3.2921237647087764E-4</v>
      </c>
      <c r="C1717" s="58">
        <f t="shared" si="210"/>
        <v>42.851391941664659</v>
      </c>
      <c r="D1717" s="83">
        <f t="shared" si="215"/>
        <v>181.51073018981461</v>
      </c>
      <c r="E1717">
        <f t="shared" si="211"/>
        <v>10.846315621076213</v>
      </c>
      <c r="G1717">
        <v>1667</v>
      </c>
      <c r="H1717" s="13">
        <f t="shared" si="216"/>
        <v>5.1608656820917531E-2</v>
      </c>
      <c r="I1717">
        <f t="shared" si="217"/>
        <v>128.33422583055423</v>
      </c>
      <c r="J1717" t="e">
        <f t="shared" si="212"/>
        <v>#NUM!</v>
      </c>
      <c r="K1717" s="27" t="e">
        <f t="shared" si="213"/>
        <v>#NUM!</v>
      </c>
    </row>
    <row r="1718" spans="1:11">
      <c r="A1718" s="26">
        <v>1668</v>
      </c>
      <c r="B1718" s="82">
        <f t="shared" si="214"/>
        <v>3.2921237647087764E-4</v>
      </c>
      <c r="C1718" s="58">
        <f t="shared" si="210"/>
        <v>42.85172115404113</v>
      </c>
      <c r="D1718" s="83">
        <f t="shared" si="215"/>
        <v>181.51134724909184</v>
      </c>
      <c r="E1718">
        <f t="shared" si="211"/>
        <v>10.846389365266129</v>
      </c>
      <c r="G1718">
        <v>1668</v>
      </c>
      <c r="H1718" s="13">
        <f t="shared" si="216"/>
        <v>5.1608656820917531E-2</v>
      </c>
      <c r="I1718">
        <f t="shared" si="217"/>
        <v>128.38583448737515</v>
      </c>
      <c r="J1718" t="e">
        <f t="shared" si="212"/>
        <v>#NUM!</v>
      </c>
      <c r="K1718" s="27" t="e">
        <f t="shared" si="213"/>
        <v>#NUM!</v>
      </c>
    </row>
    <row r="1719" spans="1:11">
      <c r="A1719" s="26">
        <v>1669</v>
      </c>
      <c r="B1719" s="82">
        <f t="shared" si="214"/>
        <v>3.2921237647087764E-4</v>
      </c>
      <c r="C1719" s="58">
        <f t="shared" si="210"/>
        <v>42.8520503664176</v>
      </c>
      <c r="D1719" s="83">
        <f t="shared" si="215"/>
        <v>181.51196428277552</v>
      </c>
      <c r="E1719">
        <f t="shared" si="211"/>
        <v>10.846463106648146</v>
      </c>
      <c r="G1719">
        <v>1669</v>
      </c>
      <c r="H1719" s="13">
        <f t="shared" si="216"/>
        <v>5.1608656820917531E-2</v>
      </c>
      <c r="I1719">
        <f t="shared" si="217"/>
        <v>128.43744314419607</v>
      </c>
      <c r="J1719" t="e">
        <f t="shared" si="212"/>
        <v>#NUM!</v>
      </c>
      <c r="K1719" s="27" t="e">
        <f t="shared" si="213"/>
        <v>#NUM!</v>
      </c>
    </row>
    <row r="1720" spans="1:11">
      <c r="A1720" s="26">
        <v>1670</v>
      </c>
      <c r="B1720" s="82">
        <f t="shared" si="214"/>
        <v>3.2921237647087764E-4</v>
      </c>
      <c r="C1720" s="58">
        <f t="shared" si="210"/>
        <v>42.852379578794071</v>
      </c>
      <c r="D1720" s="83">
        <f t="shared" si="215"/>
        <v>181.51258129086813</v>
      </c>
      <c r="E1720">
        <f t="shared" si="211"/>
        <v>10.846536845222529</v>
      </c>
      <c r="G1720">
        <v>1670</v>
      </c>
      <c r="H1720" s="13">
        <f t="shared" si="216"/>
        <v>5.1608656820917531E-2</v>
      </c>
      <c r="I1720">
        <f t="shared" si="217"/>
        <v>128.48905180101698</v>
      </c>
      <c r="J1720" t="e">
        <f t="shared" si="212"/>
        <v>#NUM!</v>
      </c>
      <c r="K1720" s="27" t="e">
        <f t="shared" si="213"/>
        <v>#NUM!</v>
      </c>
    </row>
    <row r="1721" spans="1:11">
      <c r="A1721" s="26">
        <v>1671</v>
      </c>
      <c r="B1721" s="82">
        <f t="shared" si="214"/>
        <v>3.2921237647087764E-4</v>
      </c>
      <c r="C1721" s="58">
        <f t="shared" si="210"/>
        <v>42.852708791170542</v>
      </c>
      <c r="D1721" s="83">
        <f t="shared" si="215"/>
        <v>181.51319827337215</v>
      </c>
      <c r="E1721">
        <f t="shared" si="211"/>
        <v>10.846610580989543</v>
      </c>
      <c r="G1721">
        <v>1671</v>
      </c>
      <c r="H1721" s="13">
        <f t="shared" si="216"/>
        <v>5.1608656820917531E-2</v>
      </c>
      <c r="I1721">
        <f t="shared" si="217"/>
        <v>128.5406604578379</v>
      </c>
      <c r="J1721" t="e">
        <f t="shared" si="212"/>
        <v>#NUM!</v>
      </c>
      <c r="K1721" s="27" t="e">
        <f t="shared" si="213"/>
        <v>#NUM!</v>
      </c>
    </row>
    <row r="1722" spans="1:11">
      <c r="A1722" s="26">
        <v>1672</v>
      </c>
      <c r="B1722" s="82">
        <f t="shared" si="214"/>
        <v>3.2921237647087764E-4</v>
      </c>
      <c r="C1722" s="58">
        <f t="shared" si="210"/>
        <v>42.853038003547013</v>
      </c>
      <c r="D1722" s="83">
        <f t="shared" si="215"/>
        <v>181.51381523029008</v>
      </c>
      <c r="E1722">
        <f t="shared" si="211"/>
        <v>10.846684313949453</v>
      </c>
      <c r="G1722">
        <v>1672</v>
      </c>
      <c r="H1722" s="13">
        <f t="shared" si="216"/>
        <v>5.1608656820917531E-2</v>
      </c>
      <c r="I1722">
        <f t="shared" si="217"/>
        <v>128.59226911465882</v>
      </c>
      <c r="J1722" t="e">
        <f t="shared" si="212"/>
        <v>#NUM!</v>
      </c>
      <c r="K1722" s="27" t="e">
        <f t="shared" si="213"/>
        <v>#NUM!</v>
      </c>
    </row>
    <row r="1723" spans="1:11">
      <c r="A1723" s="26">
        <v>1673</v>
      </c>
      <c r="B1723" s="82">
        <f t="shared" si="214"/>
        <v>3.2921237647087764E-4</v>
      </c>
      <c r="C1723" s="58">
        <f t="shared" si="210"/>
        <v>42.853367215923484</v>
      </c>
      <c r="D1723" s="83">
        <f t="shared" si="215"/>
        <v>181.51443216162434</v>
      </c>
      <c r="E1723">
        <f t="shared" si="211"/>
        <v>10.846758044102522</v>
      </c>
      <c r="G1723">
        <v>1673</v>
      </c>
      <c r="H1723" s="13">
        <f t="shared" si="216"/>
        <v>5.1608656820917531E-2</v>
      </c>
      <c r="I1723">
        <f t="shared" si="217"/>
        <v>128.64387777147974</v>
      </c>
      <c r="J1723" t="e">
        <f t="shared" si="212"/>
        <v>#NUM!</v>
      </c>
      <c r="K1723" s="27" t="e">
        <f t="shared" si="213"/>
        <v>#NUM!</v>
      </c>
    </row>
    <row r="1724" spans="1:11">
      <c r="A1724" s="26">
        <v>1674</v>
      </c>
      <c r="B1724" s="82">
        <f t="shared" si="214"/>
        <v>3.2921237647087764E-4</v>
      </c>
      <c r="C1724" s="58">
        <f t="shared" si="210"/>
        <v>42.853696428299955</v>
      </c>
      <c r="D1724" s="83">
        <f t="shared" si="215"/>
        <v>181.51504906737748</v>
      </c>
      <c r="E1724">
        <f t="shared" si="211"/>
        <v>10.846831771449017</v>
      </c>
      <c r="G1724">
        <v>1674</v>
      </c>
      <c r="H1724" s="13">
        <f t="shared" si="216"/>
        <v>5.1608656820917531E-2</v>
      </c>
      <c r="I1724">
        <f t="shared" si="217"/>
        <v>128.69548642830065</v>
      </c>
      <c r="J1724" t="e">
        <f t="shared" si="212"/>
        <v>#NUM!</v>
      </c>
      <c r="K1724" s="27" t="e">
        <f t="shared" si="213"/>
        <v>#NUM!</v>
      </c>
    </row>
    <row r="1725" spans="1:11">
      <c r="A1725" s="26">
        <v>1675</v>
      </c>
      <c r="B1725" s="82">
        <f t="shared" si="214"/>
        <v>3.2921237647087764E-4</v>
      </c>
      <c r="C1725" s="58">
        <f t="shared" si="210"/>
        <v>42.854025640676426</v>
      </c>
      <c r="D1725" s="83">
        <f t="shared" si="215"/>
        <v>181.51566594755189</v>
      </c>
      <c r="E1725">
        <f t="shared" si="211"/>
        <v>10.846905495989203</v>
      </c>
      <c r="G1725">
        <v>1675</v>
      </c>
      <c r="H1725" s="13">
        <f t="shared" si="216"/>
        <v>5.1608656820917531E-2</v>
      </c>
      <c r="I1725">
        <f t="shared" si="217"/>
        <v>128.74709508512157</v>
      </c>
      <c r="J1725" t="e">
        <f t="shared" si="212"/>
        <v>#NUM!</v>
      </c>
      <c r="K1725" s="27" t="e">
        <f t="shared" si="213"/>
        <v>#NUM!</v>
      </c>
    </row>
    <row r="1726" spans="1:11">
      <c r="A1726" s="26">
        <v>1676</v>
      </c>
      <c r="B1726" s="82">
        <f t="shared" si="214"/>
        <v>3.2921237647087764E-4</v>
      </c>
      <c r="C1726" s="58">
        <f t="shared" si="210"/>
        <v>42.854354853052897</v>
      </c>
      <c r="D1726" s="83">
        <f t="shared" si="215"/>
        <v>181.51628280215016</v>
      </c>
      <c r="E1726">
        <f t="shared" si="211"/>
        <v>10.846979217723344</v>
      </c>
      <c r="G1726">
        <v>1676</v>
      </c>
      <c r="H1726" s="13">
        <f t="shared" si="216"/>
        <v>5.1608656820917531E-2</v>
      </c>
      <c r="I1726">
        <f t="shared" si="217"/>
        <v>128.79870374194249</v>
      </c>
      <c r="J1726" t="e">
        <f t="shared" si="212"/>
        <v>#NUM!</v>
      </c>
      <c r="K1726" s="27" t="e">
        <f t="shared" si="213"/>
        <v>#NUM!</v>
      </c>
    </row>
    <row r="1727" spans="1:11">
      <c r="A1727" s="26">
        <v>1677</v>
      </c>
      <c r="B1727" s="82">
        <f t="shared" si="214"/>
        <v>3.2921237647087764E-4</v>
      </c>
      <c r="C1727" s="58">
        <f t="shared" si="210"/>
        <v>42.854684065429367</v>
      </c>
      <c r="D1727" s="83">
        <f t="shared" si="215"/>
        <v>181.51689963117465</v>
      </c>
      <c r="E1727">
        <f t="shared" si="211"/>
        <v>10.847052936651702</v>
      </c>
      <c r="G1727">
        <v>1677</v>
      </c>
      <c r="H1727" s="13">
        <f t="shared" si="216"/>
        <v>5.1608656820917531E-2</v>
      </c>
      <c r="I1727">
        <f t="shared" si="217"/>
        <v>128.85031239876341</v>
      </c>
      <c r="J1727" t="e">
        <f t="shared" si="212"/>
        <v>#NUM!</v>
      </c>
      <c r="K1727" s="27" t="e">
        <f t="shared" si="213"/>
        <v>#NUM!</v>
      </c>
    </row>
    <row r="1728" spans="1:11">
      <c r="A1728" s="26">
        <v>1678</v>
      </c>
      <c r="B1728" s="82">
        <f t="shared" si="214"/>
        <v>3.2921237647087764E-4</v>
      </c>
      <c r="C1728" s="58">
        <f t="shared" si="210"/>
        <v>42.855013277805838</v>
      </c>
      <c r="D1728" s="83">
        <f t="shared" si="215"/>
        <v>181.51751643462791</v>
      </c>
      <c r="E1728">
        <f t="shared" si="211"/>
        <v>10.847126652774547</v>
      </c>
      <c r="G1728">
        <v>1678</v>
      </c>
      <c r="H1728" s="13">
        <f t="shared" si="216"/>
        <v>5.1608656820917531E-2</v>
      </c>
      <c r="I1728">
        <f t="shared" si="217"/>
        <v>128.90192105558432</v>
      </c>
      <c r="J1728" t="e">
        <f t="shared" si="212"/>
        <v>#NUM!</v>
      </c>
      <c r="K1728" s="27" t="e">
        <f t="shared" si="213"/>
        <v>#NUM!</v>
      </c>
    </row>
    <row r="1729" spans="1:11">
      <c r="A1729" s="26">
        <v>1679</v>
      </c>
      <c r="B1729" s="82">
        <f t="shared" si="214"/>
        <v>3.2921237647087764E-4</v>
      </c>
      <c r="C1729" s="58">
        <f t="shared" si="210"/>
        <v>42.855342490182309</v>
      </c>
      <c r="D1729" s="83">
        <f t="shared" si="215"/>
        <v>181.5181332125124</v>
      </c>
      <c r="E1729">
        <f t="shared" si="211"/>
        <v>10.847200366092137</v>
      </c>
      <c r="G1729">
        <v>1679</v>
      </c>
      <c r="H1729" s="13">
        <f t="shared" si="216"/>
        <v>5.1608656820917531E-2</v>
      </c>
      <c r="I1729">
        <f t="shared" si="217"/>
        <v>128.95352971240524</v>
      </c>
      <c r="J1729" t="e">
        <f t="shared" si="212"/>
        <v>#NUM!</v>
      </c>
      <c r="K1729" s="27" t="e">
        <f t="shared" si="213"/>
        <v>#NUM!</v>
      </c>
    </row>
    <row r="1730" spans="1:11">
      <c r="A1730" s="26">
        <v>1680</v>
      </c>
      <c r="B1730" s="82">
        <f t="shared" si="214"/>
        <v>3.2921237647087764E-4</v>
      </c>
      <c r="C1730" s="58">
        <f t="shared" si="210"/>
        <v>42.85567170255878</v>
      </c>
      <c r="D1730" s="83">
        <f t="shared" si="215"/>
        <v>181.51874996483056</v>
      </c>
      <c r="E1730">
        <f t="shared" si="211"/>
        <v>10.847274076604746</v>
      </c>
      <c r="G1730">
        <v>1680</v>
      </c>
      <c r="H1730" s="13">
        <f t="shared" si="216"/>
        <v>5.1608656820917531E-2</v>
      </c>
      <c r="I1730">
        <f t="shared" si="217"/>
        <v>129.00513836922616</v>
      </c>
      <c r="J1730" t="e">
        <f t="shared" si="212"/>
        <v>#NUM!</v>
      </c>
      <c r="K1730" s="27" t="e">
        <f t="shared" si="213"/>
        <v>#NUM!</v>
      </c>
    </row>
    <row r="1731" spans="1:11">
      <c r="A1731" s="26">
        <v>1681</v>
      </c>
      <c r="B1731" s="82">
        <f t="shared" si="214"/>
        <v>3.2921237647087764E-4</v>
      </c>
      <c r="C1731" s="58">
        <f t="shared" si="210"/>
        <v>42.856000914935251</v>
      </c>
      <c r="D1731" s="83">
        <f t="shared" si="215"/>
        <v>181.51936669158493</v>
      </c>
      <c r="E1731">
        <f t="shared" si="211"/>
        <v>10.84734778431263</v>
      </c>
      <c r="G1731">
        <v>1681</v>
      </c>
      <c r="H1731" s="13">
        <f t="shared" si="216"/>
        <v>5.1608656820917531E-2</v>
      </c>
      <c r="I1731">
        <f t="shared" si="217"/>
        <v>129.05674702604708</v>
      </c>
      <c r="J1731" t="e">
        <f t="shared" si="212"/>
        <v>#NUM!</v>
      </c>
      <c r="K1731" s="27" t="e">
        <f t="shared" si="213"/>
        <v>#NUM!</v>
      </c>
    </row>
    <row r="1732" spans="1:11">
      <c r="A1732" s="26">
        <v>1682</v>
      </c>
      <c r="B1732" s="82">
        <f t="shared" si="214"/>
        <v>3.2921237647087764E-4</v>
      </c>
      <c r="C1732" s="58">
        <f t="shared" si="210"/>
        <v>42.856330127311722</v>
      </c>
      <c r="D1732" s="83">
        <f t="shared" si="215"/>
        <v>181.51998339277793</v>
      </c>
      <c r="E1732">
        <f t="shared" si="211"/>
        <v>10.847421489216055</v>
      </c>
      <c r="G1732">
        <v>1682</v>
      </c>
      <c r="H1732" s="13">
        <f t="shared" si="216"/>
        <v>5.1608656820917531E-2</v>
      </c>
      <c r="I1732">
        <f t="shared" si="217"/>
        <v>129.10835568286799</v>
      </c>
      <c r="J1732" t="e">
        <f t="shared" si="212"/>
        <v>#NUM!</v>
      </c>
      <c r="K1732" s="27" t="e">
        <f t="shared" si="213"/>
        <v>#NUM!</v>
      </c>
    </row>
    <row r="1733" spans="1:11">
      <c r="A1733" s="26">
        <v>1683</v>
      </c>
      <c r="B1733" s="82">
        <f t="shared" si="214"/>
        <v>3.2921237647087764E-4</v>
      </c>
      <c r="C1733" s="58">
        <f t="shared" si="210"/>
        <v>42.856659339688193</v>
      </c>
      <c r="D1733" s="83">
        <f t="shared" si="215"/>
        <v>181.52060006841202</v>
      </c>
      <c r="E1733">
        <f t="shared" si="211"/>
        <v>10.847495191315289</v>
      </c>
      <c r="G1733">
        <v>1683</v>
      </c>
      <c r="H1733" s="13">
        <f t="shared" si="216"/>
        <v>5.1608656820917531E-2</v>
      </c>
      <c r="I1733">
        <f t="shared" si="217"/>
        <v>129.15996433968891</v>
      </c>
      <c r="J1733" t="e">
        <f t="shared" si="212"/>
        <v>#NUM!</v>
      </c>
      <c r="K1733" s="27" t="e">
        <f t="shared" si="213"/>
        <v>#NUM!</v>
      </c>
    </row>
    <row r="1734" spans="1:11">
      <c r="A1734" s="26">
        <v>1684</v>
      </c>
      <c r="B1734" s="82">
        <f t="shared" si="214"/>
        <v>3.2921237647087764E-4</v>
      </c>
      <c r="C1734" s="58">
        <f t="shared" si="210"/>
        <v>42.856988552064664</v>
      </c>
      <c r="D1734" s="83">
        <f t="shared" si="215"/>
        <v>181.52121671848974</v>
      </c>
      <c r="E1734">
        <f t="shared" si="211"/>
        <v>10.847568890610594</v>
      </c>
      <c r="G1734">
        <v>1684</v>
      </c>
      <c r="H1734" s="13">
        <f t="shared" si="216"/>
        <v>5.1608656820917531E-2</v>
      </c>
      <c r="I1734">
        <f t="shared" si="217"/>
        <v>129.21157299650983</v>
      </c>
      <c r="J1734" t="e">
        <f t="shared" si="212"/>
        <v>#NUM!</v>
      </c>
      <c r="K1734" s="27" t="e">
        <f t="shared" si="213"/>
        <v>#NUM!</v>
      </c>
    </row>
    <row r="1735" spans="1:11">
      <c r="A1735" s="26">
        <v>1685</v>
      </c>
      <c r="B1735" s="82">
        <f t="shared" si="214"/>
        <v>3.2921237647087764E-4</v>
      </c>
      <c r="C1735" s="58">
        <f t="shared" si="210"/>
        <v>42.857317764441134</v>
      </c>
      <c r="D1735" s="83">
        <f t="shared" si="215"/>
        <v>181.5218333430135</v>
      </c>
      <c r="E1735">
        <f t="shared" si="211"/>
        <v>10.847642587102236</v>
      </c>
      <c r="G1735">
        <v>1685</v>
      </c>
      <c r="H1735" s="13">
        <f t="shared" si="216"/>
        <v>5.1608656820917531E-2</v>
      </c>
      <c r="I1735">
        <f t="shared" si="217"/>
        <v>129.26318165333075</v>
      </c>
      <c r="J1735" t="e">
        <f t="shared" si="212"/>
        <v>#NUM!</v>
      </c>
      <c r="K1735" s="27" t="e">
        <f t="shared" si="213"/>
        <v>#NUM!</v>
      </c>
    </row>
    <row r="1736" spans="1:11">
      <c r="A1736" s="26">
        <v>1686</v>
      </c>
      <c r="B1736" s="82">
        <f t="shared" si="214"/>
        <v>3.2921237647087764E-4</v>
      </c>
      <c r="C1736" s="58">
        <f t="shared" si="210"/>
        <v>42.857646976817605</v>
      </c>
      <c r="D1736" s="83">
        <f t="shared" si="215"/>
        <v>181.52244994198583</v>
      </c>
      <c r="E1736">
        <f t="shared" si="211"/>
        <v>10.847716280790477</v>
      </c>
      <c r="G1736">
        <v>1686</v>
      </c>
      <c r="H1736" s="13">
        <f t="shared" si="216"/>
        <v>5.1608656820917531E-2</v>
      </c>
      <c r="I1736">
        <f t="shared" si="217"/>
        <v>129.31479031015166</v>
      </c>
      <c r="J1736" t="e">
        <f t="shared" si="212"/>
        <v>#NUM!</v>
      </c>
      <c r="K1736" s="27" t="e">
        <f t="shared" si="213"/>
        <v>#NUM!</v>
      </c>
    </row>
    <row r="1737" spans="1:11">
      <c r="A1737" s="26">
        <v>1687</v>
      </c>
      <c r="B1737" s="82">
        <f t="shared" si="214"/>
        <v>3.2921237647087764E-4</v>
      </c>
      <c r="C1737" s="58">
        <f t="shared" si="210"/>
        <v>42.857976189194076</v>
      </c>
      <c r="D1737" s="83">
        <f t="shared" si="215"/>
        <v>181.52306651540911</v>
      </c>
      <c r="E1737">
        <f t="shared" si="211"/>
        <v>10.847789971675581</v>
      </c>
      <c r="G1737">
        <v>1687</v>
      </c>
      <c r="H1737" s="13">
        <f t="shared" si="216"/>
        <v>5.1608656820917531E-2</v>
      </c>
      <c r="I1737">
        <f t="shared" si="217"/>
        <v>129.36639896697258</v>
      </c>
      <c r="J1737" t="e">
        <f t="shared" si="212"/>
        <v>#NUM!</v>
      </c>
      <c r="K1737" s="27" t="e">
        <f t="shared" si="213"/>
        <v>#NUM!</v>
      </c>
    </row>
    <row r="1738" spans="1:11">
      <c r="A1738" s="26">
        <v>1688</v>
      </c>
      <c r="B1738" s="82">
        <f t="shared" si="214"/>
        <v>3.2921237647087764E-4</v>
      </c>
      <c r="C1738" s="58">
        <f t="shared" si="210"/>
        <v>42.858305401570547</v>
      </c>
      <c r="D1738" s="83">
        <f t="shared" si="215"/>
        <v>181.52368306328592</v>
      </c>
      <c r="E1738">
        <f t="shared" si="211"/>
        <v>10.847863659757813</v>
      </c>
      <c r="G1738">
        <v>1688</v>
      </c>
      <c r="H1738" s="13">
        <f t="shared" si="216"/>
        <v>5.1608656820917531E-2</v>
      </c>
      <c r="I1738">
        <f t="shared" si="217"/>
        <v>129.4180076237935</v>
      </c>
      <c r="J1738" t="e">
        <f t="shared" si="212"/>
        <v>#NUM!</v>
      </c>
      <c r="K1738" s="27" t="e">
        <f t="shared" si="213"/>
        <v>#NUM!</v>
      </c>
    </row>
    <row r="1739" spans="1:11">
      <c r="A1739" s="26">
        <v>1689</v>
      </c>
      <c r="B1739" s="82">
        <f t="shared" si="214"/>
        <v>3.2921237647087764E-4</v>
      </c>
      <c r="C1739" s="58">
        <f t="shared" si="210"/>
        <v>42.858634613947018</v>
      </c>
      <c r="D1739" s="83">
        <f t="shared" si="215"/>
        <v>181.52429958561865</v>
      </c>
      <c r="E1739">
        <f t="shared" si="211"/>
        <v>10.847937345037442</v>
      </c>
      <c r="G1739">
        <v>1689</v>
      </c>
      <c r="H1739" s="13">
        <f t="shared" si="216"/>
        <v>5.1608656820917531E-2</v>
      </c>
      <c r="I1739">
        <f t="shared" si="217"/>
        <v>129.46961628061442</v>
      </c>
      <c r="J1739" t="e">
        <f t="shared" si="212"/>
        <v>#NUM!</v>
      </c>
      <c r="K1739" s="27" t="e">
        <f t="shared" si="213"/>
        <v>#NUM!</v>
      </c>
    </row>
    <row r="1740" spans="1:11">
      <c r="A1740" s="26">
        <v>1690</v>
      </c>
      <c r="B1740" s="82">
        <f t="shared" si="214"/>
        <v>3.2921237647087764E-4</v>
      </c>
      <c r="C1740" s="58">
        <f t="shared" si="210"/>
        <v>42.858963826323489</v>
      </c>
      <c r="D1740" s="83">
        <f t="shared" si="215"/>
        <v>181.52491608240982</v>
      </c>
      <c r="E1740">
        <f t="shared" si="211"/>
        <v>10.848011027514723</v>
      </c>
      <c r="G1740">
        <v>1690</v>
      </c>
      <c r="H1740" s="13">
        <f t="shared" si="216"/>
        <v>5.1608656820917531E-2</v>
      </c>
      <c r="I1740">
        <f t="shared" si="217"/>
        <v>129.52122493743533</v>
      </c>
      <c r="J1740" t="e">
        <f t="shared" si="212"/>
        <v>#NUM!</v>
      </c>
      <c r="K1740" s="27" t="e">
        <f t="shared" si="213"/>
        <v>#NUM!</v>
      </c>
    </row>
    <row r="1741" spans="1:11">
      <c r="A1741" s="26">
        <v>1691</v>
      </c>
      <c r="B1741" s="82">
        <f t="shared" si="214"/>
        <v>3.2921237647087764E-4</v>
      </c>
      <c r="C1741" s="58">
        <f t="shared" si="210"/>
        <v>42.85929303869996</v>
      </c>
      <c r="D1741" s="83">
        <f t="shared" si="215"/>
        <v>181.52553255366186</v>
      </c>
      <c r="E1741">
        <f t="shared" si="211"/>
        <v>10.848084707189926</v>
      </c>
      <c r="G1741">
        <v>1691</v>
      </c>
      <c r="H1741" s="13">
        <f t="shared" si="216"/>
        <v>5.1608656820917531E-2</v>
      </c>
      <c r="I1741">
        <f t="shared" si="217"/>
        <v>129.57283359425625</v>
      </c>
      <c r="J1741" t="e">
        <f t="shared" si="212"/>
        <v>#NUM!</v>
      </c>
      <c r="K1741" s="27" t="e">
        <f t="shared" si="213"/>
        <v>#NUM!</v>
      </c>
    </row>
    <row r="1742" spans="1:11">
      <c r="A1742" s="26">
        <v>1692</v>
      </c>
      <c r="B1742" s="82">
        <f t="shared" si="214"/>
        <v>3.2921237647087764E-4</v>
      </c>
      <c r="C1742" s="58">
        <f t="shared" si="210"/>
        <v>42.859622251076431</v>
      </c>
      <c r="D1742" s="83">
        <f t="shared" si="215"/>
        <v>181.52614899937728</v>
      </c>
      <c r="E1742">
        <f t="shared" si="211"/>
        <v>10.848158384063316</v>
      </c>
      <c r="G1742">
        <v>1692</v>
      </c>
      <c r="H1742" s="13">
        <f t="shared" si="216"/>
        <v>5.1608656820917531E-2</v>
      </c>
      <c r="I1742">
        <f t="shared" si="217"/>
        <v>129.62444225107717</v>
      </c>
      <c r="J1742" t="e">
        <f t="shared" si="212"/>
        <v>#NUM!</v>
      </c>
      <c r="K1742" s="27" t="e">
        <f t="shared" si="213"/>
        <v>#NUM!</v>
      </c>
    </row>
    <row r="1743" spans="1:11">
      <c r="A1743" s="26">
        <v>1693</v>
      </c>
      <c r="B1743" s="82">
        <f t="shared" si="214"/>
        <v>3.2921237647087764E-4</v>
      </c>
      <c r="C1743" s="58">
        <f t="shared" si="210"/>
        <v>42.859951463452902</v>
      </c>
      <c r="D1743" s="83">
        <f t="shared" si="215"/>
        <v>181.5267654195585</v>
      </c>
      <c r="E1743">
        <f t="shared" si="211"/>
        <v>10.848232058135151</v>
      </c>
      <c r="G1743">
        <v>1693</v>
      </c>
      <c r="H1743" s="13">
        <f t="shared" si="216"/>
        <v>5.1608656820917531E-2</v>
      </c>
      <c r="I1743">
        <f t="shared" si="217"/>
        <v>129.67605090789809</v>
      </c>
      <c r="J1743" t="e">
        <f t="shared" si="212"/>
        <v>#NUM!</v>
      </c>
      <c r="K1743" s="27" t="e">
        <f t="shared" si="213"/>
        <v>#NUM!</v>
      </c>
    </row>
    <row r="1744" spans="1:11">
      <c r="A1744" s="26">
        <v>1694</v>
      </c>
      <c r="B1744" s="82">
        <f t="shared" si="214"/>
        <v>3.2921237647087764E-4</v>
      </c>
      <c r="C1744" s="58">
        <f t="shared" ref="C1744:C1807" si="218">($C$37-$C$36)/2000+C1743</f>
        <v>42.860280675829372</v>
      </c>
      <c r="D1744" s="83">
        <f t="shared" si="215"/>
        <v>181.52738181420804</v>
      </c>
      <c r="E1744">
        <f t="shared" si="211"/>
        <v>10.848305729405704</v>
      </c>
      <c r="G1744">
        <v>1694</v>
      </c>
      <c r="H1744" s="13">
        <f t="shared" si="216"/>
        <v>5.1608656820917531E-2</v>
      </c>
      <c r="I1744">
        <f t="shared" si="217"/>
        <v>129.727659564719</v>
      </c>
      <c r="J1744" t="e">
        <f t="shared" si="212"/>
        <v>#NUM!</v>
      </c>
      <c r="K1744" s="27" t="e">
        <f t="shared" si="213"/>
        <v>#NUM!</v>
      </c>
    </row>
    <row r="1745" spans="1:11">
      <c r="A1745" s="26">
        <v>1695</v>
      </c>
      <c r="B1745" s="82">
        <f t="shared" si="214"/>
        <v>3.2921237647087764E-4</v>
      </c>
      <c r="C1745" s="58">
        <f t="shared" si="218"/>
        <v>42.860609888205843</v>
      </c>
      <c r="D1745" s="83">
        <f t="shared" si="215"/>
        <v>181.52799818332835</v>
      </c>
      <c r="E1745">
        <f t="shared" si="211"/>
        <v>10.848379397875233</v>
      </c>
      <c r="G1745">
        <v>1695</v>
      </c>
      <c r="H1745" s="13">
        <f t="shared" si="216"/>
        <v>5.1608656820917531E-2</v>
      </c>
      <c r="I1745">
        <f t="shared" si="217"/>
        <v>129.77926822153992</v>
      </c>
      <c r="J1745" t="e">
        <f t="shared" si="212"/>
        <v>#NUM!</v>
      </c>
      <c r="K1745" s="27" t="e">
        <f t="shared" si="213"/>
        <v>#NUM!</v>
      </c>
    </row>
    <row r="1746" spans="1:11">
      <c r="A1746" s="26">
        <v>1696</v>
      </c>
      <c r="B1746" s="82">
        <f t="shared" si="214"/>
        <v>3.2921237647087764E-4</v>
      </c>
      <c r="C1746" s="58">
        <f t="shared" si="218"/>
        <v>42.860939100582314</v>
      </c>
      <c r="D1746" s="83">
        <f t="shared" si="215"/>
        <v>181.5286145269219</v>
      </c>
      <c r="E1746">
        <f t="shared" si="211"/>
        <v>10.848453063544</v>
      </c>
      <c r="G1746">
        <v>1696</v>
      </c>
      <c r="H1746" s="13">
        <f t="shared" si="216"/>
        <v>5.1608656820917531E-2</v>
      </c>
      <c r="I1746">
        <f t="shared" si="217"/>
        <v>129.83087687836084</v>
      </c>
      <c r="J1746" t="e">
        <f t="shared" si="212"/>
        <v>#NUM!</v>
      </c>
      <c r="K1746" s="27" t="e">
        <f t="shared" si="213"/>
        <v>#NUM!</v>
      </c>
    </row>
    <row r="1747" spans="1:11">
      <c r="A1747" s="26">
        <v>1697</v>
      </c>
      <c r="B1747" s="82">
        <f t="shared" si="214"/>
        <v>3.2921237647087764E-4</v>
      </c>
      <c r="C1747" s="58">
        <f t="shared" si="218"/>
        <v>42.861268312958785</v>
      </c>
      <c r="D1747" s="83">
        <f t="shared" si="215"/>
        <v>181.52923084499113</v>
      </c>
      <c r="E1747">
        <f t="shared" si="211"/>
        <v>10.848526726412274</v>
      </c>
      <c r="G1747">
        <v>1697</v>
      </c>
      <c r="H1747" s="13">
        <f t="shared" si="216"/>
        <v>5.1608656820917531E-2</v>
      </c>
      <c r="I1747">
        <f t="shared" si="217"/>
        <v>129.88248553518176</v>
      </c>
      <c r="J1747" t="e">
        <f t="shared" si="212"/>
        <v>#NUM!</v>
      </c>
      <c r="K1747" s="27" t="e">
        <f t="shared" si="213"/>
        <v>#NUM!</v>
      </c>
    </row>
    <row r="1748" spans="1:11">
      <c r="A1748" s="26">
        <v>1698</v>
      </c>
      <c r="B1748" s="82">
        <f t="shared" si="214"/>
        <v>3.2921237647087764E-4</v>
      </c>
      <c r="C1748" s="58">
        <f t="shared" si="218"/>
        <v>42.861597525335256</v>
      </c>
      <c r="D1748" s="83">
        <f t="shared" si="215"/>
        <v>181.52984713753852</v>
      </c>
      <c r="E1748">
        <f t="shared" si="211"/>
        <v>10.848600386480312</v>
      </c>
      <c r="G1748">
        <v>1698</v>
      </c>
      <c r="H1748" s="13">
        <f t="shared" si="216"/>
        <v>5.1608656820917531E-2</v>
      </c>
      <c r="I1748">
        <f t="shared" si="217"/>
        <v>129.93409419200268</v>
      </c>
      <c r="J1748" t="e">
        <f t="shared" si="212"/>
        <v>#NUM!</v>
      </c>
      <c r="K1748" s="27" t="e">
        <f t="shared" si="213"/>
        <v>#NUM!</v>
      </c>
    </row>
    <row r="1749" spans="1:11">
      <c r="A1749" s="26">
        <v>1699</v>
      </c>
      <c r="B1749" s="82">
        <f t="shared" si="214"/>
        <v>3.2921237647087764E-4</v>
      </c>
      <c r="C1749" s="58">
        <f t="shared" si="218"/>
        <v>42.861926737711727</v>
      </c>
      <c r="D1749" s="83">
        <f t="shared" si="215"/>
        <v>181.53046340456658</v>
      </c>
      <c r="E1749">
        <f t="shared" si="211"/>
        <v>10.848674043748387</v>
      </c>
      <c r="G1749">
        <v>1699</v>
      </c>
      <c r="H1749" s="13">
        <f t="shared" si="216"/>
        <v>5.1608656820917531E-2</v>
      </c>
      <c r="I1749">
        <f t="shared" si="217"/>
        <v>129.98570284882359</v>
      </c>
      <c r="J1749" t="e">
        <f t="shared" si="212"/>
        <v>#NUM!</v>
      </c>
      <c r="K1749" s="27" t="e">
        <f t="shared" si="213"/>
        <v>#NUM!</v>
      </c>
    </row>
    <row r="1750" spans="1:11">
      <c r="A1750" s="26">
        <v>1700</v>
      </c>
      <c r="B1750" s="82">
        <f t="shared" si="214"/>
        <v>3.2921237647087764E-4</v>
      </c>
      <c r="C1750" s="58">
        <f t="shared" si="218"/>
        <v>42.862255950088198</v>
      </c>
      <c r="D1750" s="83">
        <f t="shared" si="215"/>
        <v>181.5310796460777</v>
      </c>
      <c r="E1750">
        <f t="shared" si="211"/>
        <v>10.848747698216753</v>
      </c>
      <c r="G1750">
        <v>1700</v>
      </c>
      <c r="H1750" s="13">
        <f t="shared" si="216"/>
        <v>5.1608656820917531E-2</v>
      </c>
      <c r="I1750">
        <f t="shared" si="217"/>
        <v>130.03731150564451</v>
      </c>
      <c r="J1750" t="e">
        <f t="shared" si="212"/>
        <v>#NUM!</v>
      </c>
      <c r="K1750" s="27" t="e">
        <f t="shared" si="213"/>
        <v>#NUM!</v>
      </c>
    </row>
    <row r="1751" spans="1:11">
      <c r="A1751" s="26">
        <v>1701</v>
      </c>
      <c r="B1751" s="82">
        <f t="shared" si="214"/>
        <v>3.2921237647087764E-4</v>
      </c>
      <c r="C1751" s="58">
        <f t="shared" si="218"/>
        <v>42.862585162464669</v>
      </c>
      <c r="D1751" s="83">
        <f t="shared" si="215"/>
        <v>181.5316958620744</v>
      </c>
      <c r="E1751">
        <f t="shared" si="211"/>
        <v>10.84882134988568</v>
      </c>
      <c r="G1751">
        <v>1701</v>
      </c>
      <c r="H1751" s="13">
        <f t="shared" si="216"/>
        <v>5.1608656820917531E-2</v>
      </c>
      <c r="I1751">
        <f t="shared" si="217"/>
        <v>130.08892016246543</v>
      </c>
      <c r="J1751" t="e">
        <f t="shared" si="212"/>
        <v>#NUM!</v>
      </c>
      <c r="K1751" s="27" t="e">
        <f t="shared" si="213"/>
        <v>#NUM!</v>
      </c>
    </row>
    <row r="1752" spans="1:11">
      <c r="A1752" s="26">
        <v>1702</v>
      </c>
      <c r="B1752" s="82">
        <f t="shared" si="214"/>
        <v>3.2921237647087764E-4</v>
      </c>
      <c r="C1752" s="58">
        <f t="shared" si="218"/>
        <v>42.862914374841139</v>
      </c>
      <c r="D1752" s="83">
        <f t="shared" si="215"/>
        <v>181.53231205255915</v>
      </c>
      <c r="E1752">
        <f t="shared" si="211"/>
        <v>10.848894998755428</v>
      </c>
      <c r="G1752">
        <v>1702</v>
      </c>
      <c r="H1752" s="13">
        <f t="shared" si="216"/>
        <v>5.1608656820917531E-2</v>
      </c>
      <c r="I1752">
        <f t="shared" si="217"/>
        <v>130.14052881928635</v>
      </c>
      <c r="J1752" t="e">
        <f t="shared" si="212"/>
        <v>#NUM!</v>
      </c>
      <c r="K1752" s="27" t="e">
        <f t="shared" si="213"/>
        <v>#NUM!</v>
      </c>
    </row>
    <row r="1753" spans="1:11">
      <c r="A1753" s="26">
        <v>1703</v>
      </c>
      <c r="B1753" s="82">
        <f t="shared" si="214"/>
        <v>3.2921237647087764E-4</v>
      </c>
      <c r="C1753" s="58">
        <f t="shared" si="218"/>
        <v>42.86324358721761</v>
      </c>
      <c r="D1753" s="83">
        <f t="shared" si="215"/>
        <v>181.53292821753436</v>
      </c>
      <c r="E1753">
        <f t="shared" si="211"/>
        <v>10.848968644826265</v>
      </c>
      <c r="G1753">
        <v>1703</v>
      </c>
      <c r="H1753" s="13">
        <f t="shared" si="216"/>
        <v>5.1608656820917531E-2</v>
      </c>
      <c r="I1753">
        <f t="shared" si="217"/>
        <v>130.19213747610726</v>
      </c>
      <c r="J1753" t="e">
        <f t="shared" si="212"/>
        <v>#NUM!</v>
      </c>
      <c r="K1753" s="27" t="e">
        <f t="shared" si="213"/>
        <v>#NUM!</v>
      </c>
    </row>
    <row r="1754" spans="1:11">
      <c r="A1754" s="26">
        <v>1704</v>
      </c>
      <c r="B1754" s="82">
        <f t="shared" si="214"/>
        <v>3.2921237647087764E-4</v>
      </c>
      <c r="C1754" s="58">
        <f t="shared" si="218"/>
        <v>42.863572799594081</v>
      </c>
      <c r="D1754" s="83">
        <f t="shared" si="215"/>
        <v>181.53354435700257</v>
      </c>
      <c r="E1754">
        <f t="shared" si="211"/>
        <v>10.849042288098454</v>
      </c>
      <c r="G1754">
        <v>1704</v>
      </c>
      <c r="H1754" s="13">
        <f t="shared" si="216"/>
        <v>5.1608656820917531E-2</v>
      </c>
      <c r="I1754">
        <f t="shared" si="217"/>
        <v>130.24374613292818</v>
      </c>
      <c r="J1754" t="e">
        <f t="shared" si="212"/>
        <v>#NUM!</v>
      </c>
      <c r="K1754" s="27" t="e">
        <f t="shared" si="213"/>
        <v>#NUM!</v>
      </c>
    </row>
    <row r="1755" spans="1:11">
      <c r="A1755" s="26">
        <v>1705</v>
      </c>
      <c r="B1755" s="82">
        <f t="shared" si="214"/>
        <v>3.2921237647087764E-4</v>
      </c>
      <c r="C1755" s="58">
        <f t="shared" si="218"/>
        <v>42.863902011970552</v>
      </c>
      <c r="D1755" s="83">
        <f t="shared" si="215"/>
        <v>181.53416047096619</v>
      </c>
      <c r="E1755">
        <f t="shared" si="211"/>
        <v>10.849115928572253</v>
      </c>
      <c r="G1755">
        <v>1705</v>
      </c>
      <c r="H1755" s="13">
        <f t="shared" si="216"/>
        <v>5.1608656820917531E-2</v>
      </c>
      <c r="I1755">
        <f t="shared" si="217"/>
        <v>130.2953547897491</v>
      </c>
      <c r="J1755" t="e">
        <f t="shared" si="212"/>
        <v>#NUM!</v>
      </c>
      <c r="K1755" s="27" t="e">
        <f t="shared" si="213"/>
        <v>#NUM!</v>
      </c>
    </row>
    <row r="1756" spans="1:11">
      <c r="A1756" s="26">
        <v>1706</v>
      </c>
      <c r="B1756" s="82">
        <f t="shared" si="214"/>
        <v>3.2921237647087764E-4</v>
      </c>
      <c r="C1756" s="58">
        <f t="shared" si="218"/>
        <v>42.864231224347023</v>
      </c>
      <c r="D1756" s="83">
        <f t="shared" si="215"/>
        <v>181.53477655942768</v>
      </c>
      <c r="E1756">
        <f t="shared" si="211"/>
        <v>10.849189566247928</v>
      </c>
      <c r="G1756">
        <v>1706</v>
      </c>
      <c r="H1756" s="13">
        <f t="shared" si="216"/>
        <v>5.1608656820917531E-2</v>
      </c>
      <c r="I1756">
        <f t="shared" si="217"/>
        <v>130.34696344657002</v>
      </c>
      <c r="J1756" t="e">
        <f t="shared" si="212"/>
        <v>#NUM!</v>
      </c>
      <c r="K1756" s="27" t="e">
        <f t="shared" si="213"/>
        <v>#NUM!</v>
      </c>
    </row>
    <row r="1757" spans="1:11">
      <c r="A1757" s="26">
        <v>1707</v>
      </c>
      <c r="B1757" s="82">
        <f t="shared" si="214"/>
        <v>3.2921237647087764E-4</v>
      </c>
      <c r="C1757" s="58">
        <f t="shared" si="218"/>
        <v>42.864560436723494</v>
      </c>
      <c r="D1757" s="83">
        <f t="shared" si="215"/>
        <v>181.53539262238954</v>
      </c>
      <c r="E1757">
        <f t="shared" si="211"/>
        <v>10.849263201125744</v>
      </c>
      <c r="G1757">
        <v>1707</v>
      </c>
      <c r="H1757" s="13">
        <f t="shared" si="216"/>
        <v>5.1608656820917531E-2</v>
      </c>
      <c r="I1757">
        <f t="shared" si="217"/>
        <v>130.39857210339093</v>
      </c>
      <c r="J1757" t="e">
        <f t="shared" si="212"/>
        <v>#NUM!</v>
      </c>
      <c r="K1757" s="27" t="e">
        <f t="shared" si="213"/>
        <v>#NUM!</v>
      </c>
    </row>
    <row r="1758" spans="1:11">
      <c r="A1758" s="26">
        <v>1708</v>
      </c>
      <c r="B1758" s="82">
        <f t="shared" si="214"/>
        <v>3.2921237647087764E-4</v>
      </c>
      <c r="C1758" s="58">
        <f t="shared" si="218"/>
        <v>42.864889649099965</v>
      </c>
      <c r="D1758" s="83">
        <f t="shared" si="215"/>
        <v>181.53600865985422</v>
      </c>
      <c r="E1758">
        <f t="shared" si="211"/>
        <v>10.849336833205966</v>
      </c>
      <c r="G1758">
        <v>1708</v>
      </c>
      <c r="H1758" s="13">
        <f t="shared" si="216"/>
        <v>5.1608656820917531E-2</v>
      </c>
      <c r="I1758">
        <f t="shared" si="217"/>
        <v>130.45018076021185</v>
      </c>
      <c r="J1758" t="e">
        <f t="shared" si="212"/>
        <v>#NUM!</v>
      </c>
      <c r="K1758" s="27" t="e">
        <f t="shared" si="213"/>
        <v>#NUM!</v>
      </c>
    </row>
    <row r="1759" spans="1:11">
      <c r="A1759" s="26">
        <v>1709</v>
      </c>
      <c r="B1759" s="82">
        <f t="shared" si="214"/>
        <v>3.2921237647087764E-4</v>
      </c>
      <c r="C1759" s="58">
        <f t="shared" si="218"/>
        <v>42.865218861476436</v>
      </c>
      <c r="D1759" s="83">
        <f t="shared" si="215"/>
        <v>181.53662467182417</v>
      </c>
      <c r="E1759">
        <f t="shared" si="211"/>
        <v>10.84941046248885</v>
      </c>
      <c r="G1759">
        <v>1709</v>
      </c>
      <c r="H1759" s="13">
        <f t="shared" si="216"/>
        <v>5.1608656820917531E-2</v>
      </c>
      <c r="I1759">
        <f t="shared" si="217"/>
        <v>130.50178941703277</v>
      </c>
      <c r="J1759" t="e">
        <f t="shared" si="212"/>
        <v>#NUM!</v>
      </c>
      <c r="K1759" s="27" t="e">
        <f t="shared" si="213"/>
        <v>#NUM!</v>
      </c>
    </row>
    <row r="1760" spans="1:11">
      <c r="A1760" s="26">
        <v>1710</v>
      </c>
      <c r="B1760" s="82">
        <f t="shared" si="214"/>
        <v>3.2921237647087764E-4</v>
      </c>
      <c r="C1760" s="58">
        <f t="shared" si="218"/>
        <v>42.865548073852906</v>
      </c>
      <c r="D1760" s="83">
        <f t="shared" si="215"/>
        <v>181.53724065830184</v>
      </c>
      <c r="E1760">
        <f t="shared" si="211"/>
        <v>10.84948408897467</v>
      </c>
      <c r="G1760">
        <v>1710</v>
      </c>
      <c r="H1760" s="13">
        <f t="shared" si="216"/>
        <v>5.1608656820917531E-2</v>
      </c>
      <c r="I1760">
        <f t="shared" si="217"/>
        <v>130.55339807385369</v>
      </c>
      <c r="J1760" t="e">
        <f t="shared" si="212"/>
        <v>#NUM!</v>
      </c>
      <c r="K1760" s="27" t="e">
        <f t="shared" si="213"/>
        <v>#NUM!</v>
      </c>
    </row>
    <row r="1761" spans="1:11">
      <c r="A1761" s="26">
        <v>1711</v>
      </c>
      <c r="B1761" s="82">
        <f t="shared" si="214"/>
        <v>3.2921237647087764E-4</v>
      </c>
      <c r="C1761" s="58">
        <f t="shared" si="218"/>
        <v>42.865877286229377</v>
      </c>
      <c r="D1761" s="83">
        <f t="shared" si="215"/>
        <v>181.53785661928976</v>
      </c>
      <c r="E1761">
        <f t="shared" si="211"/>
        <v>10.84955771266368</v>
      </c>
      <c r="G1761">
        <v>1711</v>
      </c>
      <c r="H1761" s="13">
        <f t="shared" si="216"/>
        <v>5.1608656820917531E-2</v>
      </c>
      <c r="I1761">
        <f t="shared" si="217"/>
        <v>130.6050067306746</v>
      </c>
      <c r="J1761" t="e">
        <f t="shared" si="212"/>
        <v>#NUM!</v>
      </c>
      <c r="K1761" s="27" t="e">
        <f t="shared" si="213"/>
        <v>#NUM!</v>
      </c>
    </row>
    <row r="1762" spans="1:11">
      <c r="A1762" s="26">
        <v>1712</v>
      </c>
      <c r="B1762" s="82">
        <f t="shared" si="214"/>
        <v>3.2921237647087764E-4</v>
      </c>
      <c r="C1762" s="58">
        <f t="shared" si="218"/>
        <v>42.866206498605848</v>
      </c>
      <c r="D1762" s="83">
        <f t="shared" si="215"/>
        <v>181.5384725547903</v>
      </c>
      <c r="E1762">
        <f t="shared" si="211"/>
        <v>10.849631333556145</v>
      </c>
      <c r="G1762">
        <v>1712</v>
      </c>
      <c r="H1762" s="13">
        <f t="shared" si="216"/>
        <v>5.1608656820917531E-2</v>
      </c>
      <c r="I1762">
        <f t="shared" si="217"/>
        <v>130.65661538749552</v>
      </c>
      <c r="J1762" t="e">
        <f t="shared" si="212"/>
        <v>#NUM!</v>
      </c>
      <c r="K1762" s="27" t="e">
        <f t="shared" si="213"/>
        <v>#NUM!</v>
      </c>
    </row>
    <row r="1763" spans="1:11">
      <c r="A1763" s="26">
        <v>1713</v>
      </c>
      <c r="B1763" s="82">
        <f t="shared" si="214"/>
        <v>3.2921237647087764E-4</v>
      </c>
      <c r="C1763" s="58">
        <f t="shared" si="218"/>
        <v>42.866535710982319</v>
      </c>
      <c r="D1763" s="83">
        <f t="shared" si="215"/>
        <v>181.53908846480596</v>
      </c>
      <c r="E1763">
        <f t="shared" si="211"/>
        <v>10.849704951652329</v>
      </c>
      <c r="G1763">
        <v>1713</v>
      </c>
      <c r="H1763" s="13">
        <f t="shared" si="216"/>
        <v>5.1608656820917531E-2</v>
      </c>
      <c r="I1763">
        <f t="shared" si="217"/>
        <v>130.70822404431644</v>
      </c>
      <c r="J1763" t="e">
        <f t="shared" si="212"/>
        <v>#NUM!</v>
      </c>
      <c r="K1763" s="27" t="e">
        <f t="shared" si="213"/>
        <v>#NUM!</v>
      </c>
    </row>
    <row r="1764" spans="1:11">
      <c r="A1764" s="26">
        <v>1714</v>
      </c>
      <c r="B1764" s="82">
        <f t="shared" si="214"/>
        <v>3.2921237647087764E-4</v>
      </c>
      <c r="C1764" s="58">
        <f t="shared" si="218"/>
        <v>42.86686492335879</v>
      </c>
      <c r="D1764" s="83">
        <f t="shared" si="215"/>
        <v>181.53970434933922</v>
      </c>
      <c r="E1764">
        <f t="shared" si="211"/>
        <v>10.849778566952496</v>
      </c>
      <c r="G1764">
        <v>1714</v>
      </c>
      <c r="H1764" s="13">
        <f t="shared" si="216"/>
        <v>5.1608656820917531E-2</v>
      </c>
      <c r="I1764">
        <f t="shared" si="217"/>
        <v>130.75983270113736</v>
      </c>
      <c r="J1764" t="e">
        <f t="shared" si="212"/>
        <v>#NUM!</v>
      </c>
      <c r="K1764" s="27" t="e">
        <f t="shared" si="213"/>
        <v>#NUM!</v>
      </c>
    </row>
    <row r="1765" spans="1:11">
      <c r="A1765" s="26">
        <v>1715</v>
      </c>
      <c r="B1765" s="82">
        <f t="shared" si="214"/>
        <v>3.2921237647087764E-4</v>
      </c>
      <c r="C1765" s="58">
        <f t="shared" si="218"/>
        <v>42.867194135735261</v>
      </c>
      <c r="D1765" s="83">
        <f t="shared" si="215"/>
        <v>181.54032020839253</v>
      </c>
      <c r="E1765">
        <f t="shared" si="211"/>
        <v>10.84985217945691</v>
      </c>
      <c r="G1765">
        <v>1715</v>
      </c>
      <c r="H1765" s="13">
        <f t="shared" si="216"/>
        <v>5.1608656820917531E-2</v>
      </c>
      <c r="I1765">
        <f t="shared" si="217"/>
        <v>130.81144135795827</v>
      </c>
      <c r="J1765" t="e">
        <f t="shared" si="212"/>
        <v>#NUM!</v>
      </c>
      <c r="K1765" s="27" t="e">
        <f t="shared" si="213"/>
        <v>#NUM!</v>
      </c>
    </row>
    <row r="1766" spans="1:11">
      <c r="A1766" s="26">
        <v>1716</v>
      </c>
      <c r="B1766" s="82">
        <f t="shared" si="214"/>
        <v>3.2921237647087764E-4</v>
      </c>
      <c r="C1766" s="58">
        <f t="shared" si="218"/>
        <v>42.867523348111732</v>
      </c>
      <c r="D1766" s="83">
        <f t="shared" si="215"/>
        <v>181.54093604196831</v>
      </c>
      <c r="E1766">
        <f t="shared" si="211"/>
        <v>10.849925789165832</v>
      </c>
      <c r="G1766">
        <v>1716</v>
      </c>
      <c r="H1766" s="13">
        <f t="shared" si="216"/>
        <v>5.1608656820917531E-2</v>
      </c>
      <c r="I1766">
        <f t="shared" si="217"/>
        <v>130.86305001477919</v>
      </c>
      <c r="J1766" t="e">
        <f t="shared" si="212"/>
        <v>#NUM!</v>
      </c>
      <c r="K1766" s="27" t="e">
        <f t="shared" si="213"/>
        <v>#NUM!</v>
      </c>
    </row>
    <row r="1767" spans="1:11">
      <c r="A1767" s="26">
        <v>1717</v>
      </c>
      <c r="B1767" s="82">
        <f t="shared" si="214"/>
        <v>3.2921237647087764E-4</v>
      </c>
      <c r="C1767" s="58">
        <f t="shared" si="218"/>
        <v>42.867852560488203</v>
      </c>
      <c r="D1767" s="83">
        <f t="shared" si="215"/>
        <v>181.54155185006908</v>
      </c>
      <c r="E1767">
        <f t="shared" si="211"/>
        <v>10.849999396079525</v>
      </c>
      <c r="G1767">
        <v>1717</v>
      </c>
      <c r="H1767" s="13">
        <f t="shared" si="216"/>
        <v>5.1608656820917531E-2</v>
      </c>
      <c r="I1767">
        <f t="shared" si="217"/>
        <v>130.91465867160011</v>
      </c>
      <c r="J1767" t="e">
        <f t="shared" si="212"/>
        <v>#NUM!</v>
      </c>
      <c r="K1767" s="27" t="e">
        <f t="shared" si="213"/>
        <v>#NUM!</v>
      </c>
    </row>
    <row r="1768" spans="1:11">
      <c r="A1768" s="26">
        <v>1718</v>
      </c>
      <c r="B1768" s="82">
        <f t="shared" si="214"/>
        <v>3.2921237647087764E-4</v>
      </c>
      <c r="C1768" s="58">
        <f t="shared" si="218"/>
        <v>42.868181772864673</v>
      </c>
      <c r="D1768" s="83">
        <f t="shared" si="215"/>
        <v>181.54216763269727</v>
      </c>
      <c r="E1768">
        <f t="shared" si="211"/>
        <v>10.850073000198252</v>
      </c>
      <c r="G1768">
        <v>1718</v>
      </c>
      <c r="H1768" s="13">
        <f t="shared" si="216"/>
        <v>5.1608656820917531E-2</v>
      </c>
      <c r="I1768">
        <f t="shared" si="217"/>
        <v>130.96626732842103</v>
      </c>
      <c r="J1768" t="e">
        <f t="shared" si="212"/>
        <v>#NUM!</v>
      </c>
      <c r="K1768" s="27" t="e">
        <f t="shared" si="213"/>
        <v>#NUM!</v>
      </c>
    </row>
    <row r="1769" spans="1:11">
      <c r="A1769" s="26">
        <v>1719</v>
      </c>
      <c r="B1769" s="82">
        <f t="shared" si="214"/>
        <v>3.2921237647087764E-4</v>
      </c>
      <c r="C1769" s="58">
        <f t="shared" si="218"/>
        <v>42.868510985241144</v>
      </c>
      <c r="D1769" s="83">
        <f t="shared" si="215"/>
        <v>181.54278338985532</v>
      </c>
      <c r="E1769">
        <f t="shared" si="211"/>
        <v>10.850146601522274</v>
      </c>
      <c r="G1769">
        <v>1719</v>
      </c>
      <c r="H1769" s="13">
        <f t="shared" si="216"/>
        <v>5.1608656820917531E-2</v>
      </c>
      <c r="I1769">
        <f t="shared" si="217"/>
        <v>131.01787598524194</v>
      </c>
      <c r="J1769" t="e">
        <f t="shared" si="212"/>
        <v>#NUM!</v>
      </c>
      <c r="K1769" s="27" t="e">
        <f t="shared" si="213"/>
        <v>#NUM!</v>
      </c>
    </row>
    <row r="1770" spans="1:11">
      <c r="A1770" s="26">
        <v>1720</v>
      </c>
      <c r="B1770" s="82">
        <f t="shared" si="214"/>
        <v>3.2921237647087764E-4</v>
      </c>
      <c r="C1770" s="58">
        <f t="shared" si="218"/>
        <v>42.868840197617615</v>
      </c>
      <c r="D1770" s="83">
        <f t="shared" si="215"/>
        <v>181.54339912154569</v>
      </c>
      <c r="E1770">
        <f t="shared" si="211"/>
        <v>10.850220200051856</v>
      </c>
      <c r="G1770">
        <v>1720</v>
      </c>
      <c r="H1770" s="13">
        <f t="shared" si="216"/>
        <v>5.1608656820917531E-2</v>
      </c>
      <c r="I1770">
        <f t="shared" si="217"/>
        <v>131.06948464206286</v>
      </c>
      <c r="J1770" t="e">
        <f t="shared" si="212"/>
        <v>#NUM!</v>
      </c>
      <c r="K1770" s="27" t="e">
        <f t="shared" si="213"/>
        <v>#NUM!</v>
      </c>
    </row>
    <row r="1771" spans="1:11">
      <c r="A1771" s="26">
        <v>1721</v>
      </c>
      <c r="B1771" s="82">
        <f t="shared" si="214"/>
        <v>3.2921237647087764E-4</v>
      </c>
      <c r="C1771" s="58">
        <f t="shared" si="218"/>
        <v>42.869169409994086</v>
      </c>
      <c r="D1771" s="83">
        <f t="shared" si="215"/>
        <v>181.54401482777089</v>
      </c>
      <c r="E1771">
        <f t="shared" si="211"/>
        <v>10.850293795787264</v>
      </c>
      <c r="G1771">
        <v>1721</v>
      </c>
      <c r="H1771" s="13">
        <f t="shared" si="216"/>
        <v>5.1608656820917531E-2</v>
      </c>
      <c r="I1771">
        <f t="shared" si="217"/>
        <v>131.12109329888378</v>
      </c>
      <c r="J1771" t="e">
        <f t="shared" si="212"/>
        <v>#NUM!</v>
      </c>
      <c r="K1771" s="27" t="e">
        <f t="shared" si="213"/>
        <v>#NUM!</v>
      </c>
    </row>
    <row r="1772" spans="1:11">
      <c r="A1772" s="26">
        <v>1722</v>
      </c>
      <c r="B1772" s="82">
        <f t="shared" si="214"/>
        <v>3.2921237647087764E-4</v>
      </c>
      <c r="C1772" s="58">
        <f t="shared" si="218"/>
        <v>42.869498622370557</v>
      </c>
      <c r="D1772" s="83">
        <f t="shared" si="215"/>
        <v>181.54463050853332</v>
      </c>
      <c r="E1772">
        <f t="shared" si="211"/>
        <v>10.850367388728754</v>
      </c>
      <c r="G1772">
        <v>1722</v>
      </c>
      <c r="H1772" s="13">
        <f t="shared" si="216"/>
        <v>5.1608656820917531E-2</v>
      </c>
      <c r="I1772">
        <f t="shared" si="217"/>
        <v>131.1727019557047</v>
      </c>
      <c r="J1772" t="e">
        <f t="shared" si="212"/>
        <v>#NUM!</v>
      </c>
      <c r="K1772" s="27" t="e">
        <f t="shared" si="213"/>
        <v>#NUM!</v>
      </c>
    </row>
    <row r="1773" spans="1:11">
      <c r="A1773" s="26">
        <v>1723</v>
      </c>
      <c r="B1773" s="82">
        <f t="shared" si="214"/>
        <v>3.2921237647087764E-4</v>
      </c>
      <c r="C1773" s="58">
        <f t="shared" si="218"/>
        <v>42.869827834747028</v>
      </c>
      <c r="D1773" s="83">
        <f t="shared" si="215"/>
        <v>181.54524616383546</v>
      </c>
      <c r="E1773">
        <f t="shared" si="211"/>
        <v>10.850440978876593</v>
      </c>
      <c r="G1773">
        <v>1723</v>
      </c>
      <c r="H1773" s="13">
        <f t="shared" si="216"/>
        <v>5.1608656820917531E-2</v>
      </c>
      <c r="I1773">
        <f t="shared" si="217"/>
        <v>131.22431061252561</v>
      </c>
      <c r="J1773" t="e">
        <f t="shared" si="212"/>
        <v>#NUM!</v>
      </c>
      <c r="K1773" s="27" t="e">
        <f t="shared" si="213"/>
        <v>#NUM!</v>
      </c>
    </row>
    <row r="1774" spans="1:11">
      <c r="A1774" s="26">
        <v>1724</v>
      </c>
      <c r="B1774" s="82">
        <f t="shared" si="214"/>
        <v>3.2921237647087764E-4</v>
      </c>
      <c r="C1774" s="58">
        <f t="shared" si="218"/>
        <v>42.870157047123499</v>
      </c>
      <c r="D1774" s="83">
        <f t="shared" si="215"/>
        <v>181.54586179367976</v>
      </c>
      <c r="E1774">
        <f t="shared" si="211"/>
        <v>10.850514566231043</v>
      </c>
      <c r="G1774">
        <v>1724</v>
      </c>
      <c r="H1774" s="13">
        <f t="shared" si="216"/>
        <v>5.1608656820917531E-2</v>
      </c>
      <c r="I1774">
        <f t="shared" si="217"/>
        <v>131.27591926934653</v>
      </c>
      <c r="J1774" t="e">
        <f t="shared" si="212"/>
        <v>#NUM!</v>
      </c>
      <c r="K1774" s="27" t="e">
        <f t="shared" si="213"/>
        <v>#NUM!</v>
      </c>
    </row>
    <row r="1775" spans="1:11">
      <c r="A1775" s="26">
        <v>1725</v>
      </c>
      <c r="B1775" s="82">
        <f t="shared" si="214"/>
        <v>3.2921237647087764E-4</v>
      </c>
      <c r="C1775" s="58">
        <f t="shared" si="218"/>
        <v>42.87048625949997</v>
      </c>
      <c r="D1775" s="83">
        <f t="shared" si="215"/>
        <v>181.5464773980687</v>
      </c>
      <c r="E1775">
        <f t="shared" si="211"/>
        <v>10.850588150792369</v>
      </c>
      <c r="G1775">
        <v>1725</v>
      </c>
      <c r="H1775" s="13">
        <f t="shared" si="216"/>
        <v>5.1608656820917531E-2</v>
      </c>
      <c r="I1775">
        <f t="shared" si="217"/>
        <v>131.32752792616745</v>
      </c>
      <c r="J1775" t="e">
        <f t="shared" si="212"/>
        <v>#NUM!</v>
      </c>
      <c r="K1775" s="27" t="e">
        <f t="shared" si="213"/>
        <v>#NUM!</v>
      </c>
    </row>
    <row r="1776" spans="1:11">
      <c r="A1776" s="26">
        <v>1726</v>
      </c>
      <c r="B1776" s="82">
        <f t="shared" si="214"/>
        <v>3.2921237647087764E-4</v>
      </c>
      <c r="C1776" s="58">
        <f t="shared" si="218"/>
        <v>42.87081547187644</v>
      </c>
      <c r="D1776" s="83">
        <f t="shared" si="215"/>
        <v>181.5470929770047</v>
      </c>
      <c r="E1776">
        <f t="shared" si="211"/>
        <v>10.850661732560825</v>
      </c>
      <c r="G1776">
        <v>1726</v>
      </c>
      <c r="H1776" s="13">
        <f t="shared" si="216"/>
        <v>5.1608656820917531E-2</v>
      </c>
      <c r="I1776">
        <f t="shared" si="217"/>
        <v>131.37913658298837</v>
      </c>
      <c r="J1776" t="e">
        <f t="shared" si="212"/>
        <v>#NUM!</v>
      </c>
      <c r="K1776" s="27" t="e">
        <f t="shared" si="213"/>
        <v>#NUM!</v>
      </c>
    </row>
    <row r="1777" spans="1:11">
      <c r="A1777" s="26">
        <v>1727</v>
      </c>
      <c r="B1777" s="82">
        <f t="shared" si="214"/>
        <v>3.2921237647087764E-4</v>
      </c>
      <c r="C1777" s="58">
        <f t="shared" si="218"/>
        <v>42.871144684252911</v>
      </c>
      <c r="D1777" s="83">
        <f t="shared" si="215"/>
        <v>181.54770853049021</v>
      </c>
      <c r="E1777">
        <f t="shared" si="211"/>
        <v>10.850735311536681</v>
      </c>
      <c r="G1777">
        <v>1727</v>
      </c>
      <c r="H1777" s="13">
        <f t="shared" si="216"/>
        <v>5.1608656820917531E-2</v>
      </c>
      <c r="I1777">
        <f t="shared" si="217"/>
        <v>131.43074523980928</v>
      </c>
      <c r="J1777" t="e">
        <f t="shared" si="212"/>
        <v>#NUM!</v>
      </c>
      <c r="K1777" s="27" t="e">
        <f t="shared" si="213"/>
        <v>#NUM!</v>
      </c>
    </row>
    <row r="1778" spans="1:11">
      <c r="A1778" s="26">
        <v>1728</v>
      </c>
      <c r="B1778" s="82">
        <f t="shared" si="214"/>
        <v>3.2921237647087764E-4</v>
      </c>
      <c r="C1778" s="58">
        <f t="shared" si="218"/>
        <v>42.871473896629382</v>
      </c>
      <c r="D1778" s="83">
        <f t="shared" si="215"/>
        <v>181.54832405852773</v>
      </c>
      <c r="E1778">
        <f t="shared" si="211"/>
        <v>10.850808887720197</v>
      </c>
      <c r="G1778">
        <v>1728</v>
      </c>
      <c r="H1778" s="13">
        <f t="shared" si="216"/>
        <v>5.1608656820917531E-2</v>
      </c>
      <c r="I1778">
        <f t="shared" si="217"/>
        <v>131.4823538966302</v>
      </c>
      <c r="J1778" t="e">
        <f t="shared" si="212"/>
        <v>#NUM!</v>
      </c>
      <c r="K1778" s="27" t="e">
        <f t="shared" si="213"/>
        <v>#NUM!</v>
      </c>
    </row>
    <row r="1779" spans="1:11">
      <c r="A1779" s="26">
        <v>1729</v>
      </c>
      <c r="B1779" s="82">
        <f t="shared" si="214"/>
        <v>3.2921237647087764E-4</v>
      </c>
      <c r="C1779" s="58">
        <f t="shared" si="218"/>
        <v>42.871803109005853</v>
      </c>
      <c r="D1779" s="83">
        <f t="shared" si="215"/>
        <v>181.54893956111965</v>
      </c>
      <c r="E1779">
        <f t="shared" ref="E1779:E1842" si="219">((D1779^2)+(D1779*D1780)+(D1780^2))*B1780/3</f>
        <v>10.850882461111638</v>
      </c>
      <c r="G1779">
        <v>1729</v>
      </c>
      <c r="H1779" s="13">
        <f t="shared" si="216"/>
        <v>5.1608656820917531E-2</v>
      </c>
      <c r="I1779">
        <f t="shared" si="217"/>
        <v>131.53396255345112</v>
      </c>
      <c r="J1779" t="e">
        <f t="shared" ref="J1779:J1842" si="220">IF($G$28&lt;$C$14,0,((($C$11^2)-((I1779-$C$13)^2))^0.5)+$C$16)</f>
        <v>#NUM!</v>
      </c>
      <c r="K1779" s="27" t="e">
        <f t="shared" ref="K1779:K1842" si="221">((J1779^2)+(J1779*J1780)+(J1780^2))*H1780/3</f>
        <v>#NUM!</v>
      </c>
    </row>
    <row r="1780" spans="1:11">
      <c r="A1780" s="26">
        <v>1730</v>
      </c>
      <c r="B1780" s="82">
        <f t="shared" ref="B1780:B1843" si="222">C1780-C1779</f>
        <v>3.2921237647087764E-4</v>
      </c>
      <c r="C1780" s="58">
        <f t="shared" si="218"/>
        <v>42.872132321382324</v>
      </c>
      <c r="D1780" s="83">
        <f t="shared" ref="D1780:D1843" si="223">IF($G$28&lt;$C$14,0,((($C$11^2)-((C1780-$C$13)^2))^0.5)+$C$16)</f>
        <v>181.54955503826849</v>
      </c>
      <c r="E1780">
        <f t="shared" si="219"/>
        <v>10.850956031711263</v>
      </c>
      <c r="G1780">
        <v>1730</v>
      </c>
      <c r="H1780" s="13">
        <f t="shared" ref="H1780:H1843" si="224">I1780-I1779</f>
        <v>5.1608656820917531E-2</v>
      </c>
      <c r="I1780">
        <f t="shared" ref="I1780:I1843" si="225">($G$27-$C$14)/2000+I1779</f>
        <v>131.58557121027204</v>
      </c>
      <c r="J1780" t="e">
        <f t="shared" si="220"/>
        <v>#NUM!</v>
      </c>
      <c r="K1780" s="27" t="e">
        <f t="shared" si="221"/>
        <v>#NUM!</v>
      </c>
    </row>
    <row r="1781" spans="1:11">
      <c r="A1781" s="26">
        <v>1731</v>
      </c>
      <c r="B1781" s="82">
        <f t="shared" si="222"/>
        <v>3.2921237647087764E-4</v>
      </c>
      <c r="C1781" s="58">
        <f t="shared" si="218"/>
        <v>42.872461533758795</v>
      </c>
      <c r="D1781" s="83">
        <f t="shared" si="223"/>
        <v>181.55017048997667</v>
      </c>
      <c r="E1781">
        <f t="shared" si="219"/>
        <v>10.851029599519331</v>
      </c>
      <c r="G1781">
        <v>1731</v>
      </c>
      <c r="H1781" s="13">
        <f t="shared" si="224"/>
        <v>5.1608656820917531E-2</v>
      </c>
      <c r="I1781">
        <f t="shared" si="225"/>
        <v>131.63717986709295</v>
      </c>
      <c r="J1781" t="e">
        <f t="shared" si="220"/>
        <v>#NUM!</v>
      </c>
      <c r="K1781" s="27" t="e">
        <f t="shared" si="221"/>
        <v>#NUM!</v>
      </c>
    </row>
    <row r="1782" spans="1:11">
      <c r="A1782" s="26">
        <v>1732</v>
      </c>
      <c r="B1782" s="82">
        <f t="shared" si="222"/>
        <v>3.2921237647087764E-4</v>
      </c>
      <c r="C1782" s="58">
        <f t="shared" si="218"/>
        <v>42.872790746135266</v>
      </c>
      <c r="D1782" s="83">
        <f t="shared" si="223"/>
        <v>181.55078591624664</v>
      </c>
      <c r="E1782">
        <f t="shared" si="219"/>
        <v>10.851103164536115</v>
      </c>
      <c r="G1782">
        <v>1732</v>
      </c>
      <c r="H1782" s="13">
        <f t="shared" si="224"/>
        <v>5.1608656820917531E-2</v>
      </c>
      <c r="I1782">
        <f t="shared" si="225"/>
        <v>131.68878852391387</v>
      </c>
      <c r="J1782" t="e">
        <f t="shared" si="220"/>
        <v>#NUM!</v>
      </c>
      <c r="K1782" s="27" t="e">
        <f t="shared" si="221"/>
        <v>#NUM!</v>
      </c>
    </row>
    <row r="1783" spans="1:11">
      <c r="A1783" s="26">
        <v>1733</v>
      </c>
      <c r="B1783" s="82">
        <f t="shared" si="222"/>
        <v>3.2921237647087764E-4</v>
      </c>
      <c r="C1783" s="58">
        <f t="shared" si="218"/>
        <v>42.873119958511737</v>
      </c>
      <c r="D1783" s="83">
        <f t="shared" si="223"/>
        <v>181.55140131708086</v>
      </c>
      <c r="E1783">
        <f t="shared" si="219"/>
        <v>10.851176726761871</v>
      </c>
      <c r="G1783">
        <v>1733</v>
      </c>
      <c r="H1783" s="13">
        <f t="shared" si="224"/>
        <v>5.1608656820917531E-2</v>
      </c>
      <c r="I1783">
        <f t="shared" si="225"/>
        <v>131.74039718073479</v>
      </c>
      <c r="J1783" t="e">
        <f t="shared" si="220"/>
        <v>#NUM!</v>
      </c>
      <c r="K1783" s="27" t="e">
        <f t="shared" si="221"/>
        <v>#NUM!</v>
      </c>
    </row>
    <row r="1784" spans="1:11">
      <c r="A1784" s="26">
        <v>1734</v>
      </c>
      <c r="B1784" s="82">
        <f t="shared" si="222"/>
        <v>3.2921237647087764E-4</v>
      </c>
      <c r="C1784" s="58">
        <f t="shared" si="218"/>
        <v>42.873449170888208</v>
      </c>
      <c r="D1784" s="83">
        <f t="shared" si="223"/>
        <v>181.5520166924818</v>
      </c>
      <c r="E1784">
        <f t="shared" si="219"/>
        <v>10.85125028619686</v>
      </c>
      <c r="G1784">
        <v>1734</v>
      </c>
      <c r="H1784" s="13">
        <f t="shared" si="224"/>
        <v>5.1608656820917531E-2</v>
      </c>
      <c r="I1784">
        <f t="shared" si="225"/>
        <v>131.79200583755571</v>
      </c>
      <c r="J1784" t="e">
        <f t="shared" si="220"/>
        <v>#NUM!</v>
      </c>
      <c r="K1784" s="27" t="e">
        <f t="shared" si="221"/>
        <v>#NUM!</v>
      </c>
    </row>
    <row r="1785" spans="1:11">
      <c r="A1785" s="26">
        <v>1735</v>
      </c>
      <c r="B1785" s="82">
        <f t="shared" si="222"/>
        <v>3.2921237647087764E-4</v>
      </c>
      <c r="C1785" s="58">
        <f t="shared" si="218"/>
        <v>42.873778383264678</v>
      </c>
      <c r="D1785" s="83">
        <f t="shared" si="223"/>
        <v>181.55263204245188</v>
      </c>
      <c r="E1785">
        <f t="shared" si="219"/>
        <v>10.851323842841344</v>
      </c>
      <c r="G1785">
        <v>1735</v>
      </c>
      <c r="H1785" s="13">
        <f t="shared" si="224"/>
        <v>5.1608656820917531E-2</v>
      </c>
      <c r="I1785">
        <f t="shared" si="225"/>
        <v>131.84361449437662</v>
      </c>
      <c r="J1785" t="e">
        <f t="shared" si="220"/>
        <v>#NUM!</v>
      </c>
      <c r="K1785" s="27" t="e">
        <f t="shared" si="221"/>
        <v>#NUM!</v>
      </c>
    </row>
    <row r="1786" spans="1:11">
      <c r="A1786" s="26">
        <v>1736</v>
      </c>
      <c r="B1786" s="82">
        <f t="shared" si="222"/>
        <v>3.2921237647087764E-4</v>
      </c>
      <c r="C1786" s="58">
        <f t="shared" si="218"/>
        <v>42.874107595641149</v>
      </c>
      <c r="D1786" s="83">
        <f t="shared" si="223"/>
        <v>181.55324736699356</v>
      </c>
      <c r="E1786">
        <f t="shared" si="219"/>
        <v>10.851397396695587</v>
      </c>
      <c r="G1786">
        <v>1736</v>
      </c>
      <c r="H1786" s="13">
        <f t="shared" si="224"/>
        <v>5.1608656820917531E-2</v>
      </c>
      <c r="I1786">
        <f t="shared" si="225"/>
        <v>131.89522315119754</v>
      </c>
      <c r="J1786" t="e">
        <f t="shared" si="220"/>
        <v>#NUM!</v>
      </c>
      <c r="K1786" s="27" t="e">
        <f t="shared" si="221"/>
        <v>#NUM!</v>
      </c>
    </row>
    <row r="1787" spans="1:11">
      <c r="A1787" s="26">
        <v>1737</v>
      </c>
      <c r="B1787" s="82">
        <f t="shared" si="222"/>
        <v>3.2921237647087764E-4</v>
      </c>
      <c r="C1787" s="58">
        <f t="shared" si="218"/>
        <v>42.87443680801762</v>
      </c>
      <c r="D1787" s="83">
        <f t="shared" si="223"/>
        <v>181.55386266610927</v>
      </c>
      <c r="E1787">
        <f t="shared" si="219"/>
        <v>10.851470947759848</v>
      </c>
      <c r="G1787">
        <v>1737</v>
      </c>
      <c r="H1787" s="13">
        <f t="shared" si="224"/>
        <v>5.1608656820917531E-2</v>
      </c>
      <c r="I1787">
        <f t="shared" si="225"/>
        <v>131.94683180801846</v>
      </c>
      <c r="J1787" t="e">
        <f t="shared" si="220"/>
        <v>#NUM!</v>
      </c>
      <c r="K1787" s="27" t="e">
        <f t="shared" si="221"/>
        <v>#NUM!</v>
      </c>
    </row>
    <row r="1788" spans="1:11">
      <c r="A1788" s="26">
        <v>1738</v>
      </c>
      <c r="B1788" s="82">
        <f t="shared" si="222"/>
        <v>3.2921237647087764E-4</v>
      </c>
      <c r="C1788" s="58">
        <f t="shared" si="218"/>
        <v>42.874766020394091</v>
      </c>
      <c r="D1788" s="83">
        <f t="shared" si="223"/>
        <v>181.5544779398015</v>
      </c>
      <c r="E1788">
        <f t="shared" si="219"/>
        <v>10.851544496034391</v>
      </c>
      <c r="G1788">
        <v>1738</v>
      </c>
      <c r="H1788" s="13">
        <f t="shared" si="224"/>
        <v>5.1608656820917531E-2</v>
      </c>
      <c r="I1788">
        <f t="shared" si="225"/>
        <v>131.99844046483938</v>
      </c>
      <c r="J1788" t="e">
        <f t="shared" si="220"/>
        <v>#NUM!</v>
      </c>
      <c r="K1788" s="27" t="e">
        <f t="shared" si="221"/>
        <v>#NUM!</v>
      </c>
    </row>
    <row r="1789" spans="1:11">
      <c r="A1789" s="26">
        <v>1739</v>
      </c>
      <c r="B1789" s="82">
        <f t="shared" si="222"/>
        <v>3.2921237647087764E-4</v>
      </c>
      <c r="C1789" s="58">
        <f t="shared" si="218"/>
        <v>42.875095232770562</v>
      </c>
      <c r="D1789" s="83">
        <f t="shared" si="223"/>
        <v>181.5550931880727</v>
      </c>
      <c r="E1789">
        <f t="shared" si="219"/>
        <v>10.851618041519481</v>
      </c>
      <c r="G1789">
        <v>1739</v>
      </c>
      <c r="H1789" s="13">
        <f t="shared" si="224"/>
        <v>5.1608656820917531E-2</v>
      </c>
      <c r="I1789">
        <f t="shared" si="225"/>
        <v>132.05004912166029</v>
      </c>
      <c r="J1789" t="e">
        <f t="shared" si="220"/>
        <v>#NUM!</v>
      </c>
      <c r="K1789" s="27" t="e">
        <f t="shared" si="221"/>
        <v>#NUM!</v>
      </c>
    </row>
    <row r="1790" spans="1:11">
      <c r="A1790" s="26">
        <v>1740</v>
      </c>
      <c r="B1790" s="82">
        <f t="shared" si="222"/>
        <v>3.2921237647087764E-4</v>
      </c>
      <c r="C1790" s="58">
        <f t="shared" si="218"/>
        <v>42.875424445147033</v>
      </c>
      <c r="D1790" s="83">
        <f t="shared" si="223"/>
        <v>181.55570841092529</v>
      </c>
      <c r="E1790">
        <f t="shared" si="219"/>
        <v>10.851691584215375</v>
      </c>
      <c r="G1790">
        <v>1740</v>
      </c>
      <c r="H1790" s="13">
        <f t="shared" si="224"/>
        <v>5.1608656820917531E-2</v>
      </c>
      <c r="I1790">
        <f t="shared" si="225"/>
        <v>132.10165777848121</v>
      </c>
      <c r="J1790" t="e">
        <f t="shared" si="220"/>
        <v>#NUM!</v>
      </c>
      <c r="K1790" s="27" t="e">
        <f t="shared" si="221"/>
        <v>#NUM!</v>
      </c>
    </row>
    <row r="1791" spans="1:11">
      <c r="A1791" s="26">
        <v>1741</v>
      </c>
      <c r="B1791" s="82">
        <f t="shared" si="222"/>
        <v>3.2921237647087764E-4</v>
      </c>
      <c r="C1791" s="58">
        <f t="shared" si="218"/>
        <v>42.875753657523504</v>
      </c>
      <c r="D1791" s="83">
        <f t="shared" si="223"/>
        <v>181.55632360836174</v>
      </c>
      <c r="E1791">
        <f t="shared" si="219"/>
        <v>10.851765124122338</v>
      </c>
      <c r="G1791">
        <v>1741</v>
      </c>
      <c r="H1791" s="13">
        <f t="shared" si="224"/>
        <v>5.1608656820917531E-2</v>
      </c>
      <c r="I1791">
        <f t="shared" si="225"/>
        <v>132.15326643530213</v>
      </c>
      <c r="J1791" t="e">
        <f t="shared" si="220"/>
        <v>#NUM!</v>
      </c>
      <c r="K1791" s="27" t="e">
        <f t="shared" si="221"/>
        <v>#NUM!</v>
      </c>
    </row>
    <row r="1792" spans="1:11">
      <c r="A1792" s="26">
        <v>1742</v>
      </c>
      <c r="B1792" s="82">
        <f t="shared" si="222"/>
        <v>3.2921237647087764E-4</v>
      </c>
      <c r="C1792" s="58">
        <f t="shared" si="218"/>
        <v>42.876082869899975</v>
      </c>
      <c r="D1792" s="83">
        <f t="shared" si="223"/>
        <v>181.55693878038448</v>
      </c>
      <c r="E1792">
        <f t="shared" si="219"/>
        <v>10.851838661240629</v>
      </c>
      <c r="G1792">
        <v>1742</v>
      </c>
      <c r="H1792" s="13">
        <f t="shared" si="224"/>
        <v>5.1608656820917531E-2</v>
      </c>
      <c r="I1792">
        <f t="shared" si="225"/>
        <v>132.20487509212305</v>
      </c>
      <c r="J1792" t="e">
        <f t="shared" si="220"/>
        <v>#NUM!</v>
      </c>
      <c r="K1792" s="27" t="e">
        <f t="shared" si="221"/>
        <v>#NUM!</v>
      </c>
    </row>
    <row r="1793" spans="1:11">
      <c r="A1793" s="26">
        <v>1743</v>
      </c>
      <c r="B1793" s="82">
        <f t="shared" si="222"/>
        <v>3.2921237647087764E-4</v>
      </c>
      <c r="C1793" s="58">
        <f t="shared" si="218"/>
        <v>42.876412082276445</v>
      </c>
      <c r="D1793" s="83">
        <f t="shared" si="223"/>
        <v>181.55755392699598</v>
      </c>
      <c r="E1793">
        <f t="shared" si="219"/>
        <v>10.851912195570515</v>
      </c>
      <c r="G1793">
        <v>1743</v>
      </c>
      <c r="H1793" s="13">
        <f t="shared" si="224"/>
        <v>5.1608656820917531E-2</v>
      </c>
      <c r="I1793">
        <f t="shared" si="225"/>
        <v>132.25648374894396</v>
      </c>
      <c r="J1793" t="e">
        <f t="shared" si="220"/>
        <v>#NUM!</v>
      </c>
      <c r="K1793" s="27" t="e">
        <f t="shared" si="221"/>
        <v>#NUM!</v>
      </c>
    </row>
    <row r="1794" spans="1:11">
      <c r="A1794" s="26">
        <v>1744</v>
      </c>
      <c r="B1794" s="82">
        <f t="shared" si="222"/>
        <v>3.2921237647087764E-4</v>
      </c>
      <c r="C1794" s="58">
        <f t="shared" si="218"/>
        <v>42.876741294652916</v>
      </c>
      <c r="D1794" s="83">
        <f t="shared" si="223"/>
        <v>181.55816904819869</v>
      </c>
      <c r="E1794">
        <f t="shared" si="219"/>
        <v>10.851985727112252</v>
      </c>
      <c r="G1794">
        <v>1744</v>
      </c>
      <c r="H1794" s="13">
        <f t="shared" si="224"/>
        <v>5.1608656820917531E-2</v>
      </c>
      <c r="I1794">
        <f t="shared" si="225"/>
        <v>132.30809240576488</v>
      </c>
      <c r="J1794" t="e">
        <f t="shared" si="220"/>
        <v>#NUM!</v>
      </c>
      <c r="K1794" s="27" t="e">
        <f t="shared" si="221"/>
        <v>#NUM!</v>
      </c>
    </row>
    <row r="1795" spans="1:11">
      <c r="A1795" s="26">
        <v>1745</v>
      </c>
      <c r="B1795" s="82">
        <f t="shared" si="222"/>
        <v>3.2921237647087764E-4</v>
      </c>
      <c r="C1795" s="58">
        <f t="shared" si="218"/>
        <v>42.877070507029387</v>
      </c>
      <c r="D1795" s="83">
        <f t="shared" si="223"/>
        <v>181.55878414399501</v>
      </c>
      <c r="E1795">
        <f t="shared" si="219"/>
        <v>10.852059255866108</v>
      </c>
      <c r="G1795">
        <v>1745</v>
      </c>
      <c r="H1795" s="13">
        <f t="shared" si="224"/>
        <v>5.1608656820917531E-2</v>
      </c>
      <c r="I1795">
        <f t="shared" si="225"/>
        <v>132.3597010625858</v>
      </c>
      <c r="J1795" t="e">
        <f t="shared" si="220"/>
        <v>#NUM!</v>
      </c>
      <c r="K1795" s="27" t="e">
        <f t="shared" si="221"/>
        <v>#NUM!</v>
      </c>
    </row>
    <row r="1796" spans="1:11">
      <c r="A1796" s="26">
        <v>1746</v>
      </c>
      <c r="B1796" s="82">
        <f t="shared" si="222"/>
        <v>3.2921237647087764E-4</v>
      </c>
      <c r="C1796" s="58">
        <f t="shared" si="218"/>
        <v>42.877399719405858</v>
      </c>
      <c r="D1796" s="83">
        <f t="shared" si="223"/>
        <v>181.55939921438744</v>
      </c>
      <c r="E1796">
        <f t="shared" si="219"/>
        <v>10.852132781832333</v>
      </c>
      <c r="G1796">
        <v>1746</v>
      </c>
      <c r="H1796" s="13">
        <f t="shared" si="224"/>
        <v>5.1608656820917531E-2</v>
      </c>
      <c r="I1796">
        <f t="shared" si="225"/>
        <v>132.41130971940672</v>
      </c>
      <c r="J1796" t="e">
        <f t="shared" si="220"/>
        <v>#NUM!</v>
      </c>
      <c r="K1796" s="27" t="e">
        <f t="shared" si="221"/>
        <v>#NUM!</v>
      </c>
    </row>
    <row r="1797" spans="1:11">
      <c r="A1797" s="26">
        <v>1747</v>
      </c>
      <c r="B1797" s="82">
        <f t="shared" si="222"/>
        <v>3.2921237647087764E-4</v>
      </c>
      <c r="C1797" s="58">
        <f t="shared" si="218"/>
        <v>42.877728931782329</v>
      </c>
      <c r="D1797" s="83">
        <f t="shared" si="223"/>
        <v>181.56001425937842</v>
      </c>
      <c r="E1797">
        <f t="shared" si="219"/>
        <v>10.852206305011201</v>
      </c>
      <c r="G1797">
        <v>1747</v>
      </c>
      <c r="H1797" s="13">
        <f t="shared" si="224"/>
        <v>5.1608656820917531E-2</v>
      </c>
      <c r="I1797">
        <f t="shared" si="225"/>
        <v>132.46291837622763</v>
      </c>
      <c r="J1797" t="e">
        <f t="shared" si="220"/>
        <v>#NUM!</v>
      </c>
      <c r="K1797" s="27" t="e">
        <f t="shared" si="221"/>
        <v>#NUM!</v>
      </c>
    </row>
    <row r="1798" spans="1:11">
      <c r="A1798" s="26">
        <v>1748</v>
      </c>
      <c r="B1798" s="82">
        <f t="shared" si="222"/>
        <v>3.2921237647087764E-4</v>
      </c>
      <c r="C1798" s="58">
        <f t="shared" si="218"/>
        <v>42.8780581441588</v>
      </c>
      <c r="D1798" s="83">
        <f t="shared" si="223"/>
        <v>181.56062927897037</v>
      </c>
      <c r="E1798">
        <f t="shared" si="219"/>
        <v>10.852279825402967</v>
      </c>
      <c r="G1798">
        <v>1748</v>
      </c>
      <c r="H1798" s="13">
        <f t="shared" si="224"/>
        <v>5.1608656820917531E-2</v>
      </c>
      <c r="I1798">
        <f t="shared" si="225"/>
        <v>132.51452703304855</v>
      </c>
      <c r="J1798" t="e">
        <f t="shared" si="220"/>
        <v>#NUM!</v>
      </c>
      <c r="K1798" s="27" t="e">
        <f t="shared" si="221"/>
        <v>#NUM!</v>
      </c>
    </row>
    <row r="1799" spans="1:11">
      <c r="A1799" s="26">
        <v>1749</v>
      </c>
      <c r="B1799" s="82">
        <f t="shared" si="222"/>
        <v>3.2921237647087764E-4</v>
      </c>
      <c r="C1799" s="58">
        <f t="shared" si="218"/>
        <v>42.878387356535271</v>
      </c>
      <c r="D1799" s="83">
        <f t="shared" si="223"/>
        <v>181.56124427316576</v>
      </c>
      <c r="E1799">
        <f t="shared" si="219"/>
        <v>10.852353343007893</v>
      </c>
      <c r="G1799">
        <v>1749</v>
      </c>
      <c r="H1799" s="13">
        <f t="shared" si="224"/>
        <v>5.1608656820917531E-2</v>
      </c>
      <c r="I1799">
        <f t="shared" si="225"/>
        <v>132.56613568986947</v>
      </c>
      <c r="J1799" t="e">
        <f t="shared" si="220"/>
        <v>#NUM!</v>
      </c>
      <c r="K1799" s="27" t="e">
        <f t="shared" si="221"/>
        <v>#NUM!</v>
      </c>
    </row>
    <row r="1800" spans="1:11">
      <c r="A1800" s="26">
        <v>1750</v>
      </c>
      <c r="B1800" s="82">
        <f t="shared" si="222"/>
        <v>3.2921237647087764E-4</v>
      </c>
      <c r="C1800" s="58">
        <f t="shared" si="218"/>
        <v>42.878716568911742</v>
      </c>
      <c r="D1800" s="83">
        <f t="shared" si="223"/>
        <v>181.561859241967</v>
      </c>
      <c r="E1800">
        <f t="shared" si="219"/>
        <v>10.852426857826243</v>
      </c>
      <c r="G1800">
        <v>1750</v>
      </c>
      <c r="H1800" s="13">
        <f t="shared" si="224"/>
        <v>5.1608656820917531E-2</v>
      </c>
      <c r="I1800">
        <f t="shared" si="225"/>
        <v>132.61774434669039</v>
      </c>
      <c r="J1800" t="e">
        <f t="shared" si="220"/>
        <v>#NUM!</v>
      </c>
      <c r="K1800" s="27" t="e">
        <f t="shared" si="221"/>
        <v>#NUM!</v>
      </c>
    </row>
    <row r="1801" spans="1:11">
      <c r="A1801" s="26">
        <v>1751</v>
      </c>
      <c r="B1801" s="82">
        <f t="shared" si="222"/>
        <v>3.2921237647087764E-4</v>
      </c>
      <c r="C1801" s="58">
        <f t="shared" si="218"/>
        <v>42.879045781288212</v>
      </c>
      <c r="D1801" s="83">
        <f t="shared" si="223"/>
        <v>181.56247418537657</v>
      </c>
      <c r="E1801">
        <f t="shared" si="219"/>
        <v>10.852500369858278</v>
      </c>
      <c r="G1801">
        <v>1751</v>
      </c>
      <c r="H1801" s="13">
        <f t="shared" si="224"/>
        <v>5.1608656820917531E-2</v>
      </c>
      <c r="I1801">
        <f t="shared" si="225"/>
        <v>132.6693530035113</v>
      </c>
      <c r="J1801" t="e">
        <f t="shared" si="220"/>
        <v>#NUM!</v>
      </c>
      <c r="K1801" s="27" t="e">
        <f t="shared" si="221"/>
        <v>#NUM!</v>
      </c>
    </row>
    <row r="1802" spans="1:11">
      <c r="A1802" s="26">
        <v>1752</v>
      </c>
      <c r="B1802" s="82">
        <f t="shared" si="222"/>
        <v>3.2921237647087764E-4</v>
      </c>
      <c r="C1802" s="58">
        <f t="shared" si="218"/>
        <v>42.879374993664683</v>
      </c>
      <c r="D1802" s="83">
        <f t="shared" si="223"/>
        <v>181.56308910339692</v>
      </c>
      <c r="E1802">
        <f t="shared" si="219"/>
        <v>10.852573879104257</v>
      </c>
      <c r="G1802">
        <v>1752</v>
      </c>
      <c r="H1802" s="13">
        <f t="shared" si="224"/>
        <v>5.1608656820917531E-2</v>
      </c>
      <c r="I1802">
        <f t="shared" si="225"/>
        <v>132.72096166033222</v>
      </c>
      <c r="J1802" t="e">
        <f t="shared" si="220"/>
        <v>#NUM!</v>
      </c>
      <c r="K1802" s="27" t="e">
        <f t="shared" si="221"/>
        <v>#NUM!</v>
      </c>
    </row>
    <row r="1803" spans="1:11">
      <c r="A1803" s="26">
        <v>1753</v>
      </c>
      <c r="B1803" s="82">
        <f t="shared" si="222"/>
        <v>3.2921237647087764E-4</v>
      </c>
      <c r="C1803" s="58">
        <f t="shared" si="218"/>
        <v>42.879704206041154</v>
      </c>
      <c r="D1803" s="83">
        <f t="shared" si="223"/>
        <v>181.56370399603045</v>
      </c>
      <c r="E1803">
        <f t="shared" si="219"/>
        <v>10.852647385564444</v>
      </c>
      <c r="G1803">
        <v>1753</v>
      </c>
      <c r="H1803" s="13">
        <f t="shared" si="224"/>
        <v>5.1608656820917531E-2</v>
      </c>
      <c r="I1803">
        <f t="shared" si="225"/>
        <v>132.77257031715314</v>
      </c>
      <c r="J1803" t="e">
        <f t="shared" si="220"/>
        <v>#NUM!</v>
      </c>
      <c r="K1803" s="27" t="e">
        <f t="shared" si="221"/>
        <v>#NUM!</v>
      </c>
    </row>
    <row r="1804" spans="1:11">
      <c r="A1804" s="26">
        <v>1754</v>
      </c>
      <c r="B1804" s="82">
        <f t="shared" si="222"/>
        <v>3.2921237647087764E-4</v>
      </c>
      <c r="C1804" s="58">
        <f t="shared" si="218"/>
        <v>42.880033418417625</v>
      </c>
      <c r="D1804" s="83">
        <f t="shared" si="223"/>
        <v>181.56431886327965</v>
      </c>
      <c r="E1804">
        <f t="shared" si="219"/>
        <v>10.852720889239096</v>
      </c>
      <c r="G1804">
        <v>1754</v>
      </c>
      <c r="H1804" s="13">
        <f t="shared" si="224"/>
        <v>5.1608656820917531E-2</v>
      </c>
      <c r="I1804">
        <f t="shared" si="225"/>
        <v>132.82417897397406</v>
      </c>
      <c r="J1804" t="e">
        <f t="shared" si="220"/>
        <v>#NUM!</v>
      </c>
      <c r="K1804" s="27" t="e">
        <f t="shared" si="221"/>
        <v>#NUM!</v>
      </c>
    </row>
    <row r="1805" spans="1:11">
      <c r="A1805" s="26">
        <v>1755</v>
      </c>
      <c r="B1805" s="82">
        <f t="shared" si="222"/>
        <v>3.2921237647087764E-4</v>
      </c>
      <c r="C1805" s="58">
        <f t="shared" si="218"/>
        <v>42.880362630794096</v>
      </c>
      <c r="D1805" s="83">
        <f t="shared" si="223"/>
        <v>181.56493370514696</v>
      </c>
      <c r="E1805">
        <f t="shared" si="219"/>
        <v>10.852794390128482</v>
      </c>
      <c r="G1805">
        <v>1755</v>
      </c>
      <c r="H1805" s="13">
        <f t="shared" si="224"/>
        <v>5.1608656820917531E-2</v>
      </c>
      <c r="I1805">
        <f t="shared" si="225"/>
        <v>132.87578763079497</v>
      </c>
      <c r="J1805" t="e">
        <f t="shared" si="220"/>
        <v>#NUM!</v>
      </c>
      <c r="K1805" s="27" t="e">
        <f t="shared" si="221"/>
        <v>#NUM!</v>
      </c>
    </row>
    <row r="1806" spans="1:11">
      <c r="A1806" s="26">
        <v>1756</v>
      </c>
      <c r="B1806" s="82">
        <f t="shared" si="222"/>
        <v>3.2921237647087764E-4</v>
      </c>
      <c r="C1806" s="58">
        <f t="shared" si="218"/>
        <v>42.880691843170567</v>
      </c>
      <c r="D1806" s="83">
        <f t="shared" si="223"/>
        <v>181.56554852163481</v>
      </c>
      <c r="E1806">
        <f t="shared" si="219"/>
        <v>10.852867888232856</v>
      </c>
      <c r="G1806">
        <v>1756</v>
      </c>
      <c r="H1806" s="13">
        <f t="shared" si="224"/>
        <v>5.1608656820917531E-2</v>
      </c>
      <c r="I1806">
        <f t="shared" si="225"/>
        <v>132.92739628761589</v>
      </c>
      <c r="J1806" t="e">
        <f t="shared" si="220"/>
        <v>#NUM!</v>
      </c>
      <c r="K1806" s="27" t="e">
        <f t="shared" si="221"/>
        <v>#NUM!</v>
      </c>
    </row>
    <row r="1807" spans="1:11">
      <c r="A1807" s="26">
        <v>1757</v>
      </c>
      <c r="B1807" s="82">
        <f t="shared" si="222"/>
        <v>3.2921237647087764E-4</v>
      </c>
      <c r="C1807" s="58">
        <f t="shared" si="218"/>
        <v>42.881021055547038</v>
      </c>
      <c r="D1807" s="83">
        <f t="shared" si="223"/>
        <v>181.5661633127456</v>
      </c>
      <c r="E1807">
        <f t="shared" si="219"/>
        <v>10.852941383552478</v>
      </c>
      <c r="G1807">
        <v>1757</v>
      </c>
      <c r="H1807" s="13">
        <f t="shared" si="224"/>
        <v>5.1608656820917531E-2</v>
      </c>
      <c r="I1807">
        <f t="shared" si="225"/>
        <v>132.97900494443681</v>
      </c>
      <c r="J1807" t="e">
        <f t="shared" si="220"/>
        <v>#NUM!</v>
      </c>
      <c r="K1807" s="27" t="e">
        <f t="shared" si="221"/>
        <v>#NUM!</v>
      </c>
    </row>
    <row r="1808" spans="1:11">
      <c r="A1808" s="26">
        <v>1758</v>
      </c>
      <c r="B1808" s="82">
        <f t="shared" si="222"/>
        <v>3.2921237647087764E-4</v>
      </c>
      <c r="C1808" s="58">
        <f t="shared" ref="C1808:C1871" si="226">($C$37-$C$36)/2000+C1807</f>
        <v>42.881350267923509</v>
      </c>
      <c r="D1808" s="83">
        <f t="shared" si="223"/>
        <v>181.56677807848183</v>
      </c>
      <c r="E1808">
        <f t="shared" si="219"/>
        <v>10.853014876087613</v>
      </c>
      <c r="G1808">
        <v>1758</v>
      </c>
      <c r="H1808" s="13">
        <f t="shared" si="224"/>
        <v>5.1608656820917531E-2</v>
      </c>
      <c r="I1808">
        <f t="shared" si="225"/>
        <v>133.03061360125773</v>
      </c>
      <c r="J1808" t="e">
        <f t="shared" si="220"/>
        <v>#NUM!</v>
      </c>
      <c r="K1808" s="27" t="e">
        <f t="shared" si="221"/>
        <v>#NUM!</v>
      </c>
    </row>
    <row r="1809" spans="1:11">
      <c r="A1809" s="26">
        <v>1759</v>
      </c>
      <c r="B1809" s="82">
        <f t="shared" si="222"/>
        <v>3.2921237647087764E-4</v>
      </c>
      <c r="C1809" s="58">
        <f t="shared" si="226"/>
        <v>42.881679480299979</v>
      </c>
      <c r="D1809" s="83">
        <f t="shared" si="223"/>
        <v>181.56739281884595</v>
      </c>
      <c r="E1809">
        <f t="shared" si="219"/>
        <v>10.853088365838529</v>
      </c>
      <c r="G1809">
        <v>1759</v>
      </c>
      <c r="H1809" s="13">
        <f t="shared" si="224"/>
        <v>5.1608656820917531E-2</v>
      </c>
      <c r="I1809">
        <f t="shared" si="225"/>
        <v>133.08222225807864</v>
      </c>
      <c r="J1809" t="e">
        <f t="shared" si="220"/>
        <v>#NUM!</v>
      </c>
      <c r="K1809" s="27" t="e">
        <f t="shared" si="221"/>
        <v>#NUM!</v>
      </c>
    </row>
    <row r="1810" spans="1:11">
      <c r="A1810" s="26">
        <v>1760</v>
      </c>
      <c r="B1810" s="82">
        <f t="shared" si="222"/>
        <v>3.2921237647087764E-4</v>
      </c>
      <c r="C1810" s="58">
        <f t="shared" si="226"/>
        <v>42.88200869267645</v>
      </c>
      <c r="D1810" s="83">
        <f t="shared" si="223"/>
        <v>181.56800753384036</v>
      </c>
      <c r="E1810">
        <f t="shared" si="219"/>
        <v>10.853161852805473</v>
      </c>
      <c r="G1810">
        <v>1760</v>
      </c>
      <c r="H1810" s="13">
        <f t="shared" si="224"/>
        <v>5.1608656820917531E-2</v>
      </c>
      <c r="I1810">
        <f t="shared" si="225"/>
        <v>133.13383091489956</v>
      </c>
      <c r="J1810" t="e">
        <f t="shared" si="220"/>
        <v>#NUM!</v>
      </c>
      <c r="K1810" s="27" t="e">
        <f t="shared" si="221"/>
        <v>#NUM!</v>
      </c>
    </row>
    <row r="1811" spans="1:11">
      <c r="A1811" s="26">
        <v>1761</v>
      </c>
      <c r="B1811" s="82">
        <f t="shared" si="222"/>
        <v>3.2921237647087764E-4</v>
      </c>
      <c r="C1811" s="58">
        <f t="shared" si="226"/>
        <v>42.882337905052921</v>
      </c>
      <c r="D1811" s="83">
        <f t="shared" si="223"/>
        <v>181.56862222346751</v>
      </c>
      <c r="E1811">
        <f t="shared" si="219"/>
        <v>10.853235336988712</v>
      </c>
      <c r="G1811">
        <v>1761</v>
      </c>
      <c r="H1811" s="13">
        <f t="shared" si="224"/>
        <v>5.1608656820917531E-2</v>
      </c>
      <c r="I1811">
        <f t="shared" si="225"/>
        <v>133.18543957172048</v>
      </c>
      <c r="J1811" t="e">
        <f t="shared" si="220"/>
        <v>#NUM!</v>
      </c>
      <c r="K1811" s="27" t="e">
        <f t="shared" si="221"/>
        <v>#NUM!</v>
      </c>
    </row>
    <row r="1812" spans="1:11">
      <c r="A1812" s="26">
        <v>1762</v>
      </c>
      <c r="B1812" s="82">
        <f t="shared" si="222"/>
        <v>3.2921237647087764E-4</v>
      </c>
      <c r="C1812" s="58">
        <f t="shared" si="226"/>
        <v>42.882667117429392</v>
      </c>
      <c r="D1812" s="83">
        <f t="shared" si="223"/>
        <v>181.56923688772983</v>
      </c>
      <c r="E1812">
        <f t="shared" si="219"/>
        <v>10.853308818388507</v>
      </c>
      <c r="G1812">
        <v>1762</v>
      </c>
      <c r="H1812" s="13">
        <f t="shared" si="224"/>
        <v>5.1608656820917531E-2</v>
      </c>
      <c r="I1812">
        <f t="shared" si="225"/>
        <v>133.2370482285414</v>
      </c>
      <c r="J1812" t="e">
        <f t="shared" si="220"/>
        <v>#NUM!</v>
      </c>
      <c r="K1812" s="27" t="e">
        <f t="shared" si="221"/>
        <v>#NUM!</v>
      </c>
    </row>
    <row r="1813" spans="1:11">
      <c r="A1813" s="26">
        <v>1763</v>
      </c>
      <c r="B1813" s="82">
        <f t="shared" si="222"/>
        <v>3.2921237647087764E-4</v>
      </c>
      <c r="C1813" s="58">
        <f t="shared" si="226"/>
        <v>42.882996329805863</v>
      </c>
      <c r="D1813" s="83">
        <f t="shared" si="223"/>
        <v>181.5698515266298</v>
      </c>
      <c r="E1813">
        <f t="shared" si="219"/>
        <v>10.853382297005124</v>
      </c>
      <c r="G1813">
        <v>1763</v>
      </c>
      <c r="H1813" s="13">
        <f t="shared" si="224"/>
        <v>5.1608656820917531E-2</v>
      </c>
      <c r="I1813">
        <f t="shared" si="225"/>
        <v>133.28865688536231</v>
      </c>
      <c r="J1813" t="e">
        <f t="shared" si="220"/>
        <v>#NUM!</v>
      </c>
      <c r="K1813" s="27" t="e">
        <f t="shared" si="221"/>
        <v>#NUM!</v>
      </c>
    </row>
    <row r="1814" spans="1:11">
      <c r="A1814" s="26">
        <v>1764</v>
      </c>
      <c r="B1814" s="82">
        <f t="shared" si="222"/>
        <v>3.2921237647087764E-4</v>
      </c>
      <c r="C1814" s="58">
        <f t="shared" si="226"/>
        <v>42.883325542182334</v>
      </c>
      <c r="D1814" s="83">
        <f t="shared" si="223"/>
        <v>181.57046614016983</v>
      </c>
      <c r="E1814">
        <f t="shared" si="219"/>
        <v>10.853455772838819</v>
      </c>
      <c r="G1814">
        <v>1764</v>
      </c>
      <c r="H1814" s="13">
        <f t="shared" si="224"/>
        <v>5.1608656820917531E-2</v>
      </c>
      <c r="I1814">
        <f t="shared" si="225"/>
        <v>133.34026554218323</v>
      </c>
      <c r="J1814" t="e">
        <f t="shared" si="220"/>
        <v>#NUM!</v>
      </c>
      <c r="K1814" s="27" t="e">
        <f t="shared" si="221"/>
        <v>#NUM!</v>
      </c>
    </row>
    <row r="1815" spans="1:11">
      <c r="A1815" s="26">
        <v>1765</v>
      </c>
      <c r="B1815" s="82">
        <f t="shared" si="222"/>
        <v>3.2921237647087764E-4</v>
      </c>
      <c r="C1815" s="58">
        <f t="shared" si="226"/>
        <v>42.883654754558805</v>
      </c>
      <c r="D1815" s="83">
        <f t="shared" si="223"/>
        <v>181.57108072835237</v>
      </c>
      <c r="E1815">
        <f t="shared" si="219"/>
        <v>10.853529245889851</v>
      </c>
      <c r="G1815">
        <v>1765</v>
      </c>
      <c r="H1815" s="13">
        <f t="shared" si="224"/>
        <v>5.1608656820917531E-2</v>
      </c>
      <c r="I1815">
        <f t="shared" si="225"/>
        <v>133.39187419900415</v>
      </c>
      <c r="J1815" t="e">
        <f t="shared" si="220"/>
        <v>#NUM!</v>
      </c>
      <c r="K1815" s="27" t="e">
        <f t="shared" si="221"/>
        <v>#NUM!</v>
      </c>
    </row>
    <row r="1816" spans="1:11">
      <c r="A1816" s="26">
        <v>1766</v>
      </c>
      <c r="B1816" s="82">
        <f t="shared" si="222"/>
        <v>3.2921237647087764E-4</v>
      </c>
      <c r="C1816" s="58">
        <f t="shared" si="226"/>
        <v>42.883983966935276</v>
      </c>
      <c r="D1816" s="83">
        <f t="shared" si="223"/>
        <v>181.57169529117985</v>
      </c>
      <c r="E1816">
        <f t="shared" si="219"/>
        <v>10.853602716158484</v>
      </c>
      <c r="G1816">
        <v>1766</v>
      </c>
      <c r="H1816" s="13">
        <f t="shared" si="224"/>
        <v>5.1608656820917531E-2</v>
      </c>
      <c r="I1816">
        <f t="shared" si="225"/>
        <v>133.44348285582507</v>
      </c>
      <c r="J1816" t="e">
        <f t="shared" si="220"/>
        <v>#NUM!</v>
      </c>
      <c r="K1816" s="27" t="e">
        <f t="shared" si="221"/>
        <v>#NUM!</v>
      </c>
    </row>
    <row r="1817" spans="1:11">
      <c r="A1817" s="26">
        <v>1767</v>
      </c>
      <c r="B1817" s="82">
        <f t="shared" si="222"/>
        <v>3.2921237647087764E-4</v>
      </c>
      <c r="C1817" s="58">
        <f t="shared" si="226"/>
        <v>42.884313179311746</v>
      </c>
      <c r="D1817" s="83">
        <f t="shared" si="223"/>
        <v>181.57230982865471</v>
      </c>
      <c r="E1817">
        <f t="shared" si="219"/>
        <v>10.853676183644973</v>
      </c>
      <c r="G1817">
        <v>1767</v>
      </c>
      <c r="H1817" s="13">
        <f t="shared" si="224"/>
        <v>5.1608656820917531E-2</v>
      </c>
      <c r="I1817">
        <f t="shared" si="225"/>
        <v>133.49509151264598</v>
      </c>
      <c r="J1817" t="e">
        <f t="shared" si="220"/>
        <v>#NUM!</v>
      </c>
      <c r="K1817" s="27" t="e">
        <f t="shared" si="221"/>
        <v>#NUM!</v>
      </c>
    </row>
    <row r="1818" spans="1:11">
      <c r="A1818" s="26">
        <v>1768</v>
      </c>
      <c r="B1818" s="82">
        <f t="shared" si="222"/>
        <v>3.2921237647087764E-4</v>
      </c>
      <c r="C1818" s="58">
        <f t="shared" si="226"/>
        <v>42.884642391688217</v>
      </c>
      <c r="D1818" s="83">
        <f t="shared" si="223"/>
        <v>181.57292434077937</v>
      </c>
      <c r="E1818">
        <f t="shared" si="219"/>
        <v>10.85374964834959</v>
      </c>
      <c r="G1818">
        <v>1768</v>
      </c>
      <c r="H1818" s="13">
        <f t="shared" si="224"/>
        <v>5.1608656820917531E-2</v>
      </c>
      <c r="I1818">
        <f t="shared" si="225"/>
        <v>133.5467001694669</v>
      </c>
      <c r="J1818" t="e">
        <f t="shared" si="220"/>
        <v>#NUM!</v>
      </c>
      <c r="K1818" s="27" t="e">
        <f t="shared" si="221"/>
        <v>#NUM!</v>
      </c>
    </row>
    <row r="1819" spans="1:11">
      <c r="A1819" s="26">
        <v>1769</v>
      </c>
      <c r="B1819" s="82">
        <f t="shared" si="222"/>
        <v>3.2921237647087764E-4</v>
      </c>
      <c r="C1819" s="58">
        <f t="shared" si="226"/>
        <v>42.884971604064688</v>
      </c>
      <c r="D1819" s="83">
        <f t="shared" si="223"/>
        <v>181.57353882755632</v>
      </c>
      <c r="E1819">
        <f t="shared" si="219"/>
        <v>10.853823110272581</v>
      </c>
      <c r="G1819">
        <v>1769</v>
      </c>
      <c r="H1819" s="13">
        <f t="shared" si="224"/>
        <v>5.1608656820917531E-2</v>
      </c>
      <c r="I1819">
        <f t="shared" si="225"/>
        <v>133.59830882628782</v>
      </c>
      <c r="J1819" t="e">
        <f t="shared" si="220"/>
        <v>#NUM!</v>
      </c>
      <c r="K1819" s="27" t="e">
        <f t="shared" si="221"/>
        <v>#NUM!</v>
      </c>
    </row>
    <row r="1820" spans="1:11">
      <c r="A1820" s="26">
        <v>1770</v>
      </c>
      <c r="B1820" s="82">
        <f t="shared" si="222"/>
        <v>3.2921237647087764E-4</v>
      </c>
      <c r="C1820" s="58">
        <f t="shared" si="226"/>
        <v>42.885300816441159</v>
      </c>
      <c r="D1820" s="83">
        <f t="shared" si="223"/>
        <v>181.57415328898793</v>
      </c>
      <c r="E1820">
        <f t="shared" si="219"/>
        <v>10.853896569414218</v>
      </c>
      <c r="G1820">
        <v>1770</v>
      </c>
      <c r="H1820" s="13">
        <f t="shared" si="224"/>
        <v>5.1608656820917531E-2</v>
      </c>
      <c r="I1820">
        <f t="shared" si="225"/>
        <v>133.64991748310874</v>
      </c>
      <c r="J1820" t="e">
        <f t="shared" si="220"/>
        <v>#NUM!</v>
      </c>
      <c r="K1820" s="27" t="e">
        <f t="shared" si="221"/>
        <v>#NUM!</v>
      </c>
    </row>
    <row r="1821" spans="1:11">
      <c r="A1821" s="26">
        <v>1771</v>
      </c>
      <c r="B1821" s="82">
        <f t="shared" si="222"/>
        <v>3.2921237647087764E-4</v>
      </c>
      <c r="C1821" s="58">
        <f t="shared" si="226"/>
        <v>42.88563002881763</v>
      </c>
      <c r="D1821" s="83">
        <f t="shared" si="223"/>
        <v>181.5747677250767</v>
      </c>
      <c r="E1821">
        <f t="shared" si="219"/>
        <v>10.853970025774759</v>
      </c>
      <c r="G1821">
        <v>1771</v>
      </c>
      <c r="H1821" s="13">
        <f t="shared" si="224"/>
        <v>5.1608656820917531E-2</v>
      </c>
      <c r="I1821">
        <f t="shared" si="225"/>
        <v>133.70152613992965</v>
      </c>
      <c r="J1821" t="e">
        <f t="shared" si="220"/>
        <v>#NUM!</v>
      </c>
      <c r="K1821" s="27" t="e">
        <f t="shared" si="221"/>
        <v>#NUM!</v>
      </c>
    </row>
    <row r="1822" spans="1:11">
      <c r="A1822" s="26">
        <v>1772</v>
      </c>
      <c r="B1822" s="82">
        <f t="shared" si="222"/>
        <v>3.2921237647087764E-4</v>
      </c>
      <c r="C1822" s="58">
        <f t="shared" si="226"/>
        <v>42.885959241194101</v>
      </c>
      <c r="D1822" s="83">
        <f t="shared" si="223"/>
        <v>181.57538213582501</v>
      </c>
      <c r="E1822">
        <f t="shared" si="219"/>
        <v>10.854043479354459</v>
      </c>
      <c r="G1822">
        <v>1772</v>
      </c>
      <c r="H1822" s="13">
        <f t="shared" si="224"/>
        <v>5.1608656820917531E-2</v>
      </c>
      <c r="I1822">
        <f t="shared" si="225"/>
        <v>133.75313479675057</v>
      </c>
      <c r="J1822" t="e">
        <f t="shared" si="220"/>
        <v>#NUM!</v>
      </c>
      <c r="K1822" s="27" t="e">
        <f t="shared" si="221"/>
        <v>#NUM!</v>
      </c>
    </row>
    <row r="1823" spans="1:11">
      <c r="A1823" s="26">
        <v>1773</v>
      </c>
      <c r="B1823" s="82">
        <f t="shared" si="222"/>
        <v>3.2921237647087764E-4</v>
      </c>
      <c r="C1823" s="58">
        <f t="shared" si="226"/>
        <v>42.886288453570572</v>
      </c>
      <c r="D1823" s="83">
        <f t="shared" si="223"/>
        <v>181.57599652123534</v>
      </c>
      <c r="E1823">
        <f t="shared" si="219"/>
        <v>10.854116930153587</v>
      </c>
      <c r="G1823">
        <v>1773</v>
      </c>
      <c r="H1823" s="13">
        <f t="shared" si="224"/>
        <v>5.1608656820917531E-2</v>
      </c>
      <c r="I1823">
        <f t="shared" si="225"/>
        <v>133.80474345357149</v>
      </c>
      <c r="J1823" t="e">
        <f t="shared" si="220"/>
        <v>#NUM!</v>
      </c>
      <c r="K1823" s="27" t="e">
        <f t="shared" si="221"/>
        <v>#NUM!</v>
      </c>
    </row>
    <row r="1824" spans="1:11">
      <c r="A1824" s="26">
        <v>1774</v>
      </c>
      <c r="B1824" s="82">
        <f t="shared" si="222"/>
        <v>3.2921237647087764E-4</v>
      </c>
      <c r="C1824" s="58">
        <f t="shared" si="226"/>
        <v>42.886617665947043</v>
      </c>
      <c r="D1824" s="83">
        <f t="shared" si="223"/>
        <v>181.5766108813101</v>
      </c>
      <c r="E1824">
        <f t="shared" si="219"/>
        <v>10.854190378172397</v>
      </c>
      <c r="G1824">
        <v>1774</v>
      </c>
      <c r="H1824" s="13">
        <f t="shared" si="224"/>
        <v>5.1608656820917531E-2</v>
      </c>
      <c r="I1824">
        <f t="shared" si="225"/>
        <v>133.85635211039241</v>
      </c>
      <c r="J1824" t="e">
        <f t="shared" si="220"/>
        <v>#NUM!</v>
      </c>
      <c r="K1824" s="27" t="e">
        <f t="shared" si="221"/>
        <v>#NUM!</v>
      </c>
    </row>
    <row r="1825" spans="1:11">
      <c r="A1825" s="26">
        <v>1775</v>
      </c>
      <c r="B1825" s="82">
        <f t="shared" si="222"/>
        <v>3.2921237647087764E-4</v>
      </c>
      <c r="C1825" s="58">
        <f t="shared" si="226"/>
        <v>42.886946878323513</v>
      </c>
      <c r="D1825" s="83">
        <f t="shared" si="223"/>
        <v>181.57722521605174</v>
      </c>
      <c r="E1825">
        <f t="shared" si="219"/>
        <v>10.854263823411152</v>
      </c>
      <c r="G1825">
        <v>1775</v>
      </c>
      <c r="H1825" s="13">
        <f t="shared" si="224"/>
        <v>5.1608656820917531E-2</v>
      </c>
      <c r="I1825">
        <f t="shared" si="225"/>
        <v>133.90796076721332</v>
      </c>
      <c r="J1825" t="e">
        <f t="shared" si="220"/>
        <v>#NUM!</v>
      </c>
      <c r="K1825" s="27" t="e">
        <f t="shared" si="221"/>
        <v>#NUM!</v>
      </c>
    </row>
    <row r="1826" spans="1:11">
      <c r="A1826" s="26">
        <v>1776</v>
      </c>
      <c r="B1826" s="82">
        <f t="shared" si="222"/>
        <v>3.2921237647087764E-4</v>
      </c>
      <c r="C1826" s="58">
        <f t="shared" si="226"/>
        <v>42.887276090699984</v>
      </c>
      <c r="D1826" s="83">
        <f t="shared" si="223"/>
        <v>181.57783952546268</v>
      </c>
      <c r="E1826">
        <f t="shared" si="219"/>
        <v>10.854337265870109</v>
      </c>
      <c r="G1826">
        <v>1776</v>
      </c>
      <c r="H1826" s="13">
        <f t="shared" si="224"/>
        <v>5.1608656820917531E-2</v>
      </c>
      <c r="I1826">
        <f t="shared" si="225"/>
        <v>133.95956942403424</v>
      </c>
      <c r="J1826" t="e">
        <f t="shared" si="220"/>
        <v>#NUM!</v>
      </c>
      <c r="K1826" s="27" t="e">
        <f t="shared" si="221"/>
        <v>#NUM!</v>
      </c>
    </row>
    <row r="1827" spans="1:11">
      <c r="A1827" s="26">
        <v>1777</v>
      </c>
      <c r="B1827" s="82">
        <f t="shared" si="222"/>
        <v>3.2921237647087764E-4</v>
      </c>
      <c r="C1827" s="58">
        <f t="shared" si="226"/>
        <v>42.887605303076455</v>
      </c>
      <c r="D1827" s="83">
        <f t="shared" si="223"/>
        <v>181.57845380954538</v>
      </c>
      <c r="E1827">
        <f t="shared" si="219"/>
        <v>10.854410705549535</v>
      </c>
      <c r="G1827">
        <v>1777</v>
      </c>
      <c r="H1827" s="13">
        <f t="shared" si="224"/>
        <v>5.1608656820917531E-2</v>
      </c>
      <c r="I1827">
        <f t="shared" si="225"/>
        <v>134.01117808085516</v>
      </c>
      <c r="J1827" t="e">
        <f t="shared" si="220"/>
        <v>#NUM!</v>
      </c>
      <c r="K1827" s="27" t="e">
        <f t="shared" si="221"/>
        <v>#NUM!</v>
      </c>
    </row>
    <row r="1828" spans="1:11">
      <c r="A1828" s="26">
        <v>1778</v>
      </c>
      <c r="B1828" s="82">
        <f t="shared" si="222"/>
        <v>3.2921237647087764E-4</v>
      </c>
      <c r="C1828" s="58">
        <f t="shared" si="226"/>
        <v>42.887934515452926</v>
      </c>
      <c r="D1828" s="83">
        <f t="shared" si="223"/>
        <v>181.57906806830223</v>
      </c>
      <c r="E1828">
        <f t="shared" si="219"/>
        <v>10.854484142449687</v>
      </c>
      <c r="G1828">
        <v>1778</v>
      </c>
      <c r="H1828" s="13">
        <f t="shared" si="224"/>
        <v>5.1608656820917531E-2</v>
      </c>
      <c r="I1828">
        <f t="shared" si="225"/>
        <v>134.06278673767608</v>
      </c>
      <c r="J1828" t="e">
        <f t="shared" si="220"/>
        <v>#NUM!</v>
      </c>
      <c r="K1828" s="27" t="e">
        <f t="shared" si="221"/>
        <v>#NUM!</v>
      </c>
    </row>
    <row r="1829" spans="1:11">
      <c r="A1829" s="26">
        <v>1779</v>
      </c>
      <c r="B1829" s="82">
        <f t="shared" si="222"/>
        <v>3.2921237647087764E-4</v>
      </c>
      <c r="C1829" s="58">
        <f t="shared" si="226"/>
        <v>42.888263727829397</v>
      </c>
      <c r="D1829" s="83">
        <f t="shared" si="223"/>
        <v>181.57968230173572</v>
      </c>
      <c r="E1829">
        <f t="shared" si="219"/>
        <v>10.854557576570821</v>
      </c>
      <c r="G1829">
        <v>1779</v>
      </c>
      <c r="H1829" s="13">
        <f t="shared" si="224"/>
        <v>5.1608656820917531E-2</v>
      </c>
      <c r="I1829">
        <f t="shared" si="225"/>
        <v>134.114395394497</v>
      </c>
      <c r="J1829" t="e">
        <f t="shared" si="220"/>
        <v>#NUM!</v>
      </c>
      <c r="K1829" s="27" t="e">
        <f t="shared" si="221"/>
        <v>#NUM!</v>
      </c>
    </row>
    <row r="1830" spans="1:11">
      <c r="A1830" s="26">
        <v>1780</v>
      </c>
      <c r="B1830" s="82">
        <f t="shared" si="222"/>
        <v>3.2921237647087764E-4</v>
      </c>
      <c r="C1830" s="58">
        <f t="shared" si="226"/>
        <v>42.888592940205868</v>
      </c>
      <c r="D1830" s="83">
        <f t="shared" si="223"/>
        <v>181.58029650984821</v>
      </c>
      <c r="E1830">
        <f t="shared" si="219"/>
        <v>10.8546310079132</v>
      </c>
      <c r="G1830">
        <v>1780</v>
      </c>
      <c r="H1830" s="13">
        <f t="shared" si="224"/>
        <v>5.1608656820917531E-2</v>
      </c>
      <c r="I1830">
        <f t="shared" si="225"/>
        <v>134.16600405131791</v>
      </c>
      <c r="J1830" t="e">
        <f t="shared" si="220"/>
        <v>#NUM!</v>
      </c>
      <c r="K1830" s="27" t="e">
        <f t="shared" si="221"/>
        <v>#NUM!</v>
      </c>
    </row>
    <row r="1831" spans="1:11">
      <c r="A1831" s="26">
        <v>1781</v>
      </c>
      <c r="B1831" s="82">
        <f t="shared" si="222"/>
        <v>3.2921237647087764E-4</v>
      </c>
      <c r="C1831" s="58">
        <f t="shared" si="226"/>
        <v>42.888922152582339</v>
      </c>
      <c r="D1831" s="83">
        <f t="shared" si="223"/>
        <v>181.58091069264219</v>
      </c>
      <c r="E1831">
        <f t="shared" si="219"/>
        <v>10.854704436477085</v>
      </c>
      <c r="G1831">
        <v>1781</v>
      </c>
      <c r="H1831" s="13">
        <f t="shared" si="224"/>
        <v>5.1608656820917531E-2</v>
      </c>
      <c r="I1831">
        <f t="shared" si="225"/>
        <v>134.21761270813883</v>
      </c>
      <c r="J1831" t="e">
        <f t="shared" si="220"/>
        <v>#NUM!</v>
      </c>
      <c r="K1831" s="27" t="e">
        <f t="shared" si="221"/>
        <v>#NUM!</v>
      </c>
    </row>
    <row r="1832" spans="1:11">
      <c r="A1832" s="26">
        <v>1782</v>
      </c>
      <c r="B1832" s="82">
        <f t="shared" si="222"/>
        <v>3.2921237647087764E-4</v>
      </c>
      <c r="C1832" s="58">
        <f t="shared" si="226"/>
        <v>42.88925136495881</v>
      </c>
      <c r="D1832" s="83">
        <f t="shared" si="223"/>
        <v>181.58152485012008</v>
      </c>
      <c r="E1832">
        <f t="shared" si="219"/>
        <v>10.854777862262736</v>
      </c>
      <c r="G1832">
        <v>1782</v>
      </c>
      <c r="H1832" s="13">
        <f t="shared" si="224"/>
        <v>5.1608656820917531E-2</v>
      </c>
      <c r="I1832">
        <f t="shared" si="225"/>
        <v>134.26922136495975</v>
      </c>
      <c r="J1832" t="e">
        <f t="shared" si="220"/>
        <v>#NUM!</v>
      </c>
      <c r="K1832" s="27" t="e">
        <f t="shared" si="221"/>
        <v>#NUM!</v>
      </c>
    </row>
    <row r="1833" spans="1:11">
      <c r="A1833" s="26">
        <v>1783</v>
      </c>
      <c r="B1833" s="82">
        <f t="shared" si="222"/>
        <v>3.2921237647087764E-4</v>
      </c>
      <c r="C1833" s="58">
        <f t="shared" si="226"/>
        <v>42.889580577335281</v>
      </c>
      <c r="D1833" s="83">
        <f t="shared" si="223"/>
        <v>181.58213898228431</v>
      </c>
      <c r="E1833">
        <f t="shared" si="219"/>
        <v>10.854851285270415</v>
      </c>
      <c r="G1833">
        <v>1783</v>
      </c>
      <c r="H1833" s="13">
        <f t="shared" si="224"/>
        <v>5.1608656820917531E-2</v>
      </c>
      <c r="I1833">
        <f t="shared" si="225"/>
        <v>134.32083002178067</v>
      </c>
      <c r="J1833" t="e">
        <f t="shared" si="220"/>
        <v>#NUM!</v>
      </c>
      <c r="K1833" s="27" t="e">
        <f t="shared" si="221"/>
        <v>#NUM!</v>
      </c>
    </row>
    <row r="1834" spans="1:11">
      <c r="A1834" s="26">
        <v>1784</v>
      </c>
      <c r="B1834" s="82">
        <f t="shared" si="222"/>
        <v>3.2921237647087764E-4</v>
      </c>
      <c r="C1834" s="58">
        <f t="shared" si="226"/>
        <v>42.889909789711751</v>
      </c>
      <c r="D1834" s="83">
        <f t="shared" si="223"/>
        <v>181.5827530891373</v>
      </c>
      <c r="E1834">
        <f t="shared" si="219"/>
        <v>10.854924705500379</v>
      </c>
      <c r="G1834">
        <v>1784</v>
      </c>
      <c r="H1834" s="13">
        <f t="shared" si="224"/>
        <v>5.1608656820917531E-2</v>
      </c>
      <c r="I1834">
        <f t="shared" si="225"/>
        <v>134.37243867860158</v>
      </c>
      <c r="J1834" t="e">
        <f t="shared" si="220"/>
        <v>#NUM!</v>
      </c>
      <c r="K1834" s="27" t="e">
        <f t="shared" si="221"/>
        <v>#NUM!</v>
      </c>
    </row>
    <row r="1835" spans="1:11">
      <c r="A1835" s="26">
        <v>1785</v>
      </c>
      <c r="B1835" s="82">
        <f t="shared" si="222"/>
        <v>3.2921237647087764E-4</v>
      </c>
      <c r="C1835" s="58">
        <f t="shared" si="226"/>
        <v>42.890239002088222</v>
      </c>
      <c r="D1835" s="83">
        <f t="shared" si="223"/>
        <v>181.5833671706815</v>
      </c>
      <c r="E1835">
        <f t="shared" si="219"/>
        <v>10.854998122952885</v>
      </c>
      <c r="G1835">
        <v>1785</v>
      </c>
      <c r="H1835" s="13">
        <f t="shared" si="224"/>
        <v>5.1608656820917531E-2</v>
      </c>
      <c r="I1835">
        <f t="shared" si="225"/>
        <v>134.4240473354225</v>
      </c>
      <c r="J1835" t="e">
        <f t="shared" si="220"/>
        <v>#NUM!</v>
      </c>
      <c r="K1835" s="27" t="e">
        <f t="shared" si="221"/>
        <v>#NUM!</v>
      </c>
    </row>
    <row r="1836" spans="1:11">
      <c r="A1836" s="26">
        <v>1786</v>
      </c>
      <c r="B1836" s="82">
        <f t="shared" si="222"/>
        <v>3.2921237647087764E-4</v>
      </c>
      <c r="C1836" s="58">
        <f t="shared" si="226"/>
        <v>42.890568214464693</v>
      </c>
      <c r="D1836" s="83">
        <f t="shared" si="223"/>
        <v>181.58398122691932</v>
      </c>
      <c r="E1836">
        <f t="shared" si="219"/>
        <v>10.855071537628199</v>
      </c>
      <c r="G1836">
        <v>1786</v>
      </c>
      <c r="H1836" s="13">
        <f t="shared" si="224"/>
        <v>5.1608656820917531E-2</v>
      </c>
      <c r="I1836">
        <f t="shared" si="225"/>
        <v>134.47565599224342</v>
      </c>
      <c r="J1836" t="e">
        <f t="shared" si="220"/>
        <v>#NUM!</v>
      </c>
      <c r="K1836" s="27" t="e">
        <f t="shared" si="221"/>
        <v>#NUM!</v>
      </c>
    </row>
    <row r="1837" spans="1:11">
      <c r="A1837" s="26">
        <v>1787</v>
      </c>
      <c r="B1837" s="82">
        <f t="shared" si="222"/>
        <v>3.2921237647087764E-4</v>
      </c>
      <c r="C1837" s="58">
        <f t="shared" si="226"/>
        <v>42.890897426841164</v>
      </c>
      <c r="D1837" s="83">
        <f t="shared" si="223"/>
        <v>181.58459525785321</v>
      </c>
      <c r="E1837">
        <f t="shared" si="219"/>
        <v>10.855144949526576</v>
      </c>
      <c r="G1837">
        <v>1787</v>
      </c>
      <c r="H1837" s="13">
        <f t="shared" si="224"/>
        <v>5.1608656820917531E-2</v>
      </c>
      <c r="I1837">
        <f t="shared" si="225"/>
        <v>134.52726464906434</v>
      </c>
      <c r="J1837" t="e">
        <f t="shared" si="220"/>
        <v>#NUM!</v>
      </c>
      <c r="K1837" s="27" t="e">
        <f t="shared" si="221"/>
        <v>#NUM!</v>
      </c>
    </row>
    <row r="1838" spans="1:11">
      <c r="A1838" s="26">
        <v>1788</v>
      </c>
      <c r="B1838" s="82">
        <f t="shared" si="222"/>
        <v>3.2921237647087764E-4</v>
      </c>
      <c r="C1838" s="58">
        <f t="shared" si="226"/>
        <v>42.891226639217635</v>
      </c>
      <c r="D1838" s="83">
        <f t="shared" si="223"/>
        <v>181.58520926348558</v>
      </c>
      <c r="E1838">
        <f t="shared" si="219"/>
        <v>10.855218358648278</v>
      </c>
      <c r="G1838">
        <v>1788</v>
      </c>
      <c r="H1838" s="13">
        <f t="shared" si="224"/>
        <v>5.1608656820917531E-2</v>
      </c>
      <c r="I1838">
        <f t="shared" si="225"/>
        <v>134.57887330588525</v>
      </c>
      <c r="J1838" t="e">
        <f t="shared" si="220"/>
        <v>#NUM!</v>
      </c>
      <c r="K1838" s="27" t="e">
        <f t="shared" si="221"/>
        <v>#NUM!</v>
      </c>
    </row>
    <row r="1839" spans="1:11">
      <c r="A1839" s="26">
        <v>1789</v>
      </c>
      <c r="B1839" s="82">
        <f t="shared" si="222"/>
        <v>3.2921237647087764E-4</v>
      </c>
      <c r="C1839" s="58">
        <f t="shared" si="226"/>
        <v>42.891555851594106</v>
      </c>
      <c r="D1839" s="83">
        <f t="shared" si="223"/>
        <v>181.58582324381888</v>
      </c>
      <c r="E1839">
        <f t="shared" si="219"/>
        <v>10.855291764993567</v>
      </c>
      <c r="G1839">
        <v>1789</v>
      </c>
      <c r="H1839" s="13">
        <f t="shared" si="224"/>
        <v>5.1608656820917531E-2</v>
      </c>
      <c r="I1839">
        <f t="shared" si="225"/>
        <v>134.63048196270617</v>
      </c>
      <c r="J1839" t="e">
        <f t="shared" si="220"/>
        <v>#NUM!</v>
      </c>
      <c r="K1839" s="27" t="e">
        <f t="shared" si="221"/>
        <v>#NUM!</v>
      </c>
    </row>
    <row r="1840" spans="1:11">
      <c r="A1840" s="26">
        <v>1790</v>
      </c>
      <c r="B1840" s="82">
        <f t="shared" si="222"/>
        <v>3.2921237647087764E-4</v>
      </c>
      <c r="C1840" s="58">
        <f t="shared" si="226"/>
        <v>42.891885063970577</v>
      </c>
      <c r="D1840" s="83">
        <f t="shared" si="223"/>
        <v>181.58643719885552</v>
      </c>
      <c r="E1840">
        <f t="shared" si="219"/>
        <v>10.855365168562697</v>
      </c>
      <c r="G1840">
        <v>1790</v>
      </c>
      <c r="H1840" s="13">
        <f t="shared" si="224"/>
        <v>5.1608656820917531E-2</v>
      </c>
      <c r="I1840">
        <f t="shared" si="225"/>
        <v>134.68209061952709</v>
      </c>
      <c r="J1840" t="e">
        <f t="shared" si="220"/>
        <v>#NUM!</v>
      </c>
      <c r="K1840" s="27" t="e">
        <f t="shared" si="221"/>
        <v>#NUM!</v>
      </c>
    </row>
    <row r="1841" spans="1:11">
      <c r="A1841" s="26">
        <v>1791</v>
      </c>
      <c r="B1841" s="82">
        <f t="shared" si="222"/>
        <v>3.2921237647087764E-4</v>
      </c>
      <c r="C1841" s="58">
        <f t="shared" si="226"/>
        <v>42.892214276347048</v>
      </c>
      <c r="D1841" s="83">
        <f t="shared" si="223"/>
        <v>181.58705112859792</v>
      </c>
      <c r="E1841">
        <f t="shared" si="219"/>
        <v>10.855438569355933</v>
      </c>
      <c r="G1841">
        <v>1791</v>
      </c>
      <c r="H1841" s="13">
        <f t="shared" si="224"/>
        <v>5.1608656820917531E-2</v>
      </c>
      <c r="I1841">
        <f t="shared" si="225"/>
        <v>134.73369927634801</v>
      </c>
      <c r="J1841" t="e">
        <f t="shared" si="220"/>
        <v>#NUM!</v>
      </c>
      <c r="K1841" s="27" t="e">
        <f t="shared" si="221"/>
        <v>#NUM!</v>
      </c>
    </row>
    <row r="1842" spans="1:11">
      <c r="A1842" s="26">
        <v>1792</v>
      </c>
      <c r="B1842" s="82">
        <f t="shared" si="222"/>
        <v>3.2921237647087764E-4</v>
      </c>
      <c r="C1842" s="58">
        <f t="shared" si="226"/>
        <v>42.892543488723518</v>
      </c>
      <c r="D1842" s="83">
        <f t="shared" si="223"/>
        <v>181.58766503304855</v>
      </c>
      <c r="E1842">
        <f t="shared" si="219"/>
        <v>10.855511967373531</v>
      </c>
      <c r="G1842">
        <v>1792</v>
      </c>
      <c r="H1842" s="13">
        <f t="shared" si="224"/>
        <v>5.1608656820917531E-2</v>
      </c>
      <c r="I1842">
        <f t="shared" si="225"/>
        <v>134.78530793316892</v>
      </c>
      <c r="J1842" t="e">
        <f t="shared" si="220"/>
        <v>#NUM!</v>
      </c>
      <c r="K1842" s="27" t="e">
        <f t="shared" si="221"/>
        <v>#NUM!</v>
      </c>
    </row>
    <row r="1843" spans="1:11">
      <c r="A1843" s="26">
        <v>1793</v>
      </c>
      <c r="B1843" s="82">
        <f t="shared" si="222"/>
        <v>3.2921237647087764E-4</v>
      </c>
      <c r="C1843" s="58">
        <f t="shared" si="226"/>
        <v>42.892872701099989</v>
      </c>
      <c r="D1843" s="83">
        <f t="shared" si="223"/>
        <v>181.5882789122098</v>
      </c>
      <c r="E1843">
        <f t="shared" ref="E1843:E1906" si="227">((D1843^2)+(D1843*D1844)+(D1844^2))*B1844/3</f>
        <v>10.85558536261575</v>
      </c>
      <c r="G1843">
        <v>1793</v>
      </c>
      <c r="H1843" s="13">
        <f t="shared" si="224"/>
        <v>5.1608656820917531E-2</v>
      </c>
      <c r="I1843">
        <f t="shared" si="225"/>
        <v>134.83691658998984</v>
      </c>
      <c r="J1843" t="e">
        <f t="shared" ref="J1843:J1906" si="228">IF($G$28&lt;$C$14,0,((($C$11^2)-((I1843-$C$13)^2))^0.5)+$C$16)</f>
        <v>#NUM!</v>
      </c>
      <c r="K1843" s="27" t="e">
        <f t="shared" ref="K1843:K1906" si="229">((J1843^2)+(J1843*J1844)+(J1844^2))*H1844/3</f>
        <v>#NUM!</v>
      </c>
    </row>
    <row r="1844" spans="1:11">
      <c r="A1844" s="26">
        <v>1794</v>
      </c>
      <c r="B1844" s="82">
        <f t="shared" ref="B1844:B1907" si="230">C1844-C1843</f>
        <v>3.2921237647087764E-4</v>
      </c>
      <c r="C1844" s="58">
        <f t="shared" si="226"/>
        <v>42.89320191347646</v>
      </c>
      <c r="D1844" s="83">
        <f t="shared" ref="D1844:D1907" si="231">IF($G$28&lt;$C$14,0,((($C$11^2)-((C1844-$C$13)^2))^0.5)+$C$16)</f>
        <v>181.58889276608409</v>
      </c>
      <c r="E1844">
        <f t="shared" si="227"/>
        <v>10.855658755082857</v>
      </c>
      <c r="G1844">
        <v>1794</v>
      </c>
      <c r="H1844" s="13">
        <f t="shared" ref="H1844:H1907" si="232">I1844-I1843</f>
        <v>5.1608656820917531E-2</v>
      </c>
      <c r="I1844">
        <f t="shared" ref="I1844:I1907" si="233">($G$27-$C$14)/2000+I1843</f>
        <v>134.88852524681076</v>
      </c>
      <c r="J1844" t="e">
        <f t="shared" si="228"/>
        <v>#NUM!</v>
      </c>
      <c r="K1844" s="27" t="e">
        <f t="shared" si="229"/>
        <v>#NUM!</v>
      </c>
    </row>
    <row r="1845" spans="1:11">
      <c r="A1845" s="26">
        <v>1795</v>
      </c>
      <c r="B1845" s="82">
        <f t="shared" si="230"/>
        <v>3.2921237647087764E-4</v>
      </c>
      <c r="C1845" s="58">
        <f t="shared" si="226"/>
        <v>42.893531125852931</v>
      </c>
      <c r="D1845" s="83">
        <f t="shared" si="231"/>
        <v>181.58950659467391</v>
      </c>
      <c r="E1845">
        <f t="shared" si="227"/>
        <v>10.855732144775102</v>
      </c>
      <c r="G1845">
        <v>1795</v>
      </c>
      <c r="H1845" s="13">
        <f t="shared" si="232"/>
        <v>5.1608656820917531E-2</v>
      </c>
      <c r="I1845">
        <f t="shared" si="233"/>
        <v>134.94013390363168</v>
      </c>
      <c r="J1845" t="e">
        <f t="shared" si="228"/>
        <v>#NUM!</v>
      </c>
      <c r="K1845" s="27" t="e">
        <f t="shared" si="229"/>
        <v>#NUM!</v>
      </c>
    </row>
    <row r="1846" spans="1:11">
      <c r="A1846" s="26">
        <v>1796</v>
      </c>
      <c r="B1846" s="82">
        <f t="shared" si="230"/>
        <v>3.2921237647087764E-4</v>
      </c>
      <c r="C1846" s="58">
        <f t="shared" si="226"/>
        <v>42.893860338229402</v>
      </c>
      <c r="D1846" s="83">
        <f t="shared" si="231"/>
        <v>181.59012039798159</v>
      </c>
      <c r="E1846">
        <f t="shared" si="227"/>
        <v>10.85580553169275</v>
      </c>
      <c r="G1846">
        <v>1796</v>
      </c>
      <c r="H1846" s="13">
        <f t="shared" si="232"/>
        <v>5.1608656820917531E-2</v>
      </c>
      <c r="I1846">
        <f t="shared" si="233"/>
        <v>134.99174256045259</v>
      </c>
      <c r="J1846" t="e">
        <f t="shared" si="228"/>
        <v>#NUM!</v>
      </c>
      <c r="K1846" s="27" t="e">
        <f t="shared" si="229"/>
        <v>#NUM!</v>
      </c>
    </row>
    <row r="1847" spans="1:11">
      <c r="A1847" s="26">
        <v>1797</v>
      </c>
      <c r="B1847" s="82">
        <f t="shared" si="230"/>
        <v>3.2921237647087764E-4</v>
      </c>
      <c r="C1847" s="58">
        <f t="shared" si="226"/>
        <v>42.894189550605873</v>
      </c>
      <c r="D1847" s="83">
        <f t="shared" si="231"/>
        <v>181.59073417600965</v>
      </c>
      <c r="E1847">
        <f t="shared" si="227"/>
        <v>10.855878915836058</v>
      </c>
      <c r="G1847">
        <v>1797</v>
      </c>
      <c r="H1847" s="13">
        <f t="shared" si="232"/>
        <v>5.1608656820917531E-2</v>
      </c>
      <c r="I1847">
        <f t="shared" si="233"/>
        <v>135.04335121727351</v>
      </c>
      <c r="J1847" t="e">
        <f t="shared" si="228"/>
        <v>#NUM!</v>
      </c>
      <c r="K1847" s="27" t="e">
        <f t="shared" si="229"/>
        <v>#NUM!</v>
      </c>
    </row>
    <row r="1848" spans="1:11">
      <c r="A1848" s="26">
        <v>1798</v>
      </c>
      <c r="B1848" s="82">
        <f t="shared" si="230"/>
        <v>3.2921237647087764E-4</v>
      </c>
      <c r="C1848" s="58">
        <f t="shared" si="226"/>
        <v>42.894518762982344</v>
      </c>
      <c r="D1848" s="83">
        <f t="shared" si="231"/>
        <v>181.59134792876046</v>
      </c>
      <c r="E1848">
        <f t="shared" si="227"/>
        <v>10.855952297205286</v>
      </c>
      <c r="G1848">
        <v>1798</v>
      </c>
      <c r="H1848" s="13">
        <f t="shared" si="232"/>
        <v>5.1608656820917531E-2</v>
      </c>
      <c r="I1848">
        <f t="shared" si="233"/>
        <v>135.09495987409443</v>
      </c>
      <c r="J1848" t="e">
        <f t="shared" si="228"/>
        <v>#NUM!</v>
      </c>
      <c r="K1848" s="27" t="e">
        <f t="shared" si="229"/>
        <v>#NUM!</v>
      </c>
    </row>
    <row r="1849" spans="1:11">
      <c r="A1849" s="26">
        <v>1799</v>
      </c>
      <c r="B1849" s="82">
        <f t="shared" si="230"/>
        <v>3.2921237647087764E-4</v>
      </c>
      <c r="C1849" s="58">
        <f t="shared" si="226"/>
        <v>42.894847975358815</v>
      </c>
      <c r="D1849" s="83">
        <f t="shared" si="231"/>
        <v>181.59196165623644</v>
      </c>
      <c r="E1849">
        <f t="shared" si="227"/>
        <v>10.856025675800693</v>
      </c>
      <c r="G1849">
        <v>1799</v>
      </c>
      <c r="H1849" s="13">
        <f t="shared" si="232"/>
        <v>5.1608656820917531E-2</v>
      </c>
      <c r="I1849">
        <f t="shared" si="233"/>
        <v>135.14656853091535</v>
      </c>
      <c r="J1849" t="e">
        <f t="shared" si="228"/>
        <v>#NUM!</v>
      </c>
      <c r="K1849" s="27" t="e">
        <f t="shared" si="229"/>
        <v>#NUM!</v>
      </c>
    </row>
    <row r="1850" spans="1:11">
      <c r="A1850" s="26">
        <v>1800</v>
      </c>
      <c r="B1850" s="82">
        <f t="shared" si="230"/>
        <v>3.2921237647087764E-4</v>
      </c>
      <c r="C1850" s="58">
        <f t="shared" si="226"/>
        <v>42.895177187735285</v>
      </c>
      <c r="D1850" s="83">
        <f t="shared" si="231"/>
        <v>181.59257535844003</v>
      </c>
      <c r="E1850">
        <f t="shared" si="227"/>
        <v>10.856099051622538</v>
      </c>
      <c r="G1850">
        <v>1800</v>
      </c>
      <c r="H1850" s="13">
        <f t="shared" si="232"/>
        <v>5.1608656820917531E-2</v>
      </c>
      <c r="I1850">
        <f t="shared" si="233"/>
        <v>135.19817718773626</v>
      </c>
      <c r="J1850" t="e">
        <f t="shared" si="228"/>
        <v>#NUM!</v>
      </c>
      <c r="K1850" s="27" t="e">
        <f t="shared" si="229"/>
        <v>#NUM!</v>
      </c>
    </row>
    <row r="1851" spans="1:11">
      <c r="A1851" s="26">
        <v>1801</v>
      </c>
      <c r="B1851" s="82">
        <f t="shared" si="230"/>
        <v>3.2921237647087764E-4</v>
      </c>
      <c r="C1851" s="58">
        <f t="shared" si="226"/>
        <v>42.895506400111756</v>
      </c>
      <c r="D1851" s="83">
        <f t="shared" si="231"/>
        <v>181.59318903537368</v>
      </c>
      <c r="E1851">
        <f t="shared" si="227"/>
        <v>10.856172424671085</v>
      </c>
      <c r="G1851">
        <v>1801</v>
      </c>
      <c r="H1851" s="13">
        <f t="shared" si="232"/>
        <v>5.1608656820917531E-2</v>
      </c>
      <c r="I1851">
        <f t="shared" si="233"/>
        <v>135.24978584455718</v>
      </c>
      <c r="J1851" t="e">
        <f t="shared" si="228"/>
        <v>#NUM!</v>
      </c>
      <c r="K1851" s="27" t="e">
        <f t="shared" si="229"/>
        <v>#NUM!</v>
      </c>
    </row>
    <row r="1852" spans="1:11">
      <c r="A1852" s="26">
        <v>1802</v>
      </c>
      <c r="B1852" s="82">
        <f t="shared" si="230"/>
        <v>3.2921237647087764E-4</v>
      </c>
      <c r="C1852" s="58">
        <f t="shared" si="226"/>
        <v>42.895835612488227</v>
      </c>
      <c r="D1852" s="83">
        <f t="shared" si="231"/>
        <v>181.59380268703978</v>
      </c>
      <c r="E1852">
        <f t="shared" si="227"/>
        <v>10.856245794946586</v>
      </c>
      <c r="G1852">
        <v>1802</v>
      </c>
      <c r="H1852" s="13">
        <f t="shared" si="232"/>
        <v>5.1608656820917531E-2</v>
      </c>
      <c r="I1852">
        <f t="shared" si="233"/>
        <v>135.3013945013781</v>
      </c>
      <c r="J1852" t="e">
        <f t="shared" si="228"/>
        <v>#NUM!</v>
      </c>
      <c r="K1852" s="27" t="e">
        <f t="shared" si="229"/>
        <v>#NUM!</v>
      </c>
    </row>
    <row r="1853" spans="1:11">
      <c r="A1853" s="26">
        <v>1803</v>
      </c>
      <c r="B1853" s="82">
        <f t="shared" si="230"/>
        <v>3.2921237647087764E-4</v>
      </c>
      <c r="C1853" s="58">
        <f t="shared" si="226"/>
        <v>42.896164824864698</v>
      </c>
      <c r="D1853" s="83">
        <f t="shared" si="231"/>
        <v>181.59441631344077</v>
      </c>
      <c r="E1853">
        <f t="shared" si="227"/>
        <v>10.856319162449303</v>
      </c>
      <c r="G1853">
        <v>1803</v>
      </c>
      <c r="H1853" s="13">
        <f t="shared" si="232"/>
        <v>5.1608656820917531E-2</v>
      </c>
      <c r="I1853">
        <f t="shared" si="233"/>
        <v>135.35300315819902</v>
      </c>
      <c r="J1853" t="e">
        <f t="shared" si="228"/>
        <v>#NUM!</v>
      </c>
      <c r="K1853" s="27" t="e">
        <f t="shared" si="229"/>
        <v>#NUM!</v>
      </c>
    </row>
    <row r="1854" spans="1:11">
      <c r="A1854" s="26">
        <v>1804</v>
      </c>
      <c r="B1854" s="82">
        <f t="shared" si="230"/>
        <v>3.2921237647087764E-4</v>
      </c>
      <c r="C1854" s="58">
        <f t="shared" si="226"/>
        <v>42.896494037241169</v>
      </c>
      <c r="D1854" s="83">
        <f t="shared" si="231"/>
        <v>181.59502991457907</v>
      </c>
      <c r="E1854">
        <f t="shared" si="227"/>
        <v>10.856392527179496</v>
      </c>
      <c r="G1854">
        <v>1804</v>
      </c>
      <c r="H1854" s="13">
        <f t="shared" si="232"/>
        <v>5.1608656820917531E-2</v>
      </c>
      <c r="I1854">
        <f t="shared" si="233"/>
        <v>135.40461181501993</v>
      </c>
      <c r="J1854" t="e">
        <f t="shared" si="228"/>
        <v>#NUM!</v>
      </c>
      <c r="K1854" s="27" t="e">
        <f t="shared" si="229"/>
        <v>#NUM!</v>
      </c>
    </row>
    <row r="1855" spans="1:11">
      <c r="A1855" s="26">
        <v>1805</v>
      </c>
      <c r="B1855" s="82">
        <f t="shared" si="230"/>
        <v>3.2921237647087764E-4</v>
      </c>
      <c r="C1855" s="58">
        <f t="shared" si="226"/>
        <v>42.89682324961764</v>
      </c>
      <c r="D1855" s="83">
        <f t="shared" si="231"/>
        <v>181.59564349045709</v>
      </c>
      <c r="E1855">
        <f t="shared" si="227"/>
        <v>10.856465889137423</v>
      </c>
      <c r="G1855">
        <v>1805</v>
      </c>
      <c r="H1855" s="13">
        <f t="shared" si="232"/>
        <v>5.1608656820917531E-2</v>
      </c>
      <c r="I1855">
        <f t="shared" si="233"/>
        <v>135.45622047184085</v>
      </c>
      <c r="J1855" t="e">
        <f t="shared" si="228"/>
        <v>#NUM!</v>
      </c>
      <c r="K1855" s="27" t="e">
        <f t="shared" si="229"/>
        <v>#NUM!</v>
      </c>
    </row>
    <row r="1856" spans="1:11">
      <c r="A1856" s="26">
        <v>1806</v>
      </c>
      <c r="B1856" s="82">
        <f t="shared" si="230"/>
        <v>3.2921237647087764E-4</v>
      </c>
      <c r="C1856" s="58">
        <f t="shared" si="226"/>
        <v>42.897152461994111</v>
      </c>
      <c r="D1856" s="83">
        <f t="shared" si="231"/>
        <v>181.59625704107725</v>
      </c>
      <c r="E1856">
        <f t="shared" si="227"/>
        <v>10.856539248323338</v>
      </c>
      <c r="G1856">
        <v>1806</v>
      </c>
      <c r="H1856" s="13">
        <f t="shared" si="232"/>
        <v>5.1608656820917531E-2</v>
      </c>
      <c r="I1856">
        <f t="shared" si="233"/>
        <v>135.50782912866177</v>
      </c>
      <c r="J1856" t="e">
        <f t="shared" si="228"/>
        <v>#NUM!</v>
      </c>
      <c r="K1856" s="27" t="e">
        <f t="shared" si="229"/>
        <v>#NUM!</v>
      </c>
    </row>
    <row r="1857" spans="1:11">
      <c r="A1857" s="26">
        <v>1807</v>
      </c>
      <c r="B1857" s="82">
        <f t="shared" si="230"/>
        <v>3.2921237647087764E-4</v>
      </c>
      <c r="C1857" s="58">
        <f t="shared" si="226"/>
        <v>42.897481674370582</v>
      </c>
      <c r="D1857" s="83">
        <f t="shared" si="231"/>
        <v>181.59687056644199</v>
      </c>
      <c r="E1857">
        <f t="shared" si="227"/>
        <v>10.856612604737512</v>
      </c>
      <c r="G1857">
        <v>1807</v>
      </c>
      <c r="H1857" s="13">
        <f t="shared" si="232"/>
        <v>5.1608656820917531E-2</v>
      </c>
      <c r="I1857">
        <f t="shared" si="233"/>
        <v>135.55943778548269</v>
      </c>
      <c r="J1857" t="e">
        <f t="shared" si="228"/>
        <v>#NUM!</v>
      </c>
      <c r="K1857" s="27" t="e">
        <f t="shared" si="229"/>
        <v>#NUM!</v>
      </c>
    </row>
    <row r="1858" spans="1:11">
      <c r="A1858" s="26">
        <v>1808</v>
      </c>
      <c r="B1858" s="82">
        <f t="shared" si="230"/>
        <v>3.2921237647087764E-4</v>
      </c>
      <c r="C1858" s="58">
        <f t="shared" si="226"/>
        <v>42.897810886747052</v>
      </c>
      <c r="D1858" s="83">
        <f t="shared" si="231"/>
        <v>181.59748406655373</v>
      </c>
      <c r="E1858">
        <f t="shared" si="227"/>
        <v>10.856685958380195</v>
      </c>
      <c r="G1858">
        <v>1808</v>
      </c>
      <c r="H1858" s="13">
        <f t="shared" si="232"/>
        <v>5.1608656820917531E-2</v>
      </c>
      <c r="I1858">
        <f t="shared" si="233"/>
        <v>135.6110464423036</v>
      </c>
      <c r="J1858" t="e">
        <f t="shared" si="228"/>
        <v>#NUM!</v>
      </c>
      <c r="K1858" s="27" t="e">
        <f t="shared" si="229"/>
        <v>#NUM!</v>
      </c>
    </row>
    <row r="1859" spans="1:11">
      <c r="A1859" s="26">
        <v>1809</v>
      </c>
      <c r="B1859" s="82">
        <f t="shared" si="230"/>
        <v>3.2921237647087764E-4</v>
      </c>
      <c r="C1859" s="58">
        <f t="shared" si="226"/>
        <v>42.898140099123523</v>
      </c>
      <c r="D1859" s="83">
        <f t="shared" si="231"/>
        <v>181.59809754141492</v>
      </c>
      <c r="E1859">
        <f t="shared" si="227"/>
        <v>10.856759309251645</v>
      </c>
      <c r="G1859">
        <v>1809</v>
      </c>
      <c r="H1859" s="13">
        <f t="shared" si="232"/>
        <v>5.1608656820917531E-2</v>
      </c>
      <c r="I1859">
        <f t="shared" si="233"/>
        <v>135.66265509912452</v>
      </c>
      <c r="J1859" t="e">
        <f t="shared" si="228"/>
        <v>#NUM!</v>
      </c>
      <c r="K1859" s="27" t="e">
        <f t="shared" si="229"/>
        <v>#NUM!</v>
      </c>
    </row>
    <row r="1860" spans="1:11">
      <c r="A1860" s="26">
        <v>1810</v>
      </c>
      <c r="B1860" s="82">
        <f t="shared" si="230"/>
        <v>3.2921237647087764E-4</v>
      </c>
      <c r="C1860" s="58">
        <f t="shared" si="226"/>
        <v>42.898469311499994</v>
      </c>
      <c r="D1860" s="83">
        <f t="shared" si="231"/>
        <v>181.5987109910279</v>
      </c>
      <c r="E1860">
        <f t="shared" si="227"/>
        <v>10.856832657352129</v>
      </c>
      <c r="G1860">
        <v>1810</v>
      </c>
      <c r="H1860" s="13">
        <f t="shared" si="232"/>
        <v>5.1608656820917531E-2</v>
      </c>
      <c r="I1860">
        <f t="shared" si="233"/>
        <v>135.71426375594544</v>
      </c>
      <c r="J1860" t="e">
        <f t="shared" si="228"/>
        <v>#NUM!</v>
      </c>
      <c r="K1860" s="27" t="e">
        <f t="shared" si="229"/>
        <v>#NUM!</v>
      </c>
    </row>
    <row r="1861" spans="1:11">
      <c r="A1861" s="26">
        <v>1811</v>
      </c>
      <c r="B1861" s="82">
        <f t="shared" si="230"/>
        <v>3.2921237647087764E-4</v>
      </c>
      <c r="C1861" s="58">
        <f t="shared" si="226"/>
        <v>42.898798523876465</v>
      </c>
      <c r="D1861" s="83">
        <f t="shared" si="231"/>
        <v>181.59932441539513</v>
      </c>
      <c r="E1861">
        <f t="shared" si="227"/>
        <v>10.856906002681896</v>
      </c>
      <c r="G1861">
        <v>1811</v>
      </c>
      <c r="H1861" s="13">
        <f t="shared" si="232"/>
        <v>5.1608656820917531E-2</v>
      </c>
      <c r="I1861">
        <f t="shared" si="233"/>
        <v>135.76587241276636</v>
      </c>
      <c r="J1861" t="e">
        <f t="shared" si="228"/>
        <v>#NUM!</v>
      </c>
      <c r="K1861" s="27" t="e">
        <f t="shared" si="229"/>
        <v>#NUM!</v>
      </c>
    </row>
    <row r="1862" spans="1:11">
      <c r="A1862" s="26">
        <v>1812</v>
      </c>
      <c r="B1862" s="82">
        <f t="shared" si="230"/>
        <v>3.2921237647087764E-4</v>
      </c>
      <c r="C1862" s="58">
        <f t="shared" si="226"/>
        <v>42.899127736252936</v>
      </c>
      <c r="D1862" s="83">
        <f t="shared" si="231"/>
        <v>181.59993781451908</v>
      </c>
      <c r="E1862">
        <f t="shared" si="227"/>
        <v>10.856979345241212</v>
      </c>
      <c r="G1862">
        <v>1812</v>
      </c>
      <c r="H1862" s="13">
        <f t="shared" si="232"/>
        <v>5.1608656820917531E-2</v>
      </c>
      <c r="I1862">
        <f t="shared" si="233"/>
        <v>135.81748106958727</v>
      </c>
      <c r="J1862" t="e">
        <f t="shared" si="228"/>
        <v>#NUM!</v>
      </c>
      <c r="K1862" s="27" t="e">
        <f t="shared" si="229"/>
        <v>#NUM!</v>
      </c>
    </row>
    <row r="1863" spans="1:11">
      <c r="A1863" s="26">
        <v>1813</v>
      </c>
      <c r="B1863" s="82">
        <f t="shared" si="230"/>
        <v>3.2921237647087764E-4</v>
      </c>
      <c r="C1863" s="58">
        <f t="shared" si="226"/>
        <v>42.899456948629407</v>
      </c>
      <c r="D1863" s="83">
        <f t="shared" si="231"/>
        <v>181.60055118840211</v>
      </c>
      <c r="E1863">
        <f t="shared" si="227"/>
        <v>10.857052685030331</v>
      </c>
      <c r="G1863">
        <v>1813</v>
      </c>
      <c r="H1863" s="13">
        <f t="shared" si="232"/>
        <v>5.1608656820917531E-2</v>
      </c>
      <c r="I1863">
        <f t="shared" si="233"/>
        <v>135.86908972640819</v>
      </c>
      <c r="J1863" t="e">
        <f t="shared" si="228"/>
        <v>#NUM!</v>
      </c>
      <c r="K1863" s="27" t="e">
        <f t="shared" si="229"/>
        <v>#NUM!</v>
      </c>
    </row>
    <row r="1864" spans="1:11">
      <c r="A1864" s="26">
        <v>1814</v>
      </c>
      <c r="B1864" s="82">
        <f t="shared" si="230"/>
        <v>3.2921237647087764E-4</v>
      </c>
      <c r="C1864" s="58">
        <f t="shared" si="226"/>
        <v>42.899786161005878</v>
      </c>
      <c r="D1864" s="83">
        <f t="shared" si="231"/>
        <v>181.60116453704663</v>
      </c>
      <c r="E1864">
        <f t="shared" si="227"/>
        <v>10.857126022049513</v>
      </c>
      <c r="G1864">
        <v>1814</v>
      </c>
      <c r="H1864" s="13">
        <f t="shared" si="232"/>
        <v>5.1608656820917531E-2</v>
      </c>
      <c r="I1864">
        <f t="shared" si="233"/>
        <v>135.92069838322911</v>
      </c>
      <c r="J1864" t="e">
        <f t="shared" si="228"/>
        <v>#NUM!</v>
      </c>
      <c r="K1864" s="27" t="e">
        <f t="shared" si="229"/>
        <v>#NUM!</v>
      </c>
    </row>
    <row r="1865" spans="1:11">
      <c r="A1865" s="26">
        <v>1815</v>
      </c>
      <c r="B1865" s="82">
        <f t="shared" si="230"/>
        <v>3.2921237647087764E-4</v>
      </c>
      <c r="C1865" s="58">
        <f t="shared" si="226"/>
        <v>42.900115373382349</v>
      </c>
      <c r="D1865" s="83">
        <f t="shared" si="231"/>
        <v>181.60177786045512</v>
      </c>
      <c r="E1865">
        <f t="shared" si="227"/>
        <v>10.857199356299018</v>
      </c>
      <c r="G1865">
        <v>1815</v>
      </c>
      <c r="H1865" s="13">
        <f t="shared" si="232"/>
        <v>5.1608656820917531E-2</v>
      </c>
      <c r="I1865">
        <f t="shared" si="233"/>
        <v>135.97230704005003</v>
      </c>
      <c r="J1865" t="e">
        <f t="shared" si="228"/>
        <v>#NUM!</v>
      </c>
      <c r="K1865" s="27" t="e">
        <f t="shared" si="229"/>
        <v>#NUM!</v>
      </c>
    </row>
    <row r="1866" spans="1:11">
      <c r="A1866" s="26">
        <v>1816</v>
      </c>
      <c r="B1866" s="82">
        <f t="shared" si="230"/>
        <v>3.2921237647087764E-4</v>
      </c>
      <c r="C1866" s="58">
        <f t="shared" si="226"/>
        <v>42.900444585758819</v>
      </c>
      <c r="D1866" s="83">
        <f t="shared" si="231"/>
        <v>181.60239115862993</v>
      </c>
      <c r="E1866">
        <f t="shared" si="227"/>
        <v>10.857272687779103</v>
      </c>
      <c r="G1866">
        <v>1816</v>
      </c>
      <c r="H1866" s="13">
        <f t="shared" si="232"/>
        <v>5.1608656820917531E-2</v>
      </c>
      <c r="I1866">
        <f t="shared" si="233"/>
        <v>136.02391569687094</v>
      </c>
      <c r="J1866" t="e">
        <f t="shared" si="228"/>
        <v>#NUM!</v>
      </c>
      <c r="K1866" s="27" t="e">
        <f t="shared" si="229"/>
        <v>#NUM!</v>
      </c>
    </row>
    <row r="1867" spans="1:11">
      <c r="A1867" s="26">
        <v>1817</v>
      </c>
      <c r="B1867" s="82">
        <f t="shared" si="230"/>
        <v>3.2921237647087764E-4</v>
      </c>
      <c r="C1867" s="58">
        <f t="shared" si="226"/>
        <v>42.90077379813529</v>
      </c>
      <c r="D1867" s="83">
        <f t="shared" si="231"/>
        <v>181.60300443157351</v>
      </c>
      <c r="E1867">
        <f t="shared" si="227"/>
        <v>10.857346016490029</v>
      </c>
      <c r="G1867">
        <v>1817</v>
      </c>
      <c r="H1867" s="13">
        <f t="shared" si="232"/>
        <v>5.1608656820917531E-2</v>
      </c>
      <c r="I1867">
        <f t="shared" si="233"/>
        <v>136.07552435369186</v>
      </c>
      <c r="J1867" t="e">
        <f t="shared" si="228"/>
        <v>#NUM!</v>
      </c>
      <c r="K1867" s="27" t="e">
        <f t="shared" si="229"/>
        <v>#NUM!</v>
      </c>
    </row>
    <row r="1868" spans="1:11">
      <c r="A1868" s="26">
        <v>1818</v>
      </c>
      <c r="B1868" s="82">
        <f t="shared" si="230"/>
        <v>3.2921237647087764E-4</v>
      </c>
      <c r="C1868" s="58">
        <f t="shared" si="226"/>
        <v>42.901103010511761</v>
      </c>
      <c r="D1868" s="83">
        <f t="shared" si="231"/>
        <v>181.60361767928831</v>
      </c>
      <c r="E1868">
        <f t="shared" si="227"/>
        <v>10.857419342432051</v>
      </c>
      <c r="G1868">
        <v>1818</v>
      </c>
      <c r="H1868" s="13">
        <f t="shared" si="232"/>
        <v>5.1608656820917531E-2</v>
      </c>
      <c r="I1868">
        <f t="shared" si="233"/>
        <v>136.12713301051278</v>
      </c>
      <c r="J1868" t="e">
        <f t="shared" si="228"/>
        <v>#NUM!</v>
      </c>
      <c r="K1868" s="27" t="e">
        <f t="shared" si="229"/>
        <v>#NUM!</v>
      </c>
    </row>
    <row r="1869" spans="1:11">
      <c r="A1869" s="26">
        <v>1819</v>
      </c>
      <c r="B1869" s="82">
        <f t="shared" si="230"/>
        <v>3.2921237647087764E-4</v>
      </c>
      <c r="C1869" s="58">
        <f t="shared" si="226"/>
        <v>42.901432222888232</v>
      </c>
      <c r="D1869" s="83">
        <f t="shared" si="231"/>
        <v>181.60423090177667</v>
      </c>
      <c r="E1869">
        <f t="shared" si="227"/>
        <v>10.857492665605429</v>
      </c>
      <c r="G1869">
        <v>1819</v>
      </c>
      <c r="H1869" s="13">
        <f t="shared" si="232"/>
        <v>5.1608656820917531E-2</v>
      </c>
      <c r="I1869">
        <f t="shared" si="233"/>
        <v>136.1787416673337</v>
      </c>
      <c r="J1869" t="e">
        <f t="shared" si="228"/>
        <v>#NUM!</v>
      </c>
      <c r="K1869" s="27" t="e">
        <f t="shared" si="229"/>
        <v>#NUM!</v>
      </c>
    </row>
    <row r="1870" spans="1:11">
      <c r="A1870" s="26">
        <v>1820</v>
      </c>
      <c r="B1870" s="82">
        <f t="shared" si="230"/>
        <v>3.2921237647087764E-4</v>
      </c>
      <c r="C1870" s="58">
        <f t="shared" si="226"/>
        <v>42.901761435264703</v>
      </c>
      <c r="D1870" s="83">
        <f t="shared" si="231"/>
        <v>181.60484409904109</v>
      </c>
      <c r="E1870">
        <f t="shared" si="227"/>
        <v>10.857565986010419</v>
      </c>
      <c r="G1870">
        <v>1820</v>
      </c>
      <c r="H1870" s="13">
        <f t="shared" si="232"/>
        <v>5.1608656820917531E-2</v>
      </c>
      <c r="I1870">
        <f t="shared" si="233"/>
        <v>136.23035032415461</v>
      </c>
      <c r="J1870" t="e">
        <f t="shared" si="228"/>
        <v>#NUM!</v>
      </c>
      <c r="K1870" s="27" t="e">
        <f t="shared" si="229"/>
        <v>#NUM!</v>
      </c>
    </row>
    <row r="1871" spans="1:11">
      <c r="A1871" s="26">
        <v>1821</v>
      </c>
      <c r="B1871" s="82">
        <f t="shared" si="230"/>
        <v>3.2921237647087764E-4</v>
      </c>
      <c r="C1871" s="58">
        <f t="shared" si="226"/>
        <v>42.902090647641174</v>
      </c>
      <c r="D1871" s="83">
        <f t="shared" si="231"/>
        <v>181.60545727108391</v>
      </c>
      <c r="E1871">
        <f t="shared" si="227"/>
        <v>10.857639303647284</v>
      </c>
      <c r="G1871">
        <v>1821</v>
      </c>
      <c r="H1871" s="13">
        <f t="shared" si="232"/>
        <v>5.1608656820917531E-2</v>
      </c>
      <c r="I1871">
        <f t="shared" si="233"/>
        <v>136.28195898097553</v>
      </c>
      <c r="J1871" t="e">
        <f t="shared" si="228"/>
        <v>#NUM!</v>
      </c>
      <c r="K1871" s="27" t="e">
        <f t="shared" si="229"/>
        <v>#NUM!</v>
      </c>
    </row>
    <row r="1872" spans="1:11">
      <c r="A1872" s="26">
        <v>1822</v>
      </c>
      <c r="B1872" s="82">
        <f t="shared" si="230"/>
        <v>3.2921237647087764E-4</v>
      </c>
      <c r="C1872" s="58">
        <f t="shared" ref="C1872:C1935" si="234">($C$37-$C$36)/2000+C1871</f>
        <v>42.902419860017645</v>
      </c>
      <c r="D1872" s="83">
        <f t="shared" si="231"/>
        <v>181.6060704179076</v>
      </c>
      <c r="E1872">
        <f t="shared" si="227"/>
        <v>10.857712618516279</v>
      </c>
      <c r="G1872">
        <v>1822</v>
      </c>
      <c r="H1872" s="13">
        <f t="shared" si="232"/>
        <v>5.1608656820917531E-2</v>
      </c>
      <c r="I1872">
        <f t="shared" si="233"/>
        <v>136.33356763779645</v>
      </c>
      <c r="J1872" t="e">
        <f t="shared" si="228"/>
        <v>#NUM!</v>
      </c>
      <c r="K1872" s="27" t="e">
        <f t="shared" si="229"/>
        <v>#NUM!</v>
      </c>
    </row>
    <row r="1873" spans="1:11">
      <c r="A1873" s="26">
        <v>1823</v>
      </c>
      <c r="B1873" s="82">
        <f t="shared" si="230"/>
        <v>3.2921237647087764E-4</v>
      </c>
      <c r="C1873" s="58">
        <f t="shared" si="234"/>
        <v>42.902749072394116</v>
      </c>
      <c r="D1873" s="83">
        <f t="shared" si="231"/>
        <v>181.60668353951456</v>
      </c>
      <c r="E1873">
        <f t="shared" si="227"/>
        <v>10.857785930617665</v>
      </c>
      <c r="G1873">
        <v>1823</v>
      </c>
      <c r="H1873" s="13">
        <f t="shared" si="232"/>
        <v>5.1608656820917531E-2</v>
      </c>
      <c r="I1873">
        <f t="shared" si="233"/>
        <v>136.38517629461737</v>
      </c>
      <c r="J1873" t="e">
        <f t="shared" si="228"/>
        <v>#NUM!</v>
      </c>
      <c r="K1873" s="27" t="e">
        <f t="shared" si="229"/>
        <v>#NUM!</v>
      </c>
    </row>
    <row r="1874" spans="1:11">
      <c r="A1874" s="26">
        <v>1824</v>
      </c>
      <c r="B1874" s="82">
        <f t="shared" si="230"/>
        <v>3.2921237647087764E-4</v>
      </c>
      <c r="C1874" s="58">
        <f t="shared" si="234"/>
        <v>42.903078284770586</v>
      </c>
      <c r="D1874" s="83">
        <f t="shared" si="231"/>
        <v>181.60729663590718</v>
      </c>
      <c r="E1874">
        <f t="shared" si="227"/>
        <v>10.857859239951695</v>
      </c>
      <c r="G1874">
        <v>1824</v>
      </c>
      <c r="H1874" s="13">
        <f t="shared" si="232"/>
        <v>5.1608656820917531E-2</v>
      </c>
      <c r="I1874">
        <f t="shared" si="233"/>
        <v>136.43678495143828</v>
      </c>
      <c r="J1874" t="e">
        <f t="shared" si="228"/>
        <v>#NUM!</v>
      </c>
      <c r="K1874" s="27" t="e">
        <f t="shared" si="229"/>
        <v>#NUM!</v>
      </c>
    </row>
    <row r="1875" spans="1:11">
      <c r="A1875" s="26">
        <v>1825</v>
      </c>
      <c r="B1875" s="82">
        <f t="shared" si="230"/>
        <v>3.2921237647087764E-4</v>
      </c>
      <c r="C1875" s="58">
        <f t="shared" si="234"/>
        <v>42.903407497147057</v>
      </c>
      <c r="D1875" s="83">
        <f t="shared" si="231"/>
        <v>181.60790970708791</v>
      </c>
      <c r="E1875">
        <f t="shared" si="227"/>
        <v>10.857932546518633</v>
      </c>
      <c r="G1875">
        <v>1825</v>
      </c>
      <c r="H1875" s="13">
        <f t="shared" si="232"/>
        <v>5.1608656820917531E-2</v>
      </c>
      <c r="I1875">
        <f t="shared" si="233"/>
        <v>136.4883936082592</v>
      </c>
      <c r="J1875" t="e">
        <f t="shared" si="228"/>
        <v>#NUM!</v>
      </c>
      <c r="K1875" s="27" t="e">
        <f t="shared" si="229"/>
        <v>#NUM!</v>
      </c>
    </row>
    <row r="1876" spans="1:11">
      <c r="A1876" s="26">
        <v>1826</v>
      </c>
      <c r="B1876" s="82">
        <f t="shared" si="230"/>
        <v>3.2921237647087764E-4</v>
      </c>
      <c r="C1876" s="58">
        <f t="shared" si="234"/>
        <v>42.903736709523528</v>
      </c>
      <c r="D1876" s="83">
        <f t="shared" si="231"/>
        <v>181.60852275305916</v>
      </c>
      <c r="E1876">
        <f t="shared" si="227"/>
        <v>10.858005850318735</v>
      </c>
      <c r="G1876">
        <v>1826</v>
      </c>
      <c r="H1876" s="13">
        <f t="shared" si="232"/>
        <v>5.1608656820917531E-2</v>
      </c>
      <c r="I1876">
        <f t="shared" si="233"/>
        <v>136.54000226508012</v>
      </c>
      <c r="J1876" t="e">
        <f t="shared" si="228"/>
        <v>#NUM!</v>
      </c>
      <c r="K1876" s="27" t="e">
        <f t="shared" si="229"/>
        <v>#NUM!</v>
      </c>
    </row>
    <row r="1877" spans="1:11">
      <c r="A1877" s="26">
        <v>1827</v>
      </c>
      <c r="B1877" s="82">
        <f t="shared" si="230"/>
        <v>3.2921237647087764E-4</v>
      </c>
      <c r="C1877" s="58">
        <f t="shared" si="234"/>
        <v>42.904065921899999</v>
      </c>
      <c r="D1877" s="83">
        <f t="shared" si="231"/>
        <v>181.60913577382334</v>
      </c>
      <c r="E1877">
        <f t="shared" si="227"/>
        <v>10.858079151352257</v>
      </c>
      <c r="G1877">
        <v>1827</v>
      </c>
      <c r="H1877" s="13">
        <f t="shared" si="232"/>
        <v>5.1608656820917531E-2</v>
      </c>
      <c r="I1877">
        <f t="shared" si="233"/>
        <v>136.59161092190104</v>
      </c>
      <c r="J1877" t="e">
        <f t="shared" si="228"/>
        <v>#NUM!</v>
      </c>
      <c r="K1877" s="27" t="e">
        <f t="shared" si="229"/>
        <v>#NUM!</v>
      </c>
    </row>
    <row r="1878" spans="1:11">
      <c r="A1878" s="26">
        <v>1828</v>
      </c>
      <c r="B1878" s="82">
        <f t="shared" si="230"/>
        <v>3.2921237647087764E-4</v>
      </c>
      <c r="C1878" s="58">
        <f t="shared" si="234"/>
        <v>42.90439513427647</v>
      </c>
      <c r="D1878" s="83">
        <f t="shared" si="231"/>
        <v>181.60974876938283</v>
      </c>
      <c r="E1878">
        <f t="shared" si="227"/>
        <v>10.85815244961946</v>
      </c>
      <c r="G1878">
        <v>1828</v>
      </c>
      <c r="H1878" s="13">
        <f t="shared" si="232"/>
        <v>5.1608656820917531E-2</v>
      </c>
      <c r="I1878">
        <f t="shared" si="233"/>
        <v>136.64321957872195</v>
      </c>
      <c r="J1878" t="e">
        <f t="shared" si="228"/>
        <v>#NUM!</v>
      </c>
      <c r="K1878" s="27" t="e">
        <f t="shared" si="229"/>
        <v>#NUM!</v>
      </c>
    </row>
    <row r="1879" spans="1:11">
      <c r="A1879" s="26">
        <v>1829</v>
      </c>
      <c r="B1879" s="82">
        <f t="shared" si="230"/>
        <v>3.2921237647087764E-4</v>
      </c>
      <c r="C1879" s="58">
        <f t="shared" si="234"/>
        <v>42.904724346652941</v>
      </c>
      <c r="D1879" s="83">
        <f t="shared" si="231"/>
        <v>181.61036173974009</v>
      </c>
      <c r="E1879">
        <f t="shared" si="227"/>
        <v>10.858225745120599</v>
      </c>
      <c r="G1879">
        <v>1829</v>
      </c>
      <c r="H1879" s="13">
        <f t="shared" si="232"/>
        <v>5.1608656820917531E-2</v>
      </c>
      <c r="I1879">
        <f t="shared" si="233"/>
        <v>136.69482823554287</v>
      </c>
      <c r="J1879" t="e">
        <f t="shared" si="228"/>
        <v>#NUM!</v>
      </c>
      <c r="K1879" s="27" t="e">
        <f t="shared" si="229"/>
        <v>#NUM!</v>
      </c>
    </row>
    <row r="1880" spans="1:11">
      <c r="A1880" s="26">
        <v>1830</v>
      </c>
      <c r="B1880" s="82">
        <f t="shared" si="230"/>
        <v>3.2921237647087764E-4</v>
      </c>
      <c r="C1880" s="58">
        <f t="shared" si="234"/>
        <v>42.905053559029412</v>
      </c>
      <c r="D1880" s="83">
        <f t="shared" si="231"/>
        <v>181.61097468489751</v>
      </c>
      <c r="E1880">
        <f t="shared" si="227"/>
        <v>10.858299037855936</v>
      </c>
      <c r="G1880">
        <v>1830</v>
      </c>
      <c r="H1880" s="13">
        <f t="shared" si="232"/>
        <v>5.1608656820917531E-2</v>
      </c>
      <c r="I1880">
        <f t="shared" si="233"/>
        <v>136.74643689236379</v>
      </c>
      <c r="J1880" t="e">
        <f t="shared" si="228"/>
        <v>#NUM!</v>
      </c>
      <c r="K1880" s="27" t="e">
        <f t="shared" si="229"/>
        <v>#NUM!</v>
      </c>
    </row>
    <row r="1881" spans="1:11">
      <c r="A1881" s="26">
        <v>1831</v>
      </c>
      <c r="B1881" s="82">
        <f t="shared" si="230"/>
        <v>3.2921237647087764E-4</v>
      </c>
      <c r="C1881" s="58">
        <f t="shared" si="234"/>
        <v>42.905382771405883</v>
      </c>
      <c r="D1881" s="83">
        <f t="shared" si="231"/>
        <v>181.6115876048575</v>
      </c>
      <c r="E1881">
        <f t="shared" si="227"/>
        <v>10.858372327825725</v>
      </c>
      <c r="G1881">
        <v>1831</v>
      </c>
      <c r="H1881" s="13">
        <f t="shared" si="232"/>
        <v>5.1608656820917531E-2</v>
      </c>
      <c r="I1881">
        <f t="shared" si="233"/>
        <v>136.79804554918471</v>
      </c>
      <c r="J1881" t="e">
        <f t="shared" si="228"/>
        <v>#NUM!</v>
      </c>
      <c r="K1881" s="27" t="e">
        <f t="shared" si="229"/>
        <v>#NUM!</v>
      </c>
    </row>
    <row r="1882" spans="1:11">
      <c r="A1882" s="26">
        <v>1832</v>
      </c>
      <c r="B1882" s="82">
        <f t="shared" si="230"/>
        <v>3.2921237647087764E-4</v>
      </c>
      <c r="C1882" s="58">
        <f t="shared" si="234"/>
        <v>42.905711983782354</v>
      </c>
      <c r="D1882" s="83">
        <f t="shared" si="231"/>
        <v>181.61220049962247</v>
      </c>
      <c r="E1882">
        <f t="shared" si="227"/>
        <v>10.858445615030226</v>
      </c>
      <c r="G1882">
        <v>1832</v>
      </c>
      <c r="H1882" s="13">
        <f t="shared" si="232"/>
        <v>5.1608656820917531E-2</v>
      </c>
      <c r="I1882">
        <f t="shared" si="233"/>
        <v>136.84965420600562</v>
      </c>
      <c r="J1882" t="e">
        <f t="shared" si="228"/>
        <v>#NUM!</v>
      </c>
      <c r="K1882" s="27" t="e">
        <f t="shared" si="229"/>
        <v>#NUM!</v>
      </c>
    </row>
    <row r="1883" spans="1:11">
      <c r="A1883" s="26">
        <v>1833</v>
      </c>
      <c r="B1883" s="82">
        <f t="shared" si="230"/>
        <v>3.2921237647087764E-4</v>
      </c>
      <c r="C1883" s="58">
        <f t="shared" si="234"/>
        <v>42.906041196158824</v>
      </c>
      <c r="D1883" s="83">
        <f t="shared" si="231"/>
        <v>181.61281336919484</v>
      </c>
      <c r="E1883">
        <f t="shared" si="227"/>
        <v>10.858518899469694</v>
      </c>
      <c r="G1883">
        <v>1833</v>
      </c>
      <c r="H1883" s="13">
        <f t="shared" si="232"/>
        <v>5.1608656820917531E-2</v>
      </c>
      <c r="I1883">
        <f t="shared" si="233"/>
        <v>136.90126286282654</v>
      </c>
      <c r="J1883" t="e">
        <f t="shared" si="228"/>
        <v>#NUM!</v>
      </c>
      <c r="K1883" s="27" t="e">
        <f t="shared" si="229"/>
        <v>#NUM!</v>
      </c>
    </row>
    <row r="1884" spans="1:11">
      <c r="A1884" s="26">
        <v>1834</v>
      </c>
      <c r="B1884" s="82">
        <f t="shared" si="230"/>
        <v>3.2921237647087764E-4</v>
      </c>
      <c r="C1884" s="58">
        <f t="shared" si="234"/>
        <v>42.906370408535295</v>
      </c>
      <c r="D1884" s="83">
        <f t="shared" si="231"/>
        <v>181.61342621357701</v>
      </c>
      <c r="E1884">
        <f t="shared" si="227"/>
        <v>10.85859218114439</v>
      </c>
      <c r="G1884">
        <v>1834</v>
      </c>
      <c r="H1884" s="13">
        <f t="shared" si="232"/>
        <v>5.1608656820917531E-2</v>
      </c>
      <c r="I1884">
        <f t="shared" si="233"/>
        <v>136.95287151964746</v>
      </c>
      <c r="J1884" t="e">
        <f t="shared" si="228"/>
        <v>#NUM!</v>
      </c>
      <c r="K1884" s="27" t="e">
        <f t="shared" si="229"/>
        <v>#NUM!</v>
      </c>
    </row>
    <row r="1885" spans="1:11">
      <c r="A1885" s="26">
        <v>1835</v>
      </c>
      <c r="B1885" s="82">
        <f t="shared" si="230"/>
        <v>3.2921237647087764E-4</v>
      </c>
      <c r="C1885" s="58">
        <f t="shared" si="234"/>
        <v>42.906699620911766</v>
      </c>
      <c r="D1885" s="83">
        <f t="shared" si="231"/>
        <v>181.61403903277142</v>
      </c>
      <c r="E1885">
        <f t="shared" si="227"/>
        <v>10.858665460054572</v>
      </c>
      <c r="G1885">
        <v>1835</v>
      </c>
      <c r="H1885" s="13">
        <f t="shared" si="232"/>
        <v>5.1608656820917531E-2</v>
      </c>
      <c r="I1885">
        <f t="shared" si="233"/>
        <v>137.00448017646838</v>
      </c>
      <c r="J1885" t="e">
        <f t="shared" si="228"/>
        <v>#NUM!</v>
      </c>
      <c r="K1885" s="27" t="e">
        <f t="shared" si="229"/>
        <v>#NUM!</v>
      </c>
    </row>
    <row r="1886" spans="1:11">
      <c r="A1886" s="26">
        <v>1836</v>
      </c>
      <c r="B1886" s="82">
        <f t="shared" si="230"/>
        <v>3.2921237647087764E-4</v>
      </c>
      <c r="C1886" s="58">
        <f t="shared" si="234"/>
        <v>42.907028833288237</v>
      </c>
      <c r="D1886" s="83">
        <f t="shared" si="231"/>
        <v>181.61465182678046</v>
      </c>
      <c r="E1886">
        <f t="shared" si="227"/>
        <v>10.858738736200495</v>
      </c>
      <c r="G1886">
        <v>1836</v>
      </c>
      <c r="H1886" s="13">
        <f t="shared" si="232"/>
        <v>5.1608656820917531E-2</v>
      </c>
      <c r="I1886">
        <f t="shared" si="233"/>
        <v>137.05608883328929</v>
      </c>
      <c r="J1886" t="e">
        <f t="shared" si="228"/>
        <v>#NUM!</v>
      </c>
      <c r="K1886" s="27" t="e">
        <f t="shared" si="229"/>
        <v>#NUM!</v>
      </c>
    </row>
    <row r="1887" spans="1:11">
      <c r="A1887" s="26">
        <v>1837</v>
      </c>
      <c r="B1887" s="82">
        <f t="shared" si="230"/>
        <v>3.2921237647087764E-4</v>
      </c>
      <c r="C1887" s="58">
        <f t="shared" si="234"/>
        <v>42.907358045664708</v>
      </c>
      <c r="D1887" s="83">
        <f t="shared" si="231"/>
        <v>181.6152645956065</v>
      </c>
      <c r="E1887">
        <f t="shared" si="227"/>
        <v>10.858812009582415</v>
      </c>
      <c r="G1887">
        <v>1837</v>
      </c>
      <c r="H1887" s="13">
        <f t="shared" si="232"/>
        <v>5.1608656820917531E-2</v>
      </c>
      <c r="I1887">
        <f t="shared" si="233"/>
        <v>137.10769749011021</v>
      </c>
      <c r="J1887" t="e">
        <f t="shared" si="228"/>
        <v>#NUM!</v>
      </c>
      <c r="K1887" s="27" t="e">
        <f t="shared" si="229"/>
        <v>#NUM!</v>
      </c>
    </row>
    <row r="1888" spans="1:11">
      <c r="A1888" s="26">
        <v>1838</v>
      </c>
      <c r="B1888" s="82">
        <f t="shared" si="230"/>
        <v>3.2921237647087764E-4</v>
      </c>
      <c r="C1888" s="58">
        <f t="shared" si="234"/>
        <v>42.907687258041179</v>
      </c>
      <c r="D1888" s="83">
        <f t="shared" si="231"/>
        <v>181.61587733925202</v>
      </c>
      <c r="E1888">
        <f t="shared" si="227"/>
        <v>10.858885280200596</v>
      </c>
      <c r="G1888">
        <v>1838</v>
      </c>
      <c r="H1888" s="13">
        <f t="shared" si="232"/>
        <v>5.1608656820917531E-2</v>
      </c>
      <c r="I1888">
        <f t="shared" si="233"/>
        <v>137.15930614693113</v>
      </c>
      <c r="J1888" t="e">
        <f t="shared" si="228"/>
        <v>#NUM!</v>
      </c>
      <c r="K1888" s="27" t="e">
        <f t="shared" si="229"/>
        <v>#NUM!</v>
      </c>
    </row>
    <row r="1889" spans="1:11">
      <c r="A1889" s="26">
        <v>1839</v>
      </c>
      <c r="B1889" s="82">
        <f t="shared" si="230"/>
        <v>3.2921237647087764E-4</v>
      </c>
      <c r="C1889" s="58">
        <f t="shared" si="234"/>
        <v>42.90801647041765</v>
      </c>
      <c r="D1889" s="83">
        <f t="shared" si="231"/>
        <v>181.61649005771937</v>
      </c>
      <c r="E1889">
        <f t="shared" si="227"/>
        <v>10.858958548055291</v>
      </c>
      <c r="G1889">
        <v>1839</v>
      </c>
      <c r="H1889" s="13">
        <f t="shared" si="232"/>
        <v>5.1608656820917531E-2</v>
      </c>
      <c r="I1889">
        <f t="shared" si="233"/>
        <v>137.21091480375205</v>
      </c>
      <c r="J1889" t="e">
        <f t="shared" si="228"/>
        <v>#NUM!</v>
      </c>
      <c r="K1889" s="27" t="e">
        <f t="shared" si="229"/>
        <v>#NUM!</v>
      </c>
    </row>
    <row r="1890" spans="1:11">
      <c r="A1890" s="26">
        <v>1840</v>
      </c>
      <c r="B1890" s="82">
        <f t="shared" si="230"/>
        <v>3.2921237647087764E-4</v>
      </c>
      <c r="C1890" s="58">
        <f t="shared" si="234"/>
        <v>42.908345682794121</v>
      </c>
      <c r="D1890" s="83">
        <f t="shared" si="231"/>
        <v>181.617102751011</v>
      </c>
      <c r="E1890">
        <f t="shared" si="227"/>
        <v>10.859031813146757</v>
      </c>
      <c r="G1890">
        <v>1840</v>
      </c>
      <c r="H1890" s="13">
        <f t="shared" si="232"/>
        <v>5.1608656820917531E-2</v>
      </c>
      <c r="I1890">
        <f t="shared" si="233"/>
        <v>137.26252346057296</v>
      </c>
      <c r="J1890" t="e">
        <f t="shared" si="228"/>
        <v>#NUM!</v>
      </c>
      <c r="K1890" s="27" t="e">
        <f t="shared" si="229"/>
        <v>#NUM!</v>
      </c>
    </row>
    <row r="1891" spans="1:11">
      <c r="A1891" s="26">
        <v>1841</v>
      </c>
      <c r="B1891" s="82">
        <f t="shared" si="230"/>
        <v>3.2921237647087764E-4</v>
      </c>
      <c r="C1891" s="58">
        <f t="shared" si="234"/>
        <v>42.908674895170591</v>
      </c>
      <c r="D1891" s="83">
        <f t="shared" si="231"/>
        <v>181.6177154191293</v>
      </c>
      <c r="E1891">
        <f t="shared" si="227"/>
        <v>10.859105075475258</v>
      </c>
      <c r="G1891">
        <v>1841</v>
      </c>
      <c r="H1891" s="13">
        <f t="shared" si="232"/>
        <v>5.1608656820917531E-2</v>
      </c>
      <c r="I1891">
        <f t="shared" si="233"/>
        <v>137.31413211739388</v>
      </c>
      <c r="J1891" t="e">
        <f t="shared" si="228"/>
        <v>#NUM!</v>
      </c>
      <c r="K1891" s="27" t="e">
        <f t="shared" si="229"/>
        <v>#NUM!</v>
      </c>
    </row>
    <row r="1892" spans="1:11">
      <c r="A1892" s="26">
        <v>1842</v>
      </c>
      <c r="B1892" s="82">
        <f t="shared" si="230"/>
        <v>3.2921237647087764E-4</v>
      </c>
      <c r="C1892" s="58">
        <f t="shared" si="234"/>
        <v>42.909004107547062</v>
      </c>
      <c r="D1892" s="83">
        <f t="shared" si="231"/>
        <v>181.6183280620767</v>
      </c>
      <c r="E1892">
        <f t="shared" si="227"/>
        <v>10.859178335041044</v>
      </c>
      <c r="G1892">
        <v>1842</v>
      </c>
      <c r="H1892" s="13">
        <f t="shared" si="232"/>
        <v>5.1608656820917531E-2</v>
      </c>
      <c r="I1892">
        <f t="shared" si="233"/>
        <v>137.3657407742148</v>
      </c>
      <c r="J1892" t="e">
        <f t="shared" si="228"/>
        <v>#NUM!</v>
      </c>
      <c r="K1892" s="27" t="e">
        <f t="shared" si="229"/>
        <v>#NUM!</v>
      </c>
    </row>
    <row r="1893" spans="1:11">
      <c r="A1893" s="26">
        <v>1843</v>
      </c>
      <c r="B1893" s="82">
        <f t="shared" si="230"/>
        <v>3.2921237647087764E-4</v>
      </c>
      <c r="C1893" s="58">
        <f t="shared" si="234"/>
        <v>42.909333319923533</v>
      </c>
      <c r="D1893" s="83">
        <f t="shared" si="231"/>
        <v>181.61894067985557</v>
      </c>
      <c r="E1893">
        <f t="shared" si="227"/>
        <v>10.859251591844375</v>
      </c>
      <c r="G1893">
        <v>1843</v>
      </c>
      <c r="H1893" s="13">
        <f t="shared" si="232"/>
        <v>5.1608656820917531E-2</v>
      </c>
      <c r="I1893">
        <f t="shared" si="233"/>
        <v>137.41734943103572</v>
      </c>
      <c r="J1893" t="e">
        <f t="shared" si="228"/>
        <v>#NUM!</v>
      </c>
      <c r="K1893" s="27" t="e">
        <f t="shared" si="229"/>
        <v>#NUM!</v>
      </c>
    </row>
    <row r="1894" spans="1:11">
      <c r="A1894" s="26">
        <v>1844</v>
      </c>
      <c r="B1894" s="82">
        <f t="shared" si="230"/>
        <v>3.2921237647087764E-4</v>
      </c>
      <c r="C1894" s="58">
        <f t="shared" si="234"/>
        <v>42.909662532300004</v>
      </c>
      <c r="D1894" s="83">
        <f t="shared" si="231"/>
        <v>181.61955327246832</v>
      </c>
      <c r="E1894">
        <f t="shared" si="227"/>
        <v>10.859324845885505</v>
      </c>
      <c r="G1894">
        <v>1844</v>
      </c>
      <c r="H1894" s="13">
        <f t="shared" si="232"/>
        <v>5.1608656820917531E-2</v>
      </c>
      <c r="I1894">
        <f t="shared" si="233"/>
        <v>137.46895808785663</v>
      </c>
      <c r="J1894" t="e">
        <f t="shared" si="228"/>
        <v>#NUM!</v>
      </c>
      <c r="K1894" s="27" t="e">
        <f t="shared" si="229"/>
        <v>#NUM!</v>
      </c>
    </row>
    <row r="1895" spans="1:11">
      <c r="A1895" s="26">
        <v>1845</v>
      </c>
      <c r="B1895" s="82">
        <f t="shared" si="230"/>
        <v>3.2921237647087764E-4</v>
      </c>
      <c r="C1895" s="58">
        <f t="shared" si="234"/>
        <v>42.909991744676475</v>
      </c>
      <c r="D1895" s="83">
        <f t="shared" si="231"/>
        <v>181.62016583991738</v>
      </c>
      <c r="E1895">
        <f t="shared" si="227"/>
        <v>10.859398097164695</v>
      </c>
      <c r="G1895">
        <v>1845</v>
      </c>
      <c r="H1895" s="13">
        <f t="shared" si="232"/>
        <v>5.1608656820917531E-2</v>
      </c>
      <c r="I1895">
        <f t="shared" si="233"/>
        <v>137.52056674467755</v>
      </c>
      <c r="J1895" t="e">
        <f t="shared" si="228"/>
        <v>#NUM!</v>
      </c>
      <c r="K1895" s="27" t="e">
        <f t="shared" si="229"/>
        <v>#NUM!</v>
      </c>
    </row>
    <row r="1896" spans="1:11">
      <c r="A1896" s="26">
        <v>1846</v>
      </c>
      <c r="B1896" s="82">
        <f t="shared" si="230"/>
        <v>3.2921237647087764E-4</v>
      </c>
      <c r="C1896" s="58">
        <f t="shared" si="234"/>
        <v>42.910320957052946</v>
      </c>
      <c r="D1896" s="83">
        <f t="shared" si="231"/>
        <v>181.62077838220515</v>
      </c>
      <c r="E1896">
        <f t="shared" si="227"/>
        <v>10.859471345682204</v>
      </c>
      <c r="G1896">
        <v>1846</v>
      </c>
      <c r="H1896" s="13">
        <f t="shared" si="232"/>
        <v>5.1608656820917531E-2</v>
      </c>
      <c r="I1896">
        <f t="shared" si="233"/>
        <v>137.57217540149847</v>
      </c>
      <c r="J1896" t="e">
        <f t="shared" si="228"/>
        <v>#NUM!</v>
      </c>
      <c r="K1896" s="27" t="e">
        <f t="shared" si="229"/>
        <v>#NUM!</v>
      </c>
    </row>
    <row r="1897" spans="1:11">
      <c r="A1897" s="26">
        <v>1847</v>
      </c>
      <c r="B1897" s="82">
        <f t="shared" si="230"/>
        <v>3.2921237647087764E-4</v>
      </c>
      <c r="C1897" s="58">
        <f t="shared" si="234"/>
        <v>42.910650169429417</v>
      </c>
      <c r="D1897" s="83">
        <f t="shared" si="231"/>
        <v>181.62139089933402</v>
      </c>
      <c r="E1897">
        <f t="shared" si="227"/>
        <v>10.859544591438286</v>
      </c>
      <c r="G1897">
        <v>1847</v>
      </c>
      <c r="H1897" s="13">
        <f t="shared" si="232"/>
        <v>5.1608656820917531E-2</v>
      </c>
      <c r="I1897">
        <f t="shared" si="233"/>
        <v>137.62378405831939</v>
      </c>
      <c r="J1897" t="e">
        <f t="shared" si="228"/>
        <v>#NUM!</v>
      </c>
      <c r="K1897" s="27" t="e">
        <f t="shared" si="229"/>
        <v>#NUM!</v>
      </c>
    </row>
    <row r="1898" spans="1:11">
      <c r="A1898" s="26">
        <v>1848</v>
      </c>
      <c r="B1898" s="82">
        <f t="shared" si="230"/>
        <v>3.2921237647087764E-4</v>
      </c>
      <c r="C1898" s="58">
        <f t="shared" si="234"/>
        <v>42.910979381805888</v>
      </c>
      <c r="D1898" s="83">
        <f t="shared" si="231"/>
        <v>181.62200339130641</v>
      </c>
      <c r="E1898">
        <f t="shared" si="227"/>
        <v>10.8596178344332</v>
      </c>
      <c r="G1898">
        <v>1848</v>
      </c>
      <c r="H1898" s="13">
        <f t="shared" si="232"/>
        <v>5.1608656820917531E-2</v>
      </c>
      <c r="I1898">
        <f t="shared" si="233"/>
        <v>137.6753927151403</v>
      </c>
      <c r="J1898" t="e">
        <f t="shared" si="228"/>
        <v>#NUM!</v>
      </c>
      <c r="K1898" s="27" t="e">
        <f t="shared" si="229"/>
        <v>#NUM!</v>
      </c>
    </row>
    <row r="1899" spans="1:11">
      <c r="A1899" s="26">
        <v>1849</v>
      </c>
      <c r="B1899" s="82">
        <f t="shared" si="230"/>
        <v>3.2921237647087764E-4</v>
      </c>
      <c r="C1899" s="58">
        <f t="shared" si="234"/>
        <v>42.911308594182358</v>
      </c>
      <c r="D1899" s="83">
        <f t="shared" si="231"/>
        <v>181.62261585812473</v>
      </c>
      <c r="E1899">
        <f t="shared" si="227"/>
        <v>10.859691074667198</v>
      </c>
      <c r="G1899">
        <v>1849</v>
      </c>
      <c r="H1899" s="13">
        <f t="shared" si="232"/>
        <v>5.1608656820917531E-2</v>
      </c>
      <c r="I1899">
        <f t="shared" si="233"/>
        <v>137.72700137196122</v>
      </c>
      <c r="J1899" t="e">
        <f t="shared" si="228"/>
        <v>#NUM!</v>
      </c>
      <c r="K1899" s="27" t="e">
        <f t="shared" si="229"/>
        <v>#NUM!</v>
      </c>
    </row>
    <row r="1900" spans="1:11">
      <c r="A1900" s="26">
        <v>1850</v>
      </c>
      <c r="B1900" s="82">
        <f t="shared" si="230"/>
        <v>3.2921237647087764E-4</v>
      </c>
      <c r="C1900" s="58">
        <f t="shared" si="234"/>
        <v>42.911637806558829</v>
      </c>
      <c r="D1900" s="83">
        <f t="shared" si="231"/>
        <v>181.62322829979135</v>
      </c>
      <c r="E1900">
        <f t="shared" si="227"/>
        <v>10.859764312140543</v>
      </c>
      <c r="G1900">
        <v>1850</v>
      </c>
      <c r="H1900" s="13">
        <f t="shared" si="232"/>
        <v>5.1608656820917531E-2</v>
      </c>
      <c r="I1900">
        <f t="shared" si="233"/>
        <v>137.77861002878214</v>
      </c>
      <c r="J1900" t="e">
        <f t="shared" si="228"/>
        <v>#NUM!</v>
      </c>
      <c r="K1900" s="27" t="e">
        <f t="shared" si="229"/>
        <v>#NUM!</v>
      </c>
    </row>
    <row r="1901" spans="1:11">
      <c r="A1901" s="26">
        <v>1851</v>
      </c>
      <c r="B1901" s="82">
        <f t="shared" si="230"/>
        <v>3.2921237647087764E-4</v>
      </c>
      <c r="C1901" s="58">
        <f t="shared" si="234"/>
        <v>42.9119670189353</v>
      </c>
      <c r="D1901" s="83">
        <f t="shared" si="231"/>
        <v>181.62384071630873</v>
      </c>
      <c r="E1901">
        <f t="shared" si="227"/>
        <v>10.859837546853493</v>
      </c>
      <c r="G1901">
        <v>1851</v>
      </c>
      <c r="H1901" s="13">
        <f t="shared" si="232"/>
        <v>5.1608656820917531E-2</v>
      </c>
      <c r="I1901">
        <f t="shared" si="233"/>
        <v>137.83021868560306</v>
      </c>
      <c r="J1901" t="e">
        <f t="shared" si="228"/>
        <v>#NUM!</v>
      </c>
      <c r="K1901" s="27" t="e">
        <f t="shared" si="229"/>
        <v>#NUM!</v>
      </c>
    </row>
    <row r="1902" spans="1:11">
      <c r="A1902" s="26">
        <v>1852</v>
      </c>
      <c r="B1902" s="82">
        <f t="shared" si="230"/>
        <v>3.2921237647087764E-4</v>
      </c>
      <c r="C1902" s="58">
        <f t="shared" si="234"/>
        <v>42.912296231311771</v>
      </c>
      <c r="D1902" s="83">
        <f t="shared" si="231"/>
        <v>181.62445310767922</v>
      </c>
      <c r="E1902">
        <f t="shared" si="227"/>
        <v>10.859910778806297</v>
      </c>
      <c r="G1902">
        <v>1852</v>
      </c>
      <c r="H1902" s="13">
        <f t="shared" si="232"/>
        <v>5.1608656820917531E-2</v>
      </c>
      <c r="I1902">
        <f t="shared" si="233"/>
        <v>137.88182734242397</v>
      </c>
      <c r="J1902" t="e">
        <f t="shared" si="228"/>
        <v>#NUM!</v>
      </c>
      <c r="K1902" s="27" t="e">
        <f t="shared" si="229"/>
        <v>#NUM!</v>
      </c>
    </row>
    <row r="1903" spans="1:11">
      <c r="A1903" s="26">
        <v>1853</v>
      </c>
      <c r="B1903" s="82">
        <f t="shared" si="230"/>
        <v>3.2921237647087764E-4</v>
      </c>
      <c r="C1903" s="58">
        <f t="shared" si="234"/>
        <v>42.912625443688242</v>
      </c>
      <c r="D1903" s="83">
        <f t="shared" si="231"/>
        <v>181.62506547390524</v>
      </c>
      <c r="E1903">
        <f t="shared" si="227"/>
        <v>10.859984007999222</v>
      </c>
      <c r="G1903">
        <v>1853</v>
      </c>
      <c r="H1903" s="13">
        <f t="shared" si="232"/>
        <v>5.1608656820917531E-2</v>
      </c>
      <c r="I1903">
        <f t="shared" si="233"/>
        <v>137.93343599924489</v>
      </c>
      <c r="J1903" t="e">
        <f t="shared" si="228"/>
        <v>#NUM!</v>
      </c>
      <c r="K1903" s="27" t="e">
        <f t="shared" si="229"/>
        <v>#NUM!</v>
      </c>
    </row>
    <row r="1904" spans="1:11">
      <c r="A1904" s="26">
        <v>1854</v>
      </c>
      <c r="B1904" s="82">
        <f t="shared" si="230"/>
        <v>3.2921237647087764E-4</v>
      </c>
      <c r="C1904" s="58">
        <f t="shared" si="234"/>
        <v>42.912954656064713</v>
      </c>
      <c r="D1904" s="83">
        <f t="shared" si="231"/>
        <v>181.62567781498922</v>
      </c>
      <c r="E1904">
        <f t="shared" si="227"/>
        <v>10.860057234432517</v>
      </c>
      <c r="G1904">
        <v>1854</v>
      </c>
      <c r="H1904" s="13">
        <f t="shared" si="232"/>
        <v>5.1608656820917531E-2</v>
      </c>
      <c r="I1904">
        <f t="shared" si="233"/>
        <v>137.98504465606581</v>
      </c>
      <c r="J1904" t="e">
        <f t="shared" si="228"/>
        <v>#NUM!</v>
      </c>
      <c r="K1904" s="27" t="e">
        <f t="shared" si="229"/>
        <v>#NUM!</v>
      </c>
    </row>
    <row r="1905" spans="1:11">
      <c r="A1905" s="26">
        <v>1855</v>
      </c>
      <c r="B1905" s="82">
        <f t="shared" si="230"/>
        <v>3.2921237647087764E-4</v>
      </c>
      <c r="C1905" s="58">
        <f t="shared" si="234"/>
        <v>42.913283868441184</v>
      </c>
      <c r="D1905" s="83">
        <f t="shared" si="231"/>
        <v>181.62629013093354</v>
      </c>
      <c r="E1905">
        <f t="shared" si="227"/>
        <v>10.860130458106445</v>
      </c>
      <c r="G1905">
        <v>1855</v>
      </c>
      <c r="H1905" s="13">
        <f t="shared" si="232"/>
        <v>5.1608656820917531E-2</v>
      </c>
      <c r="I1905">
        <f t="shared" si="233"/>
        <v>138.03665331288673</v>
      </c>
      <c r="J1905" t="e">
        <f t="shared" si="228"/>
        <v>#NUM!</v>
      </c>
      <c r="K1905" s="27" t="e">
        <f t="shared" si="229"/>
        <v>#NUM!</v>
      </c>
    </row>
    <row r="1906" spans="1:11">
      <c r="A1906" s="26">
        <v>1856</v>
      </c>
      <c r="B1906" s="82">
        <f t="shared" si="230"/>
        <v>3.2921237647087764E-4</v>
      </c>
      <c r="C1906" s="58">
        <f t="shared" si="234"/>
        <v>42.913613080817655</v>
      </c>
      <c r="D1906" s="83">
        <f t="shared" si="231"/>
        <v>181.6269024217406</v>
      </c>
      <c r="E1906">
        <f t="shared" si="227"/>
        <v>10.860203679021254</v>
      </c>
      <c r="G1906">
        <v>1856</v>
      </c>
      <c r="H1906" s="13">
        <f t="shared" si="232"/>
        <v>5.1608656820917531E-2</v>
      </c>
      <c r="I1906">
        <f t="shared" si="233"/>
        <v>138.08826196970764</v>
      </c>
      <c r="J1906" t="e">
        <f t="shared" si="228"/>
        <v>#NUM!</v>
      </c>
      <c r="K1906" s="27" t="e">
        <f t="shared" si="229"/>
        <v>#NUM!</v>
      </c>
    </row>
    <row r="1907" spans="1:11">
      <c r="A1907" s="26">
        <v>1857</v>
      </c>
      <c r="B1907" s="82">
        <f t="shared" si="230"/>
        <v>3.2921237647087764E-4</v>
      </c>
      <c r="C1907" s="58">
        <f t="shared" si="234"/>
        <v>42.913942293194125</v>
      </c>
      <c r="D1907" s="83">
        <f t="shared" si="231"/>
        <v>181.62751468741277</v>
      </c>
      <c r="E1907">
        <f t="shared" ref="E1907:E1970" si="235">((D1907^2)+(D1907*D1908)+(D1908^2))*B1908/3</f>
        <v>10.86027689717721</v>
      </c>
      <c r="G1907">
        <v>1857</v>
      </c>
      <c r="H1907" s="13">
        <f t="shared" si="232"/>
        <v>5.1608656820917531E-2</v>
      </c>
      <c r="I1907">
        <f t="shared" si="233"/>
        <v>138.13987062652856</v>
      </c>
      <c r="J1907" t="e">
        <f t="shared" ref="J1907:J1970" si="236">IF($G$28&lt;$C$14,0,((($C$11^2)-((I1907-$C$13)^2))^0.5)+$C$16)</f>
        <v>#NUM!</v>
      </c>
      <c r="K1907" s="27" t="e">
        <f t="shared" ref="K1907:K1970" si="237">((J1907^2)+(J1907*J1908)+(J1908^2))*H1908/3</f>
        <v>#NUM!</v>
      </c>
    </row>
    <row r="1908" spans="1:11">
      <c r="A1908" s="26">
        <v>1858</v>
      </c>
      <c r="B1908" s="82">
        <f t="shared" ref="B1908:B1971" si="238">C1908-C1907</f>
        <v>3.2921237647087764E-4</v>
      </c>
      <c r="C1908" s="58">
        <f t="shared" si="234"/>
        <v>42.914271505570596</v>
      </c>
      <c r="D1908" s="83">
        <f t="shared" ref="D1908:D1971" si="239">IF($G$28&lt;$C$14,0,((($C$11^2)-((C1908-$C$13)^2))^0.5)+$C$16)</f>
        <v>181.62812692795254</v>
      </c>
      <c r="E1908">
        <f t="shared" si="235"/>
        <v>10.860350112574567</v>
      </c>
      <c r="G1908">
        <v>1858</v>
      </c>
      <c r="H1908" s="13">
        <f t="shared" ref="H1908:H1971" si="240">I1908-I1907</f>
        <v>5.1608656820917531E-2</v>
      </c>
      <c r="I1908">
        <f t="shared" ref="I1908:I1971" si="241">($G$27-$C$14)/2000+I1907</f>
        <v>138.19147928334948</v>
      </c>
      <c r="J1908" t="e">
        <f t="shared" si="236"/>
        <v>#NUM!</v>
      </c>
      <c r="K1908" s="27" t="e">
        <f t="shared" si="237"/>
        <v>#NUM!</v>
      </c>
    </row>
    <row r="1909" spans="1:11">
      <c r="A1909" s="26">
        <v>1859</v>
      </c>
      <c r="B1909" s="82">
        <f t="shared" si="238"/>
        <v>3.2921237647087764E-4</v>
      </c>
      <c r="C1909" s="58">
        <f t="shared" si="234"/>
        <v>42.914600717947067</v>
      </c>
      <c r="D1909" s="83">
        <f t="shared" si="239"/>
        <v>181.62873914336222</v>
      </c>
      <c r="E1909">
        <f t="shared" si="235"/>
        <v>10.86042332521358</v>
      </c>
      <c r="G1909">
        <v>1859</v>
      </c>
      <c r="H1909" s="13">
        <f t="shared" si="240"/>
        <v>5.1608656820917531E-2</v>
      </c>
      <c r="I1909">
        <f t="shared" si="241"/>
        <v>138.2430879401704</v>
      </c>
      <c r="J1909" t="e">
        <f t="shared" si="236"/>
        <v>#NUM!</v>
      </c>
      <c r="K1909" s="27" t="e">
        <f t="shared" si="237"/>
        <v>#NUM!</v>
      </c>
    </row>
    <row r="1910" spans="1:11">
      <c r="A1910" s="26">
        <v>1860</v>
      </c>
      <c r="B1910" s="82">
        <f t="shared" si="238"/>
        <v>3.2921237647087764E-4</v>
      </c>
      <c r="C1910" s="58">
        <f t="shared" si="234"/>
        <v>42.914929930323538</v>
      </c>
      <c r="D1910" s="83">
        <f t="shared" si="239"/>
        <v>181.62935133364425</v>
      </c>
      <c r="E1910">
        <f t="shared" si="235"/>
        <v>10.860496535094505</v>
      </c>
      <c r="G1910">
        <v>1860</v>
      </c>
      <c r="H1910" s="13">
        <f t="shared" si="240"/>
        <v>5.1608656820917531E-2</v>
      </c>
      <c r="I1910">
        <f t="shared" si="241"/>
        <v>138.29469659699132</v>
      </c>
      <c r="J1910" t="e">
        <f t="shared" si="236"/>
        <v>#NUM!</v>
      </c>
      <c r="K1910" s="27" t="e">
        <f t="shared" si="237"/>
        <v>#NUM!</v>
      </c>
    </row>
    <row r="1911" spans="1:11">
      <c r="A1911" s="26">
        <v>1861</v>
      </c>
      <c r="B1911" s="82">
        <f t="shared" si="238"/>
        <v>3.2921237647087764E-4</v>
      </c>
      <c r="C1911" s="58">
        <f t="shared" si="234"/>
        <v>42.915259142700009</v>
      </c>
      <c r="D1911" s="83">
        <f t="shared" si="239"/>
        <v>181.62996349880103</v>
      </c>
      <c r="E1911">
        <f t="shared" si="235"/>
        <v>10.860569742217601</v>
      </c>
      <c r="G1911">
        <v>1861</v>
      </c>
      <c r="H1911" s="13">
        <f t="shared" si="240"/>
        <v>5.1608656820917531E-2</v>
      </c>
      <c r="I1911">
        <f t="shared" si="241"/>
        <v>138.34630525381223</v>
      </c>
      <c r="J1911" t="e">
        <f t="shared" si="236"/>
        <v>#NUM!</v>
      </c>
      <c r="K1911" s="27" t="e">
        <f t="shared" si="237"/>
        <v>#NUM!</v>
      </c>
    </row>
    <row r="1912" spans="1:11">
      <c r="A1912" s="26">
        <v>1862</v>
      </c>
      <c r="B1912" s="82">
        <f t="shared" si="238"/>
        <v>3.2921237647087764E-4</v>
      </c>
      <c r="C1912" s="58">
        <f t="shared" si="234"/>
        <v>42.91558835507648</v>
      </c>
      <c r="D1912" s="83">
        <f t="shared" si="239"/>
        <v>181.63057563883496</v>
      </c>
      <c r="E1912">
        <f t="shared" si="235"/>
        <v>10.860642946583122</v>
      </c>
      <c r="G1912">
        <v>1862</v>
      </c>
      <c r="H1912" s="13">
        <f t="shared" si="240"/>
        <v>5.1608656820917531E-2</v>
      </c>
      <c r="I1912">
        <f t="shared" si="241"/>
        <v>138.39791391063315</v>
      </c>
      <c r="J1912" t="e">
        <f t="shared" si="236"/>
        <v>#NUM!</v>
      </c>
      <c r="K1912" s="27" t="e">
        <f t="shared" si="237"/>
        <v>#NUM!</v>
      </c>
    </row>
    <row r="1913" spans="1:11">
      <c r="A1913" s="26">
        <v>1863</v>
      </c>
      <c r="B1913" s="82">
        <f t="shared" si="238"/>
        <v>3.2921237647087764E-4</v>
      </c>
      <c r="C1913" s="58">
        <f t="shared" si="234"/>
        <v>42.915917567452951</v>
      </c>
      <c r="D1913" s="83">
        <f t="shared" si="239"/>
        <v>181.63118775374841</v>
      </c>
      <c r="E1913">
        <f t="shared" si="235"/>
        <v>10.860716148191328</v>
      </c>
      <c r="G1913">
        <v>1863</v>
      </c>
      <c r="H1913" s="13">
        <f t="shared" si="240"/>
        <v>5.1608656820917531E-2</v>
      </c>
      <c r="I1913">
        <f t="shared" si="241"/>
        <v>138.44952256745407</v>
      </c>
      <c r="J1913" t="e">
        <f t="shared" si="236"/>
        <v>#NUM!</v>
      </c>
      <c r="K1913" s="27" t="e">
        <f t="shared" si="237"/>
        <v>#NUM!</v>
      </c>
    </row>
    <row r="1914" spans="1:11">
      <c r="A1914" s="26">
        <v>1864</v>
      </c>
      <c r="B1914" s="82">
        <f t="shared" si="238"/>
        <v>3.2921237647087764E-4</v>
      </c>
      <c r="C1914" s="58">
        <f t="shared" si="234"/>
        <v>42.916246779829422</v>
      </c>
      <c r="D1914" s="83">
        <f t="shared" si="239"/>
        <v>181.63179984354383</v>
      </c>
      <c r="E1914">
        <f t="shared" si="235"/>
        <v>10.860789347042472</v>
      </c>
      <c r="G1914">
        <v>1864</v>
      </c>
      <c r="H1914" s="13">
        <f t="shared" si="240"/>
        <v>5.1608656820917531E-2</v>
      </c>
      <c r="I1914">
        <f t="shared" si="241"/>
        <v>138.50113122427499</v>
      </c>
      <c r="J1914" t="e">
        <f t="shared" si="236"/>
        <v>#NUM!</v>
      </c>
      <c r="K1914" s="27" t="e">
        <f t="shared" si="237"/>
        <v>#NUM!</v>
      </c>
    </row>
    <row r="1915" spans="1:11">
      <c r="A1915" s="26">
        <v>1865</v>
      </c>
      <c r="B1915" s="82">
        <f t="shared" si="238"/>
        <v>3.2921237647087764E-4</v>
      </c>
      <c r="C1915" s="58">
        <f t="shared" si="234"/>
        <v>42.916575992205892</v>
      </c>
      <c r="D1915" s="83">
        <f t="shared" si="239"/>
        <v>181.63241190822356</v>
      </c>
      <c r="E1915">
        <f t="shared" si="235"/>
        <v>10.860862543136811</v>
      </c>
      <c r="G1915">
        <v>1865</v>
      </c>
      <c r="H1915" s="13">
        <f t="shared" si="240"/>
        <v>5.1608656820917531E-2</v>
      </c>
      <c r="I1915">
        <f t="shared" si="241"/>
        <v>138.5527398810959</v>
      </c>
      <c r="J1915" t="e">
        <f t="shared" si="236"/>
        <v>#NUM!</v>
      </c>
      <c r="K1915" s="27" t="e">
        <f t="shared" si="237"/>
        <v>#NUM!</v>
      </c>
    </row>
    <row r="1916" spans="1:11">
      <c r="A1916" s="26">
        <v>1866</v>
      </c>
      <c r="B1916" s="82">
        <f t="shared" si="238"/>
        <v>3.2921237647087764E-4</v>
      </c>
      <c r="C1916" s="58">
        <f t="shared" si="234"/>
        <v>42.916905204582363</v>
      </c>
      <c r="D1916" s="83">
        <f t="shared" si="239"/>
        <v>181.63302394779006</v>
      </c>
      <c r="E1916">
        <f t="shared" si="235"/>
        <v>10.860935736474604</v>
      </c>
      <c r="G1916">
        <v>1866</v>
      </c>
      <c r="H1916" s="13">
        <f t="shared" si="240"/>
        <v>5.1608656820917531E-2</v>
      </c>
      <c r="I1916">
        <f t="shared" si="241"/>
        <v>138.60434853791682</v>
      </c>
      <c r="J1916" t="e">
        <f t="shared" si="236"/>
        <v>#NUM!</v>
      </c>
      <c r="K1916" s="27" t="e">
        <f t="shared" si="237"/>
        <v>#NUM!</v>
      </c>
    </row>
    <row r="1917" spans="1:11">
      <c r="A1917" s="26">
        <v>1867</v>
      </c>
      <c r="B1917" s="82">
        <f t="shared" si="238"/>
        <v>3.2921237647087764E-4</v>
      </c>
      <c r="C1917" s="58">
        <f t="shared" si="234"/>
        <v>42.917234416958834</v>
      </c>
      <c r="D1917" s="83">
        <f t="shared" si="239"/>
        <v>181.63363596224568</v>
      </c>
      <c r="E1917">
        <f t="shared" si="235"/>
        <v>10.861008927056105</v>
      </c>
      <c r="G1917">
        <v>1867</v>
      </c>
      <c r="H1917" s="13">
        <f t="shared" si="240"/>
        <v>5.1608656820917531E-2</v>
      </c>
      <c r="I1917">
        <f t="shared" si="241"/>
        <v>138.65595719473774</v>
      </c>
      <c r="J1917" t="e">
        <f t="shared" si="236"/>
        <v>#NUM!</v>
      </c>
      <c r="K1917" s="27" t="e">
        <f t="shared" si="237"/>
        <v>#NUM!</v>
      </c>
    </row>
    <row r="1918" spans="1:11">
      <c r="A1918" s="26">
        <v>1868</v>
      </c>
      <c r="B1918" s="82">
        <f t="shared" si="238"/>
        <v>3.2921237647087764E-4</v>
      </c>
      <c r="C1918" s="58">
        <f t="shared" si="234"/>
        <v>42.917563629335305</v>
      </c>
      <c r="D1918" s="83">
        <f t="shared" si="239"/>
        <v>181.63424795159284</v>
      </c>
      <c r="E1918">
        <f t="shared" si="235"/>
        <v>10.861082114881571</v>
      </c>
      <c r="G1918">
        <v>1868</v>
      </c>
      <c r="H1918" s="13">
        <f t="shared" si="240"/>
        <v>5.1608656820917531E-2</v>
      </c>
      <c r="I1918">
        <f t="shared" si="241"/>
        <v>138.70756585155866</v>
      </c>
      <c r="J1918" t="e">
        <f t="shared" si="236"/>
        <v>#NUM!</v>
      </c>
      <c r="K1918" s="27" t="e">
        <f t="shared" si="237"/>
        <v>#NUM!</v>
      </c>
    </row>
    <row r="1919" spans="1:11">
      <c r="A1919" s="26">
        <v>1869</v>
      </c>
      <c r="B1919" s="82">
        <f t="shared" si="238"/>
        <v>3.2921237647087764E-4</v>
      </c>
      <c r="C1919" s="58">
        <f t="shared" si="234"/>
        <v>42.917892841711776</v>
      </c>
      <c r="D1919" s="83">
        <f t="shared" si="239"/>
        <v>181.63485991583394</v>
      </c>
      <c r="E1919">
        <f t="shared" si="235"/>
        <v>10.861155299951259</v>
      </c>
      <c r="G1919">
        <v>1869</v>
      </c>
      <c r="H1919" s="13">
        <f t="shared" si="240"/>
        <v>5.1608656820917531E-2</v>
      </c>
      <c r="I1919">
        <f t="shared" si="241"/>
        <v>138.75917450837957</v>
      </c>
      <c r="J1919" t="e">
        <f t="shared" si="236"/>
        <v>#NUM!</v>
      </c>
      <c r="K1919" s="27" t="e">
        <f t="shared" si="237"/>
        <v>#NUM!</v>
      </c>
    </row>
    <row r="1920" spans="1:11">
      <c r="A1920" s="26">
        <v>1870</v>
      </c>
      <c r="B1920" s="82">
        <f t="shared" si="238"/>
        <v>3.2921237647087764E-4</v>
      </c>
      <c r="C1920" s="58">
        <f t="shared" si="234"/>
        <v>42.918222054088247</v>
      </c>
      <c r="D1920" s="83">
        <f t="shared" si="239"/>
        <v>181.63547185497134</v>
      </c>
      <c r="E1920">
        <f t="shared" si="235"/>
        <v>10.861228482265423</v>
      </c>
      <c r="G1920">
        <v>1870</v>
      </c>
      <c r="H1920" s="13">
        <f t="shared" si="240"/>
        <v>5.1608656820917531E-2</v>
      </c>
      <c r="I1920">
        <f t="shared" si="241"/>
        <v>138.81078316520049</v>
      </c>
      <c r="J1920" t="e">
        <f t="shared" si="236"/>
        <v>#NUM!</v>
      </c>
      <c r="K1920" s="27" t="e">
        <f t="shared" si="237"/>
        <v>#NUM!</v>
      </c>
    </row>
    <row r="1921" spans="1:11">
      <c r="A1921" s="26">
        <v>1871</v>
      </c>
      <c r="B1921" s="82">
        <f t="shared" si="238"/>
        <v>3.2921237647087764E-4</v>
      </c>
      <c r="C1921" s="58">
        <f t="shared" si="234"/>
        <v>42.918551266464718</v>
      </c>
      <c r="D1921" s="83">
        <f t="shared" si="239"/>
        <v>181.63608376900748</v>
      </c>
      <c r="E1921">
        <f t="shared" si="235"/>
        <v>10.861301661824321</v>
      </c>
      <c r="G1921">
        <v>1871</v>
      </c>
      <c r="H1921" s="13">
        <f t="shared" si="240"/>
        <v>5.1608656820917531E-2</v>
      </c>
      <c r="I1921">
        <f t="shared" si="241"/>
        <v>138.86239182202141</v>
      </c>
      <c r="J1921" t="e">
        <f t="shared" si="236"/>
        <v>#NUM!</v>
      </c>
      <c r="K1921" s="27" t="e">
        <f t="shared" si="237"/>
        <v>#NUM!</v>
      </c>
    </row>
    <row r="1922" spans="1:11">
      <c r="A1922" s="26">
        <v>1872</v>
      </c>
      <c r="B1922" s="82">
        <f t="shared" si="238"/>
        <v>3.2921237647087764E-4</v>
      </c>
      <c r="C1922" s="58">
        <f t="shared" si="234"/>
        <v>42.918880478841189</v>
      </c>
      <c r="D1922" s="83">
        <f t="shared" si="239"/>
        <v>181.63669565794473</v>
      </c>
      <c r="E1922">
        <f t="shared" si="235"/>
        <v>10.861374838628207</v>
      </c>
      <c r="G1922">
        <v>1872</v>
      </c>
      <c r="H1922" s="13">
        <f t="shared" si="240"/>
        <v>5.1608656820917531E-2</v>
      </c>
      <c r="I1922">
        <f t="shared" si="241"/>
        <v>138.91400047884233</v>
      </c>
      <c r="J1922" t="e">
        <f t="shared" si="236"/>
        <v>#NUM!</v>
      </c>
      <c r="K1922" s="27" t="e">
        <f t="shared" si="237"/>
        <v>#NUM!</v>
      </c>
    </row>
    <row r="1923" spans="1:11">
      <c r="A1923" s="26">
        <v>1873</v>
      </c>
      <c r="B1923" s="82">
        <f t="shared" si="238"/>
        <v>3.2921237647087764E-4</v>
      </c>
      <c r="C1923" s="58">
        <f t="shared" si="234"/>
        <v>42.919209691217659</v>
      </c>
      <c r="D1923" s="83">
        <f t="shared" si="239"/>
        <v>181.63730752178549</v>
      </c>
      <c r="E1923">
        <f t="shared" si="235"/>
        <v>10.861448012677341</v>
      </c>
      <c r="G1923">
        <v>1873</v>
      </c>
      <c r="H1923" s="13">
        <f t="shared" si="240"/>
        <v>5.1608656820917531E-2</v>
      </c>
      <c r="I1923">
        <f t="shared" si="241"/>
        <v>138.96560913566324</v>
      </c>
      <c r="J1923" t="e">
        <f t="shared" si="236"/>
        <v>#NUM!</v>
      </c>
      <c r="K1923" s="27" t="e">
        <f t="shared" si="237"/>
        <v>#NUM!</v>
      </c>
    </row>
    <row r="1924" spans="1:11">
      <c r="A1924" s="26">
        <v>1874</v>
      </c>
      <c r="B1924" s="82">
        <f t="shared" si="238"/>
        <v>3.2921237647087764E-4</v>
      </c>
      <c r="C1924" s="58">
        <f t="shared" si="234"/>
        <v>42.91953890359413</v>
      </c>
      <c r="D1924" s="83">
        <f t="shared" si="239"/>
        <v>181.63791936053215</v>
      </c>
      <c r="E1924">
        <f t="shared" si="235"/>
        <v>10.861521183971973</v>
      </c>
      <c r="G1924">
        <v>1874</v>
      </c>
      <c r="H1924" s="13">
        <f t="shared" si="240"/>
        <v>5.1608656820917531E-2</v>
      </c>
      <c r="I1924">
        <f t="shared" si="241"/>
        <v>139.01721779248416</v>
      </c>
      <c r="J1924" t="e">
        <f t="shared" si="236"/>
        <v>#NUM!</v>
      </c>
      <c r="K1924" s="27" t="e">
        <f t="shared" si="237"/>
        <v>#NUM!</v>
      </c>
    </row>
    <row r="1925" spans="1:11">
      <c r="A1925" s="26">
        <v>1875</v>
      </c>
      <c r="B1925" s="82">
        <f t="shared" si="238"/>
        <v>3.2921237647087764E-4</v>
      </c>
      <c r="C1925" s="58">
        <f t="shared" si="234"/>
        <v>42.919868115970601</v>
      </c>
      <c r="D1925" s="83">
        <f t="shared" si="239"/>
        <v>181.63853117418714</v>
      </c>
      <c r="E1925">
        <f t="shared" si="235"/>
        <v>10.86159435251237</v>
      </c>
      <c r="G1925">
        <v>1875</v>
      </c>
      <c r="H1925" s="13">
        <f t="shared" si="240"/>
        <v>5.1608656820917531E-2</v>
      </c>
      <c r="I1925">
        <f t="shared" si="241"/>
        <v>139.06882644930508</v>
      </c>
      <c r="J1925" t="e">
        <f t="shared" si="236"/>
        <v>#NUM!</v>
      </c>
      <c r="K1925" s="27" t="e">
        <f t="shared" si="237"/>
        <v>#NUM!</v>
      </c>
    </row>
    <row r="1926" spans="1:11">
      <c r="A1926" s="26">
        <v>1876</v>
      </c>
      <c r="B1926" s="82">
        <f t="shared" si="238"/>
        <v>3.2921237647087764E-4</v>
      </c>
      <c r="C1926" s="58">
        <f t="shared" si="234"/>
        <v>42.920197328347072</v>
      </c>
      <c r="D1926" s="83">
        <f t="shared" si="239"/>
        <v>181.6391429627528</v>
      </c>
      <c r="E1926">
        <f t="shared" si="235"/>
        <v>10.861667518298775</v>
      </c>
      <c r="G1926">
        <v>1876</v>
      </c>
      <c r="H1926" s="13">
        <f t="shared" si="240"/>
        <v>5.1608656820917531E-2</v>
      </c>
      <c r="I1926">
        <f t="shared" si="241"/>
        <v>139.120435106126</v>
      </c>
      <c r="J1926" t="e">
        <f t="shared" si="236"/>
        <v>#NUM!</v>
      </c>
      <c r="K1926" s="27" t="e">
        <f t="shared" si="237"/>
        <v>#NUM!</v>
      </c>
    </row>
    <row r="1927" spans="1:11">
      <c r="A1927" s="26">
        <v>1877</v>
      </c>
      <c r="B1927" s="82">
        <f t="shared" si="238"/>
        <v>3.2921237647087764E-4</v>
      </c>
      <c r="C1927" s="58">
        <f t="shared" si="234"/>
        <v>42.920526540723543</v>
      </c>
      <c r="D1927" s="83">
        <f t="shared" si="239"/>
        <v>181.63975472623153</v>
      </c>
      <c r="E1927">
        <f t="shared" si="235"/>
        <v>10.861740681331447</v>
      </c>
      <c r="G1927">
        <v>1877</v>
      </c>
      <c r="H1927" s="13">
        <f t="shared" si="240"/>
        <v>5.1608656820917531E-2</v>
      </c>
      <c r="I1927">
        <f t="shared" si="241"/>
        <v>139.17204376294691</v>
      </c>
      <c r="J1927" t="e">
        <f t="shared" si="236"/>
        <v>#NUM!</v>
      </c>
      <c r="K1927" s="27" t="e">
        <f t="shared" si="237"/>
        <v>#NUM!</v>
      </c>
    </row>
    <row r="1928" spans="1:11">
      <c r="A1928" s="26">
        <v>1878</v>
      </c>
      <c r="B1928" s="82">
        <f t="shared" si="238"/>
        <v>3.2921237647087764E-4</v>
      </c>
      <c r="C1928" s="58">
        <f t="shared" si="234"/>
        <v>42.920855753100014</v>
      </c>
      <c r="D1928" s="83">
        <f t="shared" si="239"/>
        <v>181.64036646462577</v>
      </c>
      <c r="E1928">
        <f t="shared" si="235"/>
        <v>10.861813841610648</v>
      </c>
      <c r="G1928">
        <v>1878</v>
      </c>
      <c r="H1928" s="13">
        <f t="shared" si="240"/>
        <v>5.1608656820917531E-2</v>
      </c>
      <c r="I1928">
        <f t="shared" si="241"/>
        <v>139.22365241976783</v>
      </c>
      <c r="J1928" t="e">
        <f t="shared" si="236"/>
        <v>#NUM!</v>
      </c>
      <c r="K1928" s="27" t="e">
        <f t="shared" si="237"/>
        <v>#NUM!</v>
      </c>
    </row>
    <row r="1929" spans="1:11">
      <c r="A1929" s="26">
        <v>1879</v>
      </c>
      <c r="B1929" s="82">
        <f t="shared" si="238"/>
        <v>3.2921237647087764E-4</v>
      </c>
      <c r="C1929" s="58">
        <f t="shared" si="234"/>
        <v>42.921184965476485</v>
      </c>
      <c r="D1929" s="83">
        <f t="shared" si="239"/>
        <v>181.64097817793788</v>
      </c>
      <c r="E1929">
        <f t="shared" si="235"/>
        <v>10.86188699913663</v>
      </c>
      <c r="G1929">
        <v>1879</v>
      </c>
      <c r="H1929" s="13">
        <f t="shared" si="240"/>
        <v>5.1608656820917531E-2</v>
      </c>
      <c r="I1929">
        <f t="shared" si="241"/>
        <v>139.27526107658875</v>
      </c>
      <c r="J1929" t="e">
        <f t="shared" si="236"/>
        <v>#NUM!</v>
      </c>
      <c r="K1929" s="27" t="e">
        <f t="shared" si="237"/>
        <v>#NUM!</v>
      </c>
    </row>
    <row r="1930" spans="1:11">
      <c r="A1930" s="26">
        <v>1880</v>
      </c>
      <c r="B1930" s="82">
        <f t="shared" si="238"/>
        <v>3.2921237647087764E-4</v>
      </c>
      <c r="C1930" s="58">
        <f t="shared" si="234"/>
        <v>42.921514177852956</v>
      </c>
      <c r="D1930" s="83">
        <f t="shared" si="239"/>
        <v>181.64158986617025</v>
      </c>
      <c r="E1930">
        <f t="shared" si="235"/>
        <v>10.861960153909651</v>
      </c>
      <c r="G1930">
        <v>1880</v>
      </c>
      <c r="H1930" s="13">
        <f t="shared" si="240"/>
        <v>5.1608656820917531E-2</v>
      </c>
      <c r="I1930">
        <f t="shared" si="241"/>
        <v>139.32686973340967</v>
      </c>
      <c r="J1930" t="e">
        <f t="shared" si="236"/>
        <v>#NUM!</v>
      </c>
      <c r="K1930" s="27" t="e">
        <f t="shared" si="237"/>
        <v>#NUM!</v>
      </c>
    </row>
    <row r="1931" spans="1:11">
      <c r="A1931" s="26">
        <v>1881</v>
      </c>
      <c r="B1931" s="82">
        <f t="shared" si="238"/>
        <v>3.2921237647087764E-4</v>
      </c>
      <c r="C1931" s="58">
        <f t="shared" si="234"/>
        <v>42.921843390229427</v>
      </c>
      <c r="D1931" s="83">
        <f t="shared" si="239"/>
        <v>181.64220152932529</v>
      </c>
      <c r="E1931">
        <f t="shared" si="235"/>
        <v>10.862033305929963</v>
      </c>
      <c r="G1931">
        <v>1881</v>
      </c>
      <c r="H1931" s="13">
        <f t="shared" si="240"/>
        <v>5.1608656820917531E-2</v>
      </c>
      <c r="I1931">
        <f t="shared" si="241"/>
        <v>139.37847839023058</v>
      </c>
      <c r="J1931" t="e">
        <f t="shared" si="236"/>
        <v>#NUM!</v>
      </c>
      <c r="K1931" s="27" t="e">
        <f t="shared" si="237"/>
        <v>#NUM!</v>
      </c>
    </row>
    <row r="1932" spans="1:11">
      <c r="A1932" s="26">
        <v>1882</v>
      </c>
      <c r="B1932" s="82">
        <f t="shared" si="238"/>
        <v>3.2921237647087764E-4</v>
      </c>
      <c r="C1932" s="58">
        <f t="shared" si="234"/>
        <v>42.922172602605897</v>
      </c>
      <c r="D1932" s="83">
        <f t="shared" si="239"/>
        <v>181.64281316740536</v>
      </c>
      <c r="E1932">
        <f t="shared" si="235"/>
        <v>10.86210645519782</v>
      </c>
      <c r="G1932">
        <v>1882</v>
      </c>
      <c r="H1932" s="13">
        <f t="shared" si="240"/>
        <v>5.1608656820917531E-2</v>
      </c>
      <c r="I1932">
        <f t="shared" si="241"/>
        <v>139.4300870470515</v>
      </c>
      <c r="J1932" t="e">
        <f t="shared" si="236"/>
        <v>#NUM!</v>
      </c>
      <c r="K1932" s="27" t="e">
        <f t="shared" si="237"/>
        <v>#NUM!</v>
      </c>
    </row>
    <row r="1933" spans="1:11">
      <c r="A1933" s="26">
        <v>1883</v>
      </c>
      <c r="B1933" s="82">
        <f t="shared" si="238"/>
        <v>3.2921237647087764E-4</v>
      </c>
      <c r="C1933" s="58">
        <f t="shared" si="234"/>
        <v>42.922501814982368</v>
      </c>
      <c r="D1933" s="83">
        <f t="shared" si="239"/>
        <v>181.64342478041289</v>
      </c>
      <c r="E1933">
        <f t="shared" si="235"/>
        <v>10.862179601713484</v>
      </c>
      <c r="G1933">
        <v>1883</v>
      </c>
      <c r="H1933" s="13">
        <f t="shared" si="240"/>
        <v>5.1608656820917531E-2</v>
      </c>
      <c r="I1933">
        <f t="shared" si="241"/>
        <v>139.48169570387242</v>
      </c>
      <c r="J1933" t="e">
        <f t="shared" si="236"/>
        <v>#NUM!</v>
      </c>
      <c r="K1933" s="27" t="e">
        <f t="shared" si="237"/>
        <v>#NUM!</v>
      </c>
    </row>
    <row r="1934" spans="1:11">
      <c r="A1934" s="26">
        <v>1884</v>
      </c>
      <c r="B1934" s="82">
        <f t="shared" si="238"/>
        <v>3.2921237647087764E-4</v>
      </c>
      <c r="C1934" s="58">
        <f t="shared" si="234"/>
        <v>42.922831027358839</v>
      </c>
      <c r="D1934" s="83">
        <f t="shared" si="239"/>
        <v>181.64403636835021</v>
      </c>
      <c r="E1934">
        <f t="shared" si="235"/>
        <v>10.862252745477209</v>
      </c>
      <c r="G1934">
        <v>1884</v>
      </c>
      <c r="H1934" s="13">
        <f t="shared" si="240"/>
        <v>5.1608656820917531E-2</v>
      </c>
      <c r="I1934">
        <f t="shared" si="241"/>
        <v>139.53330436069334</v>
      </c>
      <c r="J1934" t="e">
        <f t="shared" si="236"/>
        <v>#NUM!</v>
      </c>
      <c r="K1934" s="27" t="e">
        <f t="shared" si="237"/>
        <v>#NUM!</v>
      </c>
    </row>
    <row r="1935" spans="1:11">
      <c r="A1935" s="26">
        <v>1885</v>
      </c>
      <c r="B1935" s="82">
        <f t="shared" si="238"/>
        <v>3.2921237647087764E-4</v>
      </c>
      <c r="C1935" s="58">
        <f t="shared" si="234"/>
        <v>42.92316023973531</v>
      </c>
      <c r="D1935" s="83">
        <f t="shared" si="239"/>
        <v>181.64464793121979</v>
      </c>
      <c r="E1935">
        <f t="shared" si="235"/>
        <v>10.862325886489245</v>
      </c>
      <c r="G1935">
        <v>1885</v>
      </c>
      <c r="H1935" s="13">
        <f t="shared" si="240"/>
        <v>5.1608656820917531E-2</v>
      </c>
      <c r="I1935">
        <f t="shared" si="241"/>
        <v>139.58491301751425</v>
      </c>
      <c r="J1935" t="e">
        <f t="shared" si="236"/>
        <v>#NUM!</v>
      </c>
      <c r="K1935" s="27" t="e">
        <f t="shared" si="237"/>
        <v>#NUM!</v>
      </c>
    </row>
    <row r="1936" spans="1:11">
      <c r="A1936" s="26">
        <v>1886</v>
      </c>
      <c r="B1936" s="82">
        <f t="shared" si="238"/>
        <v>3.2921237647087764E-4</v>
      </c>
      <c r="C1936" s="58">
        <f t="shared" ref="C1936:C1999" si="242">($C$37-$C$36)/2000+C1935</f>
        <v>42.923489452111781</v>
      </c>
      <c r="D1936" s="83">
        <f t="shared" si="239"/>
        <v>181.64525946902396</v>
      </c>
      <c r="E1936">
        <f t="shared" si="235"/>
        <v>10.862399024749854</v>
      </c>
      <c r="G1936">
        <v>1886</v>
      </c>
      <c r="H1936" s="13">
        <f t="shared" si="240"/>
        <v>5.1608656820917531E-2</v>
      </c>
      <c r="I1936">
        <f t="shared" si="241"/>
        <v>139.63652167433517</v>
      </c>
      <c r="J1936" t="e">
        <f t="shared" si="236"/>
        <v>#NUM!</v>
      </c>
      <c r="K1936" s="27" t="e">
        <f t="shared" si="237"/>
        <v>#NUM!</v>
      </c>
    </row>
    <row r="1937" spans="1:11">
      <c r="A1937" s="26">
        <v>1887</v>
      </c>
      <c r="B1937" s="82">
        <f t="shared" si="238"/>
        <v>3.2921237647087764E-4</v>
      </c>
      <c r="C1937" s="58">
        <f t="shared" si="242"/>
        <v>42.923818664488252</v>
      </c>
      <c r="D1937" s="83">
        <f t="shared" si="239"/>
        <v>181.64587098176514</v>
      </c>
      <c r="E1937">
        <f t="shared" si="235"/>
        <v>10.862472160259289</v>
      </c>
      <c r="G1937">
        <v>1887</v>
      </c>
      <c r="H1937" s="13">
        <f t="shared" si="240"/>
        <v>5.1608656820917531E-2</v>
      </c>
      <c r="I1937">
        <f t="shared" si="241"/>
        <v>139.68813033115609</v>
      </c>
      <c r="J1937" t="e">
        <f t="shared" si="236"/>
        <v>#NUM!</v>
      </c>
      <c r="K1937" s="27" t="e">
        <f t="shared" si="237"/>
        <v>#NUM!</v>
      </c>
    </row>
    <row r="1938" spans="1:11">
      <c r="A1938" s="26">
        <v>1888</v>
      </c>
      <c r="B1938" s="82">
        <f t="shared" si="238"/>
        <v>3.2921237647087764E-4</v>
      </c>
      <c r="C1938" s="58">
        <f t="shared" si="242"/>
        <v>42.924147876864723</v>
      </c>
      <c r="D1938" s="83">
        <f t="shared" si="239"/>
        <v>181.64648246944571</v>
      </c>
      <c r="E1938">
        <f t="shared" si="235"/>
        <v>10.862545293017808</v>
      </c>
      <c r="G1938">
        <v>1888</v>
      </c>
      <c r="H1938" s="13">
        <f t="shared" si="240"/>
        <v>5.1608656820917531E-2</v>
      </c>
      <c r="I1938">
        <f t="shared" si="241"/>
        <v>139.73973898797701</v>
      </c>
      <c r="J1938" t="e">
        <f t="shared" si="236"/>
        <v>#NUM!</v>
      </c>
      <c r="K1938" s="27" t="e">
        <f t="shared" si="237"/>
        <v>#NUM!</v>
      </c>
    </row>
    <row r="1939" spans="1:11">
      <c r="A1939" s="26">
        <v>1889</v>
      </c>
      <c r="B1939" s="82">
        <f t="shared" si="238"/>
        <v>3.2921237647087764E-4</v>
      </c>
      <c r="C1939" s="58">
        <f t="shared" si="242"/>
        <v>42.924477089241194</v>
      </c>
      <c r="D1939" s="83">
        <f t="shared" si="239"/>
        <v>181.64709393206806</v>
      </c>
      <c r="E1939">
        <f t="shared" si="235"/>
        <v>10.862618423025664</v>
      </c>
      <c r="G1939">
        <v>1889</v>
      </c>
      <c r="H1939" s="13">
        <f t="shared" si="240"/>
        <v>5.1608656820917531E-2</v>
      </c>
      <c r="I1939">
        <f t="shared" si="241"/>
        <v>139.79134764479792</v>
      </c>
      <c r="J1939" t="e">
        <f t="shared" si="236"/>
        <v>#NUM!</v>
      </c>
      <c r="K1939" s="27" t="e">
        <f t="shared" si="237"/>
        <v>#NUM!</v>
      </c>
    </row>
    <row r="1940" spans="1:11">
      <c r="A1940" s="26">
        <v>1890</v>
      </c>
      <c r="B1940" s="82">
        <f t="shared" si="238"/>
        <v>3.2921237647087764E-4</v>
      </c>
      <c r="C1940" s="58">
        <f t="shared" si="242"/>
        <v>42.924806301617664</v>
      </c>
      <c r="D1940" s="83">
        <f t="shared" si="239"/>
        <v>181.64770536963456</v>
      </c>
      <c r="E1940">
        <f t="shared" si="235"/>
        <v>10.862691550283104</v>
      </c>
      <c r="G1940">
        <v>1890</v>
      </c>
      <c r="H1940" s="13">
        <f t="shared" si="240"/>
        <v>5.1608656820917531E-2</v>
      </c>
      <c r="I1940">
        <f t="shared" si="241"/>
        <v>139.84295630161884</v>
      </c>
      <c r="J1940" t="e">
        <f t="shared" si="236"/>
        <v>#NUM!</v>
      </c>
      <c r="K1940" s="27" t="e">
        <f t="shared" si="237"/>
        <v>#NUM!</v>
      </c>
    </row>
    <row r="1941" spans="1:11">
      <c r="A1941" s="26">
        <v>1891</v>
      </c>
      <c r="B1941" s="82">
        <f t="shared" si="238"/>
        <v>3.2921237647087764E-4</v>
      </c>
      <c r="C1941" s="58">
        <f t="shared" si="242"/>
        <v>42.925135513994135</v>
      </c>
      <c r="D1941" s="83">
        <f t="shared" si="239"/>
        <v>181.64831678214762</v>
      </c>
      <c r="E1941">
        <f t="shared" si="235"/>
        <v>10.8627646747904</v>
      </c>
      <c r="G1941">
        <v>1891</v>
      </c>
      <c r="H1941" s="13">
        <f t="shared" si="240"/>
        <v>5.1608656820917531E-2</v>
      </c>
      <c r="I1941">
        <f t="shared" si="241"/>
        <v>139.89456495843976</v>
      </c>
      <c r="J1941" t="e">
        <f t="shared" si="236"/>
        <v>#NUM!</v>
      </c>
      <c r="K1941" s="27" t="e">
        <f t="shared" si="237"/>
        <v>#NUM!</v>
      </c>
    </row>
    <row r="1942" spans="1:11">
      <c r="A1942" s="26">
        <v>1892</v>
      </c>
      <c r="B1942" s="82">
        <f t="shared" si="238"/>
        <v>3.2921237647087764E-4</v>
      </c>
      <c r="C1942" s="58">
        <f t="shared" si="242"/>
        <v>42.925464726370606</v>
      </c>
      <c r="D1942" s="83">
        <f t="shared" si="239"/>
        <v>181.64892816960963</v>
      </c>
      <c r="E1942">
        <f t="shared" si="235"/>
        <v>10.862837796547796</v>
      </c>
      <c r="G1942">
        <v>1892</v>
      </c>
      <c r="H1942" s="13">
        <f t="shared" si="240"/>
        <v>5.1608656820917531E-2</v>
      </c>
      <c r="I1942">
        <f t="shared" si="241"/>
        <v>139.94617361526068</v>
      </c>
      <c r="J1942" t="e">
        <f t="shared" si="236"/>
        <v>#NUM!</v>
      </c>
      <c r="K1942" s="27" t="e">
        <f t="shared" si="237"/>
        <v>#NUM!</v>
      </c>
    </row>
    <row r="1943" spans="1:11">
      <c r="A1943" s="26">
        <v>1893</v>
      </c>
      <c r="B1943" s="82">
        <f t="shared" si="238"/>
        <v>3.2921237647087764E-4</v>
      </c>
      <c r="C1943" s="58">
        <f t="shared" si="242"/>
        <v>42.925793938747077</v>
      </c>
      <c r="D1943" s="83">
        <f t="shared" si="239"/>
        <v>181.64953953202294</v>
      </c>
      <c r="E1943">
        <f t="shared" si="235"/>
        <v>10.862910915555551</v>
      </c>
      <c r="G1943">
        <v>1893</v>
      </c>
      <c r="H1943" s="13">
        <f t="shared" si="240"/>
        <v>5.1608656820917531E-2</v>
      </c>
      <c r="I1943">
        <f t="shared" si="241"/>
        <v>139.99778227208159</v>
      </c>
      <c r="J1943" t="e">
        <f t="shared" si="236"/>
        <v>#NUM!</v>
      </c>
      <c r="K1943" s="27" t="e">
        <f t="shared" si="237"/>
        <v>#NUM!</v>
      </c>
    </row>
    <row r="1944" spans="1:11">
      <c r="A1944" s="26">
        <v>1894</v>
      </c>
      <c r="B1944" s="82">
        <f t="shared" si="238"/>
        <v>3.2921237647087764E-4</v>
      </c>
      <c r="C1944" s="58">
        <f t="shared" si="242"/>
        <v>42.926123151123548</v>
      </c>
      <c r="D1944" s="83">
        <f t="shared" si="239"/>
        <v>181.65015086938999</v>
      </c>
      <c r="E1944">
        <f t="shared" si="235"/>
        <v>10.862984031813918</v>
      </c>
      <c r="G1944">
        <v>1894</v>
      </c>
      <c r="H1944" s="13">
        <f t="shared" si="240"/>
        <v>5.1608656820917531E-2</v>
      </c>
      <c r="I1944">
        <f t="shared" si="241"/>
        <v>140.04939092890251</v>
      </c>
      <c r="J1944" t="e">
        <f t="shared" si="236"/>
        <v>#NUM!</v>
      </c>
      <c r="K1944" s="27" t="e">
        <f t="shared" si="237"/>
        <v>#NUM!</v>
      </c>
    </row>
    <row r="1945" spans="1:11">
      <c r="A1945" s="26">
        <v>1895</v>
      </c>
      <c r="B1945" s="82">
        <f t="shared" si="238"/>
        <v>3.2921237647087764E-4</v>
      </c>
      <c r="C1945" s="58">
        <f t="shared" si="242"/>
        <v>42.926452363500019</v>
      </c>
      <c r="D1945" s="83">
        <f t="shared" si="239"/>
        <v>181.65076218171313</v>
      </c>
      <c r="E1945">
        <f t="shared" si="235"/>
        <v>10.863057145323154</v>
      </c>
      <c r="G1945">
        <v>1895</v>
      </c>
      <c r="H1945" s="13">
        <f t="shared" si="240"/>
        <v>5.1608656820917531E-2</v>
      </c>
      <c r="I1945">
        <f t="shared" si="241"/>
        <v>140.10099958572343</v>
      </c>
      <c r="J1945" t="e">
        <f t="shared" si="236"/>
        <v>#NUM!</v>
      </c>
      <c r="K1945" s="27" t="e">
        <f t="shared" si="237"/>
        <v>#NUM!</v>
      </c>
    </row>
    <row r="1946" spans="1:11">
      <c r="A1946" s="26">
        <v>1896</v>
      </c>
      <c r="B1946" s="82">
        <f t="shared" si="238"/>
        <v>3.2921237647087764E-4</v>
      </c>
      <c r="C1946" s="58">
        <f t="shared" si="242"/>
        <v>42.92678157587649</v>
      </c>
      <c r="D1946" s="83">
        <f t="shared" si="239"/>
        <v>181.65137346899476</v>
      </c>
      <c r="E1946">
        <f t="shared" si="235"/>
        <v>10.863130256083515</v>
      </c>
      <c r="G1946">
        <v>1896</v>
      </c>
      <c r="H1946" s="13">
        <f t="shared" si="240"/>
        <v>5.1608656820917531E-2</v>
      </c>
      <c r="I1946">
        <f t="shared" si="241"/>
        <v>140.15260824254435</v>
      </c>
      <c r="J1946" t="e">
        <f t="shared" si="236"/>
        <v>#NUM!</v>
      </c>
      <c r="K1946" s="27" t="e">
        <f t="shared" si="237"/>
        <v>#NUM!</v>
      </c>
    </row>
    <row r="1947" spans="1:11">
      <c r="A1947" s="26">
        <v>1897</v>
      </c>
      <c r="B1947" s="82">
        <f t="shared" si="238"/>
        <v>3.2921237647087764E-4</v>
      </c>
      <c r="C1947" s="58">
        <f t="shared" si="242"/>
        <v>42.927110788252961</v>
      </c>
      <c r="D1947" s="83">
        <f t="shared" si="239"/>
        <v>181.65198473123726</v>
      </c>
      <c r="E1947">
        <f t="shared" si="235"/>
        <v>10.863203364095249</v>
      </c>
      <c r="G1947">
        <v>1897</v>
      </c>
      <c r="H1947" s="13">
        <f t="shared" si="240"/>
        <v>5.1608656820917531E-2</v>
      </c>
      <c r="I1947">
        <f t="shared" si="241"/>
        <v>140.20421689936526</v>
      </c>
      <c r="J1947" t="e">
        <f t="shared" si="236"/>
        <v>#NUM!</v>
      </c>
      <c r="K1947" s="27" t="e">
        <f t="shared" si="237"/>
        <v>#NUM!</v>
      </c>
    </row>
    <row r="1948" spans="1:11">
      <c r="A1948" s="26">
        <v>1898</v>
      </c>
      <c r="B1948" s="82">
        <f t="shared" si="238"/>
        <v>3.2921237647087764E-4</v>
      </c>
      <c r="C1948" s="58">
        <f t="shared" si="242"/>
        <v>42.927440000629431</v>
      </c>
      <c r="D1948" s="83">
        <f t="shared" si="239"/>
        <v>181.65259596844299</v>
      </c>
      <c r="E1948">
        <f t="shared" si="235"/>
        <v>10.863276469358622</v>
      </c>
      <c r="G1948">
        <v>1898</v>
      </c>
      <c r="H1948" s="13">
        <f t="shared" si="240"/>
        <v>5.1608656820917531E-2</v>
      </c>
      <c r="I1948">
        <f t="shared" si="241"/>
        <v>140.25582555618618</v>
      </c>
      <c r="J1948" t="e">
        <f t="shared" si="236"/>
        <v>#NUM!</v>
      </c>
      <c r="K1948" s="27" t="e">
        <f t="shared" si="237"/>
        <v>#NUM!</v>
      </c>
    </row>
    <row r="1949" spans="1:11">
      <c r="A1949" s="26">
        <v>1899</v>
      </c>
      <c r="B1949" s="82">
        <f t="shared" si="238"/>
        <v>3.2921237647087764E-4</v>
      </c>
      <c r="C1949" s="58">
        <f t="shared" si="242"/>
        <v>42.927769213005902</v>
      </c>
      <c r="D1949" s="83">
        <f t="shared" si="239"/>
        <v>181.6532071806144</v>
      </c>
      <c r="E1949">
        <f t="shared" si="235"/>
        <v>10.863349571873881</v>
      </c>
      <c r="G1949">
        <v>1899</v>
      </c>
      <c r="H1949" s="13">
        <f t="shared" si="240"/>
        <v>5.1608656820917531E-2</v>
      </c>
      <c r="I1949">
        <f t="shared" si="241"/>
        <v>140.3074342130071</v>
      </c>
      <c r="J1949" t="e">
        <f t="shared" si="236"/>
        <v>#NUM!</v>
      </c>
      <c r="K1949" s="27" t="e">
        <f t="shared" si="237"/>
        <v>#NUM!</v>
      </c>
    </row>
    <row r="1950" spans="1:11">
      <c r="A1950" s="26">
        <v>1900</v>
      </c>
      <c r="B1950" s="82">
        <f t="shared" si="238"/>
        <v>3.2921237647087764E-4</v>
      </c>
      <c r="C1950" s="58">
        <f t="shared" si="242"/>
        <v>42.928098425382373</v>
      </c>
      <c r="D1950" s="83">
        <f t="shared" si="239"/>
        <v>181.65381836775384</v>
      </c>
      <c r="E1950">
        <f t="shared" si="235"/>
        <v>10.863422671641283</v>
      </c>
      <c r="G1950">
        <v>1900</v>
      </c>
      <c r="H1950" s="13">
        <f t="shared" si="240"/>
        <v>5.1608656820917531E-2</v>
      </c>
      <c r="I1950">
        <f t="shared" si="241"/>
        <v>140.35904286982802</v>
      </c>
      <c r="J1950" t="e">
        <f t="shared" si="236"/>
        <v>#NUM!</v>
      </c>
      <c r="K1950" s="27" t="e">
        <f t="shared" si="237"/>
        <v>#NUM!</v>
      </c>
    </row>
    <row r="1951" spans="1:11">
      <c r="A1951" s="26">
        <v>1901</v>
      </c>
      <c r="B1951" s="82">
        <f t="shared" si="238"/>
        <v>3.2921237647087764E-4</v>
      </c>
      <c r="C1951" s="58">
        <f t="shared" si="242"/>
        <v>42.928427637758844</v>
      </c>
      <c r="D1951" s="83">
        <f t="shared" si="239"/>
        <v>181.65442952986365</v>
      </c>
      <c r="E1951">
        <f t="shared" si="235"/>
        <v>10.863495768661082</v>
      </c>
      <c r="G1951">
        <v>1901</v>
      </c>
      <c r="H1951" s="13">
        <f t="shared" si="240"/>
        <v>5.1608656820917531E-2</v>
      </c>
      <c r="I1951">
        <f t="shared" si="241"/>
        <v>140.41065152664893</v>
      </c>
      <c r="J1951" t="e">
        <f t="shared" si="236"/>
        <v>#NUM!</v>
      </c>
      <c r="K1951" s="27" t="e">
        <f t="shared" si="237"/>
        <v>#NUM!</v>
      </c>
    </row>
    <row r="1952" spans="1:11">
      <c r="A1952" s="26">
        <v>1902</v>
      </c>
      <c r="B1952" s="82">
        <f t="shared" si="238"/>
        <v>3.2921237647087764E-4</v>
      </c>
      <c r="C1952" s="58">
        <f t="shared" si="242"/>
        <v>42.928756850135315</v>
      </c>
      <c r="D1952" s="83">
        <f t="shared" si="239"/>
        <v>181.65504066694626</v>
      </c>
      <c r="E1952">
        <f t="shared" si="235"/>
        <v>10.863568862933535</v>
      </c>
      <c r="G1952">
        <v>1902</v>
      </c>
      <c r="H1952" s="13">
        <f t="shared" si="240"/>
        <v>5.1608656820917531E-2</v>
      </c>
      <c r="I1952">
        <f t="shared" si="241"/>
        <v>140.46226018346985</v>
      </c>
      <c r="J1952" t="e">
        <f t="shared" si="236"/>
        <v>#NUM!</v>
      </c>
      <c r="K1952" s="27" t="e">
        <f t="shared" si="237"/>
        <v>#NUM!</v>
      </c>
    </row>
    <row r="1953" spans="1:11">
      <c r="A1953" s="26">
        <v>1903</v>
      </c>
      <c r="B1953" s="82">
        <f t="shared" si="238"/>
        <v>3.2921237647087764E-4</v>
      </c>
      <c r="C1953" s="58">
        <f t="shared" si="242"/>
        <v>42.929086062511786</v>
      </c>
      <c r="D1953" s="83">
        <f t="shared" si="239"/>
        <v>181.65565177900407</v>
      </c>
      <c r="E1953">
        <f t="shared" si="235"/>
        <v>10.863641954458897</v>
      </c>
      <c r="G1953">
        <v>1903</v>
      </c>
      <c r="H1953" s="13">
        <f t="shared" si="240"/>
        <v>5.1608656820917531E-2</v>
      </c>
      <c r="I1953">
        <f t="shared" si="241"/>
        <v>140.51386884029077</v>
      </c>
      <c r="J1953" t="e">
        <f t="shared" si="236"/>
        <v>#NUM!</v>
      </c>
      <c r="K1953" s="27" t="e">
        <f t="shared" si="237"/>
        <v>#NUM!</v>
      </c>
    </row>
    <row r="1954" spans="1:11">
      <c r="A1954" s="26">
        <v>1904</v>
      </c>
      <c r="B1954" s="82">
        <f t="shared" si="238"/>
        <v>3.2921237647087764E-4</v>
      </c>
      <c r="C1954" s="58">
        <f t="shared" si="242"/>
        <v>42.929415274888257</v>
      </c>
      <c r="D1954" s="83">
        <f t="shared" si="239"/>
        <v>181.65626286603941</v>
      </c>
      <c r="E1954">
        <f t="shared" si="235"/>
        <v>10.863715043237422</v>
      </c>
      <c r="G1954">
        <v>1904</v>
      </c>
      <c r="H1954" s="13">
        <f t="shared" si="240"/>
        <v>5.1608656820917531E-2</v>
      </c>
      <c r="I1954">
        <f t="shared" si="241"/>
        <v>140.56547749711169</v>
      </c>
      <c r="J1954" t="e">
        <f t="shared" si="236"/>
        <v>#NUM!</v>
      </c>
      <c r="K1954" s="27" t="e">
        <f t="shared" si="237"/>
        <v>#NUM!</v>
      </c>
    </row>
    <row r="1955" spans="1:11">
      <c r="A1955" s="26">
        <v>1905</v>
      </c>
      <c r="B1955" s="82">
        <f t="shared" si="238"/>
        <v>3.2921237647087764E-4</v>
      </c>
      <c r="C1955" s="58">
        <f t="shared" si="242"/>
        <v>42.929744487264728</v>
      </c>
      <c r="D1955" s="83">
        <f t="shared" si="239"/>
        <v>181.65687392805472</v>
      </c>
      <c r="E1955">
        <f t="shared" si="235"/>
        <v>10.863788129269366</v>
      </c>
      <c r="G1955">
        <v>1905</v>
      </c>
      <c r="H1955" s="13">
        <f t="shared" si="240"/>
        <v>5.1608656820917531E-2</v>
      </c>
      <c r="I1955">
        <f t="shared" si="241"/>
        <v>140.6170861539326</v>
      </c>
      <c r="J1955" t="e">
        <f t="shared" si="236"/>
        <v>#NUM!</v>
      </c>
      <c r="K1955" s="27" t="e">
        <f t="shared" si="237"/>
        <v>#NUM!</v>
      </c>
    </row>
    <row r="1956" spans="1:11">
      <c r="A1956" s="26">
        <v>1906</v>
      </c>
      <c r="B1956" s="82">
        <f t="shared" si="238"/>
        <v>3.2921237647087764E-4</v>
      </c>
      <c r="C1956" s="58">
        <f t="shared" si="242"/>
        <v>42.930073699641198</v>
      </c>
      <c r="D1956" s="83">
        <f t="shared" si="239"/>
        <v>181.65748496505233</v>
      </c>
      <c r="E1956">
        <f t="shared" si="235"/>
        <v>10.863861212554978</v>
      </c>
      <c r="G1956">
        <v>1906</v>
      </c>
      <c r="H1956" s="13">
        <f t="shared" si="240"/>
        <v>5.1608656820917531E-2</v>
      </c>
      <c r="I1956">
        <f t="shared" si="241"/>
        <v>140.66869481075352</v>
      </c>
      <c r="J1956" t="e">
        <f t="shared" si="236"/>
        <v>#NUM!</v>
      </c>
      <c r="K1956" s="27" t="e">
        <f t="shared" si="237"/>
        <v>#NUM!</v>
      </c>
    </row>
    <row r="1957" spans="1:11">
      <c r="A1957" s="26">
        <v>1907</v>
      </c>
      <c r="B1957" s="82">
        <f t="shared" si="238"/>
        <v>3.2921237647087764E-4</v>
      </c>
      <c r="C1957" s="58">
        <f t="shared" si="242"/>
        <v>42.930402912017669</v>
      </c>
      <c r="D1957" s="83">
        <f t="shared" si="239"/>
        <v>181.65809597703463</v>
      </c>
      <c r="E1957">
        <f t="shared" si="235"/>
        <v>10.863934293094516</v>
      </c>
      <c r="G1957">
        <v>1907</v>
      </c>
      <c r="H1957" s="13">
        <f t="shared" si="240"/>
        <v>5.1608656820917531E-2</v>
      </c>
      <c r="I1957">
        <f t="shared" si="241"/>
        <v>140.72030346757444</v>
      </c>
      <c r="J1957" t="e">
        <f t="shared" si="236"/>
        <v>#NUM!</v>
      </c>
      <c r="K1957" s="27" t="e">
        <f t="shared" si="237"/>
        <v>#NUM!</v>
      </c>
    </row>
    <row r="1958" spans="1:11">
      <c r="A1958" s="26">
        <v>1908</v>
      </c>
      <c r="B1958" s="82">
        <f t="shared" si="238"/>
        <v>3.2921237647087764E-4</v>
      </c>
      <c r="C1958" s="58">
        <f t="shared" si="242"/>
        <v>42.93073212439414</v>
      </c>
      <c r="D1958" s="83">
        <f t="shared" si="239"/>
        <v>181.65870696400404</v>
      </c>
      <c r="E1958">
        <f t="shared" si="235"/>
        <v>10.864007370888238</v>
      </c>
      <c r="G1958">
        <v>1908</v>
      </c>
      <c r="H1958" s="13">
        <f t="shared" si="240"/>
        <v>5.1608656820917531E-2</v>
      </c>
      <c r="I1958">
        <f t="shared" si="241"/>
        <v>140.77191212439536</v>
      </c>
      <c r="J1958" t="e">
        <f t="shared" si="236"/>
        <v>#NUM!</v>
      </c>
      <c r="K1958" s="27" t="e">
        <f t="shared" si="237"/>
        <v>#NUM!</v>
      </c>
    </row>
    <row r="1959" spans="1:11">
      <c r="A1959" s="26">
        <v>1909</v>
      </c>
      <c r="B1959" s="82">
        <f t="shared" si="238"/>
        <v>3.2921237647087764E-4</v>
      </c>
      <c r="C1959" s="58">
        <f t="shared" si="242"/>
        <v>42.931061336770611</v>
      </c>
      <c r="D1959" s="83">
        <f t="shared" si="239"/>
        <v>181.65931792596291</v>
      </c>
      <c r="E1959">
        <f t="shared" si="235"/>
        <v>10.864080445936393</v>
      </c>
      <c r="G1959">
        <v>1909</v>
      </c>
      <c r="H1959" s="13">
        <f t="shared" si="240"/>
        <v>5.1608656820917531E-2</v>
      </c>
      <c r="I1959">
        <f t="shared" si="241"/>
        <v>140.82352078121627</v>
      </c>
      <c r="J1959" t="e">
        <f t="shared" si="236"/>
        <v>#NUM!</v>
      </c>
      <c r="K1959" s="27" t="e">
        <f t="shared" si="237"/>
        <v>#NUM!</v>
      </c>
    </row>
    <row r="1960" spans="1:11">
      <c r="A1960" s="26">
        <v>1910</v>
      </c>
      <c r="B1960" s="82">
        <f t="shared" si="238"/>
        <v>3.2921237647087764E-4</v>
      </c>
      <c r="C1960" s="58">
        <f t="shared" si="242"/>
        <v>42.931390549147082</v>
      </c>
      <c r="D1960" s="83">
        <f t="shared" si="239"/>
        <v>181.6599288629136</v>
      </c>
      <c r="E1960">
        <f t="shared" si="235"/>
        <v>10.86415351823924</v>
      </c>
      <c r="G1960">
        <v>1910</v>
      </c>
      <c r="H1960" s="13">
        <f t="shared" si="240"/>
        <v>5.1608656820917531E-2</v>
      </c>
      <c r="I1960">
        <f t="shared" si="241"/>
        <v>140.87512943803719</v>
      </c>
      <c r="J1960" t="e">
        <f t="shared" si="236"/>
        <v>#NUM!</v>
      </c>
      <c r="K1960" s="27" t="e">
        <f t="shared" si="237"/>
        <v>#NUM!</v>
      </c>
    </row>
    <row r="1961" spans="1:11">
      <c r="A1961" s="26">
        <v>1911</v>
      </c>
      <c r="B1961" s="82">
        <f t="shared" si="238"/>
        <v>3.2921237647087764E-4</v>
      </c>
      <c r="C1961" s="58">
        <f t="shared" si="242"/>
        <v>42.931719761523553</v>
      </c>
      <c r="D1961" s="83">
        <f t="shared" si="239"/>
        <v>181.66053977485853</v>
      </c>
      <c r="E1961">
        <f t="shared" si="235"/>
        <v>10.864226587797027</v>
      </c>
      <c r="G1961">
        <v>1911</v>
      </c>
      <c r="H1961" s="13">
        <f t="shared" si="240"/>
        <v>5.1608656820917531E-2</v>
      </c>
      <c r="I1961">
        <f t="shared" si="241"/>
        <v>140.92673809485811</v>
      </c>
      <c r="J1961" t="e">
        <f t="shared" si="236"/>
        <v>#NUM!</v>
      </c>
      <c r="K1961" s="27" t="e">
        <f t="shared" si="237"/>
        <v>#NUM!</v>
      </c>
    </row>
    <row r="1962" spans="1:11">
      <c r="A1962" s="26">
        <v>1912</v>
      </c>
      <c r="B1962" s="82">
        <f t="shared" si="238"/>
        <v>3.2921237647087764E-4</v>
      </c>
      <c r="C1962" s="58">
        <f t="shared" si="242"/>
        <v>42.932048973900024</v>
      </c>
      <c r="D1962" s="83">
        <f t="shared" si="239"/>
        <v>181.66115066180006</v>
      </c>
      <c r="E1962">
        <f t="shared" si="235"/>
        <v>10.864299654610017</v>
      </c>
      <c r="G1962">
        <v>1912</v>
      </c>
      <c r="H1962" s="13">
        <f t="shared" si="240"/>
        <v>5.1608656820917531E-2</v>
      </c>
      <c r="I1962">
        <f t="shared" si="241"/>
        <v>140.97834675167903</v>
      </c>
      <c r="J1962" t="e">
        <f t="shared" si="236"/>
        <v>#NUM!</v>
      </c>
      <c r="K1962" s="27" t="e">
        <f t="shared" si="237"/>
        <v>#NUM!</v>
      </c>
    </row>
    <row r="1963" spans="1:11">
      <c r="A1963" s="26">
        <v>1913</v>
      </c>
      <c r="B1963" s="82">
        <f t="shared" si="238"/>
        <v>3.2921237647087764E-4</v>
      </c>
      <c r="C1963" s="58">
        <f t="shared" si="242"/>
        <v>42.932378186276495</v>
      </c>
      <c r="D1963" s="83">
        <f t="shared" si="239"/>
        <v>181.66176152374058</v>
      </c>
      <c r="E1963">
        <f t="shared" si="235"/>
        <v>10.864372718678462</v>
      </c>
      <c r="G1963">
        <v>1913</v>
      </c>
      <c r="H1963" s="13">
        <f t="shared" si="240"/>
        <v>5.1608656820917531E-2</v>
      </c>
      <c r="I1963">
        <f t="shared" si="241"/>
        <v>141.02995540849994</v>
      </c>
      <c r="J1963" t="e">
        <f t="shared" si="236"/>
        <v>#NUM!</v>
      </c>
      <c r="K1963" s="27" t="e">
        <f t="shared" si="237"/>
        <v>#NUM!</v>
      </c>
    </row>
    <row r="1964" spans="1:11">
      <c r="A1964" s="26">
        <v>1914</v>
      </c>
      <c r="B1964" s="82">
        <f t="shared" si="238"/>
        <v>3.2921237647087764E-4</v>
      </c>
      <c r="C1964" s="58">
        <f t="shared" si="242"/>
        <v>42.932707398652965</v>
      </c>
      <c r="D1964" s="83">
        <f t="shared" si="239"/>
        <v>181.66237236068247</v>
      </c>
      <c r="E1964">
        <f t="shared" si="235"/>
        <v>10.864445780002612</v>
      </c>
      <c r="G1964">
        <v>1914</v>
      </c>
      <c r="H1964" s="13">
        <f t="shared" si="240"/>
        <v>5.1608656820917531E-2</v>
      </c>
      <c r="I1964">
        <f t="shared" si="241"/>
        <v>141.08156406532086</v>
      </c>
      <c r="J1964" t="e">
        <f t="shared" si="236"/>
        <v>#NUM!</v>
      </c>
      <c r="K1964" s="27" t="e">
        <f t="shared" si="237"/>
        <v>#NUM!</v>
      </c>
    </row>
    <row r="1965" spans="1:11">
      <c r="A1965" s="26">
        <v>1915</v>
      </c>
      <c r="B1965" s="82">
        <f t="shared" si="238"/>
        <v>3.2921237647087764E-4</v>
      </c>
      <c r="C1965" s="58">
        <f t="shared" si="242"/>
        <v>42.933036611029436</v>
      </c>
      <c r="D1965" s="83">
        <f t="shared" si="239"/>
        <v>181.66298317262806</v>
      </c>
      <c r="E1965">
        <f t="shared" si="235"/>
        <v>10.864518838582724</v>
      </c>
      <c r="G1965">
        <v>1915</v>
      </c>
      <c r="H1965" s="13">
        <f t="shared" si="240"/>
        <v>5.1608656820917531E-2</v>
      </c>
      <c r="I1965">
        <f t="shared" si="241"/>
        <v>141.13317272214178</v>
      </c>
      <c r="J1965" t="e">
        <f t="shared" si="236"/>
        <v>#NUM!</v>
      </c>
      <c r="K1965" s="27" t="e">
        <f t="shared" si="237"/>
        <v>#NUM!</v>
      </c>
    </row>
    <row r="1966" spans="1:11">
      <c r="A1966" s="26">
        <v>1916</v>
      </c>
      <c r="B1966" s="82">
        <f t="shared" si="238"/>
        <v>3.2921237647087764E-4</v>
      </c>
      <c r="C1966" s="58">
        <f t="shared" si="242"/>
        <v>42.933365823405907</v>
      </c>
      <c r="D1966" s="83">
        <f t="shared" si="239"/>
        <v>181.6635939595798</v>
      </c>
      <c r="E1966">
        <f t="shared" si="235"/>
        <v>10.86459189441905</v>
      </c>
      <c r="G1966">
        <v>1916</v>
      </c>
      <c r="H1966" s="13">
        <f t="shared" si="240"/>
        <v>5.1608656820917531E-2</v>
      </c>
      <c r="I1966">
        <f t="shared" si="241"/>
        <v>141.1847813789627</v>
      </c>
      <c r="J1966" t="e">
        <f t="shared" si="236"/>
        <v>#NUM!</v>
      </c>
      <c r="K1966" s="27" t="e">
        <f t="shared" si="237"/>
        <v>#NUM!</v>
      </c>
    </row>
    <row r="1967" spans="1:11">
      <c r="A1967" s="26">
        <v>1917</v>
      </c>
      <c r="B1967" s="82">
        <f t="shared" si="238"/>
        <v>3.2921237647087764E-4</v>
      </c>
      <c r="C1967" s="58">
        <f t="shared" si="242"/>
        <v>42.933695035782378</v>
      </c>
      <c r="D1967" s="83">
        <f t="shared" si="239"/>
        <v>181.66420472154002</v>
      </c>
      <c r="E1967">
        <f t="shared" si="235"/>
        <v>10.86466494751185</v>
      </c>
      <c r="G1967">
        <v>1917</v>
      </c>
      <c r="H1967" s="13">
        <f t="shared" si="240"/>
        <v>5.1608656820917531E-2</v>
      </c>
      <c r="I1967">
        <f t="shared" si="241"/>
        <v>141.23639003578361</v>
      </c>
      <c r="J1967" t="e">
        <f t="shared" si="236"/>
        <v>#NUM!</v>
      </c>
      <c r="K1967" s="27" t="e">
        <f t="shared" si="237"/>
        <v>#NUM!</v>
      </c>
    </row>
    <row r="1968" spans="1:11">
      <c r="A1968" s="26">
        <v>1918</v>
      </c>
      <c r="B1968" s="82">
        <f t="shared" si="238"/>
        <v>3.2921237647087764E-4</v>
      </c>
      <c r="C1968" s="58">
        <f t="shared" si="242"/>
        <v>42.934024248158849</v>
      </c>
      <c r="D1968" s="83">
        <f t="shared" si="239"/>
        <v>181.66481545851113</v>
      </c>
      <c r="E1968">
        <f t="shared" si="235"/>
        <v>10.864737997861376</v>
      </c>
      <c r="G1968">
        <v>1918</v>
      </c>
      <c r="H1968" s="13">
        <f t="shared" si="240"/>
        <v>5.1608656820917531E-2</v>
      </c>
      <c r="I1968">
        <f t="shared" si="241"/>
        <v>141.28799869260453</v>
      </c>
      <c r="J1968" t="e">
        <f t="shared" si="236"/>
        <v>#NUM!</v>
      </c>
      <c r="K1968" s="27" t="e">
        <f t="shared" si="237"/>
        <v>#NUM!</v>
      </c>
    </row>
    <row r="1969" spans="1:11">
      <c r="A1969" s="26">
        <v>1919</v>
      </c>
      <c r="B1969" s="82">
        <f t="shared" si="238"/>
        <v>3.2921237647087764E-4</v>
      </c>
      <c r="C1969" s="58">
        <f t="shared" si="242"/>
        <v>42.93435346053532</v>
      </c>
      <c r="D1969" s="83">
        <f t="shared" si="239"/>
        <v>181.66542617049546</v>
      </c>
      <c r="E1969">
        <f t="shared" si="235"/>
        <v>10.864811045467874</v>
      </c>
      <c r="G1969">
        <v>1919</v>
      </c>
      <c r="H1969" s="13">
        <f t="shared" si="240"/>
        <v>5.1608656820917531E-2</v>
      </c>
      <c r="I1969">
        <f t="shared" si="241"/>
        <v>141.33960734942545</v>
      </c>
      <c r="J1969" t="e">
        <f t="shared" si="236"/>
        <v>#NUM!</v>
      </c>
      <c r="K1969" s="27" t="e">
        <f t="shared" si="237"/>
        <v>#NUM!</v>
      </c>
    </row>
    <row r="1970" spans="1:11">
      <c r="A1970" s="26">
        <v>1920</v>
      </c>
      <c r="B1970" s="82">
        <f t="shared" si="238"/>
        <v>3.2921237647087764E-4</v>
      </c>
      <c r="C1970" s="58">
        <f t="shared" si="242"/>
        <v>42.934682672911791</v>
      </c>
      <c r="D1970" s="83">
        <f t="shared" si="239"/>
        <v>181.66603685749544</v>
      </c>
      <c r="E1970">
        <f t="shared" si="235"/>
        <v>10.864884090331607</v>
      </c>
      <c r="G1970">
        <v>1920</v>
      </c>
      <c r="H1970" s="13">
        <f t="shared" si="240"/>
        <v>5.1608656820917531E-2</v>
      </c>
      <c r="I1970">
        <f t="shared" si="241"/>
        <v>141.39121600624637</v>
      </c>
      <c r="J1970" t="e">
        <f t="shared" si="236"/>
        <v>#NUM!</v>
      </c>
      <c r="K1970" s="27" t="e">
        <f t="shared" si="237"/>
        <v>#NUM!</v>
      </c>
    </row>
    <row r="1971" spans="1:11">
      <c r="A1971" s="26">
        <v>1921</v>
      </c>
      <c r="B1971" s="82">
        <f t="shared" si="238"/>
        <v>3.2921237647087764E-4</v>
      </c>
      <c r="C1971" s="58">
        <f t="shared" si="242"/>
        <v>42.935011885288262</v>
      </c>
      <c r="D1971" s="83">
        <f t="shared" si="239"/>
        <v>181.66664751951339</v>
      </c>
      <c r="E1971">
        <f t="shared" ref="E1971:E2034" si="243">((D1971^2)+(D1971*D1972)+(D1972^2))*B1972/3</f>
        <v>10.864957132452828</v>
      </c>
      <c r="G1971">
        <v>1921</v>
      </c>
      <c r="H1971" s="13">
        <f t="shared" si="240"/>
        <v>5.1608656820917531E-2</v>
      </c>
      <c r="I1971">
        <f t="shared" si="241"/>
        <v>141.44282466306728</v>
      </c>
      <c r="J1971" t="e">
        <f t="shared" ref="J1971:J2034" si="244">IF($G$28&lt;$C$14,0,((($C$11^2)-((I1971-$C$13)^2))^0.5)+$C$16)</f>
        <v>#NUM!</v>
      </c>
      <c r="K1971" s="27" t="e">
        <f t="shared" ref="K1971:K2034" si="245">((J1971^2)+(J1971*J1972)+(J1972^2))*H1972/3</f>
        <v>#NUM!</v>
      </c>
    </row>
    <row r="1972" spans="1:11">
      <c r="A1972" s="26">
        <v>1922</v>
      </c>
      <c r="B1972" s="82">
        <f t="shared" ref="B1972:B2035" si="246">C1972-C1971</f>
        <v>3.2921237647087764E-4</v>
      </c>
      <c r="C1972" s="58">
        <f t="shared" si="242"/>
        <v>42.935341097664733</v>
      </c>
      <c r="D1972" s="83">
        <f t="shared" ref="D1972:D2035" si="247">IF($G$28&lt;$C$14,0,((($C$11^2)-((C1972-$C$13)^2))^0.5)+$C$16)</f>
        <v>181.66725815655172</v>
      </c>
      <c r="E1972">
        <f t="shared" si="243"/>
        <v>10.865030171831789</v>
      </c>
      <c r="G1972">
        <v>1922</v>
      </c>
      <c r="H1972" s="13">
        <f t="shared" ref="H1972:H2035" si="248">I1972-I1971</f>
        <v>5.1608656820917531E-2</v>
      </c>
      <c r="I1972">
        <f t="shared" ref="I1972:I2035" si="249">($G$27-$C$14)/2000+I1971</f>
        <v>141.4944333198882</v>
      </c>
      <c r="J1972" t="e">
        <f t="shared" si="244"/>
        <v>#NUM!</v>
      </c>
      <c r="K1972" s="27" t="e">
        <f t="shared" si="245"/>
        <v>#NUM!</v>
      </c>
    </row>
    <row r="1973" spans="1:11">
      <c r="A1973" s="26">
        <v>1923</v>
      </c>
      <c r="B1973" s="82">
        <f t="shared" si="246"/>
        <v>3.2921237647087764E-4</v>
      </c>
      <c r="C1973" s="58">
        <f t="shared" si="242"/>
        <v>42.935670310041203</v>
      </c>
      <c r="D1973" s="83">
        <f t="shared" si="247"/>
        <v>181.66786876861283</v>
      </c>
      <c r="E1973">
        <f t="shared" si="243"/>
        <v>10.865103208468744</v>
      </c>
      <c r="G1973">
        <v>1923</v>
      </c>
      <c r="H1973" s="13">
        <f t="shared" si="248"/>
        <v>5.1608656820917531E-2</v>
      </c>
      <c r="I1973">
        <f t="shared" si="249"/>
        <v>141.54604197670912</v>
      </c>
      <c r="J1973" t="e">
        <f t="shared" si="244"/>
        <v>#NUM!</v>
      </c>
      <c r="K1973" s="27" t="e">
        <f t="shared" si="245"/>
        <v>#NUM!</v>
      </c>
    </row>
    <row r="1974" spans="1:11">
      <c r="A1974" s="26">
        <v>1924</v>
      </c>
      <c r="B1974" s="82">
        <f t="shared" si="246"/>
        <v>3.2921237647087764E-4</v>
      </c>
      <c r="C1974" s="58">
        <f t="shared" si="242"/>
        <v>42.935999522417674</v>
      </c>
      <c r="D1974" s="83">
        <f t="shared" si="247"/>
        <v>181.66847935569905</v>
      </c>
      <c r="E1974">
        <f t="shared" si="243"/>
        <v>10.865176242363949</v>
      </c>
      <c r="G1974">
        <v>1924</v>
      </c>
      <c r="H1974" s="13">
        <f t="shared" si="248"/>
        <v>5.1608656820917531E-2</v>
      </c>
      <c r="I1974">
        <f t="shared" si="249"/>
        <v>141.59765063353004</v>
      </c>
      <c r="J1974" t="e">
        <f t="shared" si="244"/>
        <v>#NUM!</v>
      </c>
      <c r="K1974" s="27" t="e">
        <f t="shared" si="245"/>
        <v>#NUM!</v>
      </c>
    </row>
    <row r="1975" spans="1:11">
      <c r="A1975" s="26">
        <v>1925</v>
      </c>
      <c r="B1975" s="82">
        <f t="shared" si="246"/>
        <v>3.2921237647087764E-4</v>
      </c>
      <c r="C1975" s="58">
        <f t="shared" si="242"/>
        <v>42.936328734794145</v>
      </c>
      <c r="D1975" s="83">
        <f t="shared" si="247"/>
        <v>181.66908991781276</v>
      </c>
      <c r="E1975">
        <f t="shared" si="243"/>
        <v>10.86524927351765</v>
      </c>
      <c r="G1975">
        <v>1925</v>
      </c>
      <c r="H1975" s="13">
        <f t="shared" si="248"/>
        <v>5.1608656820917531E-2</v>
      </c>
      <c r="I1975">
        <f t="shared" si="249"/>
        <v>141.64925929035095</v>
      </c>
      <c r="J1975" t="e">
        <f t="shared" si="244"/>
        <v>#NUM!</v>
      </c>
      <c r="K1975" s="27" t="e">
        <f t="shared" si="245"/>
        <v>#NUM!</v>
      </c>
    </row>
    <row r="1976" spans="1:11">
      <c r="A1976" s="26">
        <v>1926</v>
      </c>
      <c r="B1976" s="82">
        <f t="shared" si="246"/>
        <v>3.2921237647087764E-4</v>
      </c>
      <c r="C1976" s="58">
        <f t="shared" si="242"/>
        <v>42.936657947170616</v>
      </c>
      <c r="D1976" s="83">
        <f t="shared" si="247"/>
        <v>181.66970045495634</v>
      </c>
      <c r="E1976">
        <f t="shared" si="243"/>
        <v>10.865322301930114</v>
      </c>
      <c r="G1976">
        <v>1926</v>
      </c>
      <c r="H1976" s="13">
        <f t="shared" si="248"/>
        <v>5.1608656820917531E-2</v>
      </c>
      <c r="I1976">
        <f t="shared" si="249"/>
        <v>141.70086794717187</v>
      </c>
      <c r="J1976" t="e">
        <f t="shared" si="244"/>
        <v>#NUM!</v>
      </c>
      <c r="K1976" s="27" t="e">
        <f t="shared" si="245"/>
        <v>#NUM!</v>
      </c>
    </row>
    <row r="1977" spans="1:11">
      <c r="A1977" s="26">
        <v>1927</v>
      </c>
      <c r="B1977" s="82">
        <f t="shared" si="246"/>
        <v>3.2921237647087764E-4</v>
      </c>
      <c r="C1977" s="58">
        <f t="shared" si="242"/>
        <v>42.936987159547087</v>
      </c>
      <c r="D1977" s="83">
        <f t="shared" si="247"/>
        <v>181.67031096713217</v>
      </c>
      <c r="E1977">
        <f t="shared" si="243"/>
        <v>10.865395327601584</v>
      </c>
      <c r="G1977">
        <v>1927</v>
      </c>
      <c r="H1977" s="13">
        <f t="shared" si="248"/>
        <v>5.1608656820917531E-2</v>
      </c>
      <c r="I1977">
        <f t="shared" si="249"/>
        <v>141.75247660399279</v>
      </c>
      <c r="J1977" t="e">
        <f t="shared" si="244"/>
        <v>#NUM!</v>
      </c>
      <c r="K1977" s="27" t="e">
        <f t="shared" si="245"/>
        <v>#NUM!</v>
      </c>
    </row>
    <row r="1978" spans="1:11">
      <c r="A1978" s="26">
        <v>1928</v>
      </c>
      <c r="B1978" s="82">
        <f t="shared" si="246"/>
        <v>3.2921237647087764E-4</v>
      </c>
      <c r="C1978" s="58">
        <f t="shared" si="242"/>
        <v>42.937316371923558</v>
      </c>
      <c r="D1978" s="83">
        <f t="shared" si="247"/>
        <v>181.67092145434262</v>
      </c>
      <c r="E1978">
        <f t="shared" si="243"/>
        <v>10.86546835053232</v>
      </c>
      <c r="G1978">
        <v>1928</v>
      </c>
      <c r="H1978" s="13">
        <f t="shared" si="248"/>
        <v>5.1608656820917531E-2</v>
      </c>
      <c r="I1978">
        <f t="shared" si="249"/>
        <v>141.80408526081371</v>
      </c>
      <c r="J1978" t="e">
        <f t="shared" si="244"/>
        <v>#NUM!</v>
      </c>
      <c r="K1978" s="27" t="e">
        <f t="shared" si="245"/>
        <v>#NUM!</v>
      </c>
    </row>
    <row r="1979" spans="1:11">
      <c r="A1979" s="26">
        <v>1929</v>
      </c>
      <c r="B1979" s="82">
        <f t="shared" si="246"/>
        <v>3.2921237647087764E-4</v>
      </c>
      <c r="C1979" s="58">
        <f t="shared" si="242"/>
        <v>42.937645584300029</v>
      </c>
      <c r="D1979" s="83">
        <f t="shared" si="247"/>
        <v>181.67153191659006</v>
      </c>
      <c r="E1979">
        <f t="shared" si="243"/>
        <v>10.865541370722573</v>
      </c>
      <c r="G1979">
        <v>1929</v>
      </c>
      <c r="H1979" s="13">
        <f t="shared" si="248"/>
        <v>5.1608656820917531E-2</v>
      </c>
      <c r="I1979">
        <f t="shared" si="249"/>
        <v>141.85569391763462</v>
      </c>
      <c r="J1979" t="e">
        <f t="shared" si="244"/>
        <v>#NUM!</v>
      </c>
      <c r="K1979" s="27" t="e">
        <f t="shared" si="245"/>
        <v>#NUM!</v>
      </c>
    </row>
    <row r="1980" spans="1:11">
      <c r="A1980" s="26">
        <v>1930</v>
      </c>
      <c r="B1980" s="82">
        <f t="shared" si="246"/>
        <v>3.2921237647087764E-4</v>
      </c>
      <c r="C1980" s="58">
        <f t="shared" si="242"/>
        <v>42.9379747966765</v>
      </c>
      <c r="D1980" s="83">
        <f t="shared" si="247"/>
        <v>181.67214235387686</v>
      </c>
      <c r="E1980">
        <f t="shared" si="243"/>
        <v>10.865614388172597</v>
      </c>
      <c r="G1980">
        <v>1930</v>
      </c>
      <c r="H1980" s="13">
        <f t="shared" si="248"/>
        <v>5.1608656820917531E-2</v>
      </c>
      <c r="I1980">
        <f t="shared" si="249"/>
        <v>141.90730257445554</v>
      </c>
      <c r="J1980" t="e">
        <f t="shared" si="244"/>
        <v>#NUM!</v>
      </c>
      <c r="K1980" s="27" t="e">
        <f t="shared" si="245"/>
        <v>#NUM!</v>
      </c>
    </row>
    <row r="1981" spans="1:11">
      <c r="A1981" s="26">
        <v>1931</v>
      </c>
      <c r="B1981" s="82">
        <f t="shared" si="246"/>
        <v>3.2921237647087764E-4</v>
      </c>
      <c r="C1981" s="58">
        <f t="shared" si="242"/>
        <v>42.93830400905297</v>
      </c>
      <c r="D1981" s="83">
        <f t="shared" si="247"/>
        <v>181.67275276620541</v>
      </c>
      <c r="E1981">
        <f t="shared" si="243"/>
        <v>10.865687402882648</v>
      </c>
      <c r="G1981">
        <v>1931</v>
      </c>
      <c r="H1981" s="13">
        <f t="shared" si="248"/>
        <v>5.1608656820917531E-2</v>
      </c>
      <c r="I1981">
        <f t="shared" si="249"/>
        <v>141.95891123127646</v>
      </c>
      <c r="J1981" t="e">
        <f t="shared" si="244"/>
        <v>#NUM!</v>
      </c>
      <c r="K1981" s="27" t="e">
        <f t="shared" si="245"/>
        <v>#NUM!</v>
      </c>
    </row>
    <row r="1982" spans="1:11">
      <c r="A1982" s="26">
        <v>1932</v>
      </c>
      <c r="B1982" s="82">
        <f t="shared" si="246"/>
        <v>3.2921237647087764E-4</v>
      </c>
      <c r="C1982" s="58">
        <f t="shared" si="242"/>
        <v>42.938633221429441</v>
      </c>
      <c r="D1982" s="83">
        <f t="shared" si="247"/>
        <v>181.67336315357807</v>
      </c>
      <c r="E1982">
        <f t="shared" si="243"/>
        <v>10.86576041485297</v>
      </c>
      <c r="G1982">
        <v>1932</v>
      </c>
      <c r="H1982" s="13">
        <f t="shared" si="248"/>
        <v>5.1608656820917531E-2</v>
      </c>
      <c r="I1982">
        <f t="shared" si="249"/>
        <v>142.01051988809738</v>
      </c>
      <c r="J1982" t="e">
        <f t="shared" si="244"/>
        <v>#NUM!</v>
      </c>
      <c r="K1982" s="27" t="e">
        <f t="shared" si="245"/>
        <v>#NUM!</v>
      </c>
    </row>
    <row r="1983" spans="1:11">
      <c r="A1983" s="26">
        <v>1933</v>
      </c>
      <c r="B1983" s="82">
        <f t="shared" si="246"/>
        <v>3.2921237647087764E-4</v>
      </c>
      <c r="C1983" s="58">
        <f t="shared" si="242"/>
        <v>42.938962433805912</v>
      </c>
      <c r="D1983" s="83">
        <f t="shared" si="247"/>
        <v>181.67397351599718</v>
      </c>
      <c r="E1983">
        <f t="shared" si="243"/>
        <v>10.865833424083826</v>
      </c>
      <c r="G1983">
        <v>1933</v>
      </c>
      <c r="H1983" s="13">
        <f t="shared" si="248"/>
        <v>5.1608656820917531E-2</v>
      </c>
      <c r="I1983">
        <f t="shared" si="249"/>
        <v>142.06212854491829</v>
      </c>
      <c r="J1983" t="e">
        <f t="shared" si="244"/>
        <v>#NUM!</v>
      </c>
      <c r="K1983" s="27" t="e">
        <f t="shared" si="245"/>
        <v>#NUM!</v>
      </c>
    </row>
    <row r="1984" spans="1:11">
      <c r="A1984" s="26">
        <v>1934</v>
      </c>
      <c r="B1984" s="82">
        <f t="shared" si="246"/>
        <v>3.2921237647087764E-4</v>
      </c>
      <c r="C1984" s="58">
        <f t="shared" si="242"/>
        <v>42.939291646182383</v>
      </c>
      <c r="D1984" s="83">
        <f t="shared" si="247"/>
        <v>181.67458385346515</v>
      </c>
      <c r="E1984">
        <f t="shared" si="243"/>
        <v>10.865906430575464</v>
      </c>
      <c r="G1984">
        <v>1934</v>
      </c>
      <c r="H1984" s="13">
        <f t="shared" si="248"/>
        <v>5.1608656820917531E-2</v>
      </c>
      <c r="I1984">
        <f t="shared" si="249"/>
        <v>142.11373720173921</v>
      </c>
      <c r="J1984" t="e">
        <f t="shared" si="244"/>
        <v>#NUM!</v>
      </c>
      <c r="K1984" s="27" t="e">
        <f t="shared" si="245"/>
        <v>#NUM!</v>
      </c>
    </row>
    <row r="1985" spans="1:11">
      <c r="A1985" s="26">
        <v>1935</v>
      </c>
      <c r="B1985" s="82">
        <f t="shared" si="246"/>
        <v>3.2921237647087764E-4</v>
      </c>
      <c r="C1985" s="58">
        <f t="shared" si="242"/>
        <v>42.939620858558854</v>
      </c>
      <c r="D1985" s="83">
        <f t="shared" si="247"/>
        <v>181.67519416598432</v>
      </c>
      <c r="E1985">
        <f t="shared" si="243"/>
        <v>10.865979434328144</v>
      </c>
      <c r="G1985">
        <v>1935</v>
      </c>
      <c r="H1985" s="13">
        <f t="shared" si="248"/>
        <v>5.1608656820917531E-2</v>
      </c>
      <c r="I1985">
        <f t="shared" si="249"/>
        <v>142.16534585856013</v>
      </c>
      <c r="J1985" t="e">
        <f t="shared" si="244"/>
        <v>#NUM!</v>
      </c>
      <c r="K1985" s="27" t="e">
        <f t="shared" si="245"/>
        <v>#NUM!</v>
      </c>
    </row>
    <row r="1986" spans="1:11">
      <c r="A1986" s="26">
        <v>1936</v>
      </c>
      <c r="B1986" s="82">
        <f t="shared" si="246"/>
        <v>3.2921237647087764E-4</v>
      </c>
      <c r="C1986" s="58">
        <f t="shared" si="242"/>
        <v>42.939950070935325</v>
      </c>
      <c r="D1986" s="83">
        <f t="shared" si="247"/>
        <v>181.67580445355711</v>
      </c>
      <c r="E1986">
        <f t="shared" si="243"/>
        <v>10.866052435342118</v>
      </c>
      <c r="G1986">
        <v>1936</v>
      </c>
      <c r="H1986" s="13">
        <f t="shared" si="248"/>
        <v>5.1608656820917531E-2</v>
      </c>
      <c r="I1986">
        <f t="shared" si="249"/>
        <v>142.21695451538105</v>
      </c>
      <c r="J1986" t="e">
        <f t="shared" si="244"/>
        <v>#NUM!</v>
      </c>
      <c r="K1986" s="27" t="e">
        <f t="shared" si="245"/>
        <v>#NUM!</v>
      </c>
    </row>
    <row r="1987" spans="1:11">
      <c r="A1987" s="26">
        <v>1937</v>
      </c>
      <c r="B1987" s="82">
        <f t="shared" si="246"/>
        <v>3.2921237647087764E-4</v>
      </c>
      <c r="C1987" s="58">
        <f t="shared" si="242"/>
        <v>42.940279283311796</v>
      </c>
      <c r="D1987" s="83">
        <f t="shared" si="247"/>
        <v>181.67641471618586</v>
      </c>
      <c r="E1987">
        <f t="shared" si="243"/>
        <v>10.866125433617634</v>
      </c>
      <c r="G1987">
        <v>1937</v>
      </c>
      <c r="H1987" s="13">
        <f t="shared" si="248"/>
        <v>5.1608656820917531E-2</v>
      </c>
      <c r="I1987">
        <f t="shared" si="249"/>
        <v>142.26856317220197</v>
      </c>
      <c r="J1987" t="e">
        <f t="shared" si="244"/>
        <v>#NUM!</v>
      </c>
      <c r="K1987" s="27" t="e">
        <f t="shared" si="245"/>
        <v>#NUM!</v>
      </c>
    </row>
    <row r="1988" spans="1:11">
      <c r="A1988" s="26">
        <v>1938</v>
      </c>
      <c r="B1988" s="82">
        <f t="shared" si="246"/>
        <v>3.2921237647087764E-4</v>
      </c>
      <c r="C1988" s="58">
        <f t="shared" si="242"/>
        <v>42.940608495688267</v>
      </c>
      <c r="D1988" s="83">
        <f t="shared" si="247"/>
        <v>181.67702495387292</v>
      </c>
      <c r="E1988">
        <f t="shared" si="243"/>
        <v>10.866198429154947</v>
      </c>
      <c r="G1988">
        <v>1938</v>
      </c>
      <c r="H1988" s="13">
        <f t="shared" si="248"/>
        <v>5.1608656820917531E-2</v>
      </c>
      <c r="I1988">
        <f t="shared" si="249"/>
        <v>142.32017182902288</v>
      </c>
      <c r="J1988" t="e">
        <f t="shared" si="244"/>
        <v>#NUM!</v>
      </c>
      <c r="K1988" s="27" t="e">
        <f t="shared" si="245"/>
        <v>#NUM!</v>
      </c>
    </row>
    <row r="1989" spans="1:11">
      <c r="A1989" s="26">
        <v>1939</v>
      </c>
      <c r="B1989" s="82">
        <f t="shared" si="246"/>
        <v>3.2921237647087764E-4</v>
      </c>
      <c r="C1989" s="58">
        <f t="shared" si="242"/>
        <v>42.940937708064737</v>
      </c>
      <c r="D1989" s="83">
        <f t="shared" si="247"/>
        <v>181.67763516662066</v>
      </c>
      <c r="E1989">
        <f t="shared" si="243"/>
        <v>10.866271421954311</v>
      </c>
      <c r="G1989">
        <v>1939</v>
      </c>
      <c r="H1989" s="13">
        <f t="shared" si="248"/>
        <v>5.1608656820917531E-2</v>
      </c>
      <c r="I1989">
        <f t="shared" si="249"/>
        <v>142.3717804858438</v>
      </c>
      <c r="J1989" t="e">
        <f t="shared" si="244"/>
        <v>#NUM!</v>
      </c>
      <c r="K1989" s="27" t="e">
        <f t="shared" si="245"/>
        <v>#NUM!</v>
      </c>
    </row>
    <row r="1990" spans="1:11">
      <c r="A1990" s="26">
        <v>1940</v>
      </c>
      <c r="B1990" s="82">
        <f t="shared" si="246"/>
        <v>3.2921237647087764E-4</v>
      </c>
      <c r="C1990" s="58">
        <f t="shared" si="242"/>
        <v>42.941266920441208</v>
      </c>
      <c r="D1990" s="83">
        <f t="shared" si="247"/>
        <v>181.67824535443148</v>
      </c>
      <c r="E1990">
        <f t="shared" si="243"/>
        <v>10.866344412015984</v>
      </c>
      <c r="G1990">
        <v>1940</v>
      </c>
      <c r="H1990" s="13">
        <f t="shared" si="248"/>
        <v>5.1608656820917531E-2</v>
      </c>
      <c r="I1990">
        <f t="shared" si="249"/>
        <v>142.42338914266472</v>
      </c>
      <c r="J1990" t="e">
        <f t="shared" si="244"/>
        <v>#NUM!</v>
      </c>
      <c r="K1990" s="27" t="e">
        <f t="shared" si="245"/>
        <v>#NUM!</v>
      </c>
    </row>
    <row r="1991" spans="1:11">
      <c r="A1991" s="26">
        <v>1941</v>
      </c>
      <c r="B1991" s="82">
        <f t="shared" si="246"/>
        <v>3.2921237647087764E-4</v>
      </c>
      <c r="C1991" s="58">
        <f t="shared" si="242"/>
        <v>42.941596132817679</v>
      </c>
      <c r="D1991" s="83">
        <f t="shared" si="247"/>
        <v>181.67885551730774</v>
      </c>
      <c r="E1991">
        <f t="shared" si="243"/>
        <v>10.866417399340214</v>
      </c>
      <c r="G1991">
        <v>1941</v>
      </c>
      <c r="H1991" s="13">
        <f t="shared" si="248"/>
        <v>5.1608656820917531E-2</v>
      </c>
      <c r="I1991">
        <f t="shared" si="249"/>
        <v>142.47499779948564</v>
      </c>
      <c r="J1991" t="e">
        <f t="shared" si="244"/>
        <v>#NUM!</v>
      </c>
      <c r="K1991" s="27" t="e">
        <f t="shared" si="245"/>
        <v>#NUM!</v>
      </c>
    </row>
    <row r="1992" spans="1:11">
      <c r="A1992" s="26">
        <v>1942</v>
      </c>
      <c r="B1992" s="82">
        <f t="shared" si="246"/>
        <v>3.2921237647087764E-4</v>
      </c>
      <c r="C1992" s="58">
        <f t="shared" si="242"/>
        <v>42.94192534519415</v>
      </c>
      <c r="D1992" s="83">
        <f t="shared" si="247"/>
        <v>181.67946565525179</v>
      </c>
      <c r="E1992">
        <f t="shared" si="243"/>
        <v>10.866490383927252</v>
      </c>
      <c r="G1992">
        <v>1942</v>
      </c>
      <c r="H1992" s="13">
        <f t="shared" si="248"/>
        <v>5.1608656820917531E-2</v>
      </c>
      <c r="I1992">
        <f t="shared" si="249"/>
        <v>142.52660645630655</v>
      </c>
      <c r="J1992" t="e">
        <f t="shared" si="244"/>
        <v>#NUM!</v>
      </c>
      <c r="K1992" s="27" t="e">
        <f t="shared" si="245"/>
        <v>#NUM!</v>
      </c>
    </row>
    <row r="1993" spans="1:11">
      <c r="A1993" s="26">
        <v>1943</v>
      </c>
      <c r="B1993" s="82">
        <f t="shared" si="246"/>
        <v>3.2921237647087764E-4</v>
      </c>
      <c r="C1993" s="58">
        <f t="shared" si="242"/>
        <v>42.942254557570621</v>
      </c>
      <c r="D1993" s="83">
        <f t="shared" si="247"/>
        <v>181.68007576826599</v>
      </c>
      <c r="E1993">
        <f t="shared" si="243"/>
        <v>10.866563365777358</v>
      </c>
      <c r="G1993">
        <v>1943</v>
      </c>
      <c r="H1993" s="13">
        <f t="shared" si="248"/>
        <v>5.1608656820917531E-2</v>
      </c>
      <c r="I1993">
        <f t="shared" si="249"/>
        <v>142.57821511312747</v>
      </c>
      <c r="J1993" t="e">
        <f t="shared" si="244"/>
        <v>#NUM!</v>
      </c>
      <c r="K1993" s="27" t="e">
        <f t="shared" si="245"/>
        <v>#NUM!</v>
      </c>
    </row>
    <row r="1994" spans="1:11">
      <c r="A1994" s="26">
        <v>1944</v>
      </c>
      <c r="B1994" s="82">
        <f t="shared" si="246"/>
        <v>3.2921237647087764E-4</v>
      </c>
      <c r="C1994" s="58">
        <f t="shared" si="242"/>
        <v>42.942583769947092</v>
      </c>
      <c r="D1994" s="83">
        <f t="shared" si="247"/>
        <v>181.68068585635274</v>
      </c>
      <c r="E1994">
        <f t="shared" si="243"/>
        <v>10.866636344890779</v>
      </c>
      <c r="G1994">
        <v>1944</v>
      </c>
      <c r="H1994" s="13">
        <f t="shared" si="248"/>
        <v>5.1608656820917531E-2</v>
      </c>
      <c r="I1994">
        <f t="shared" si="249"/>
        <v>142.62982376994839</v>
      </c>
      <c r="J1994" t="e">
        <f t="shared" si="244"/>
        <v>#NUM!</v>
      </c>
      <c r="K1994" s="27" t="e">
        <f t="shared" si="245"/>
        <v>#NUM!</v>
      </c>
    </row>
    <row r="1995" spans="1:11">
      <c r="A1995" s="26">
        <v>1945</v>
      </c>
      <c r="B1995" s="82">
        <f t="shared" si="246"/>
        <v>3.2921237647087764E-4</v>
      </c>
      <c r="C1995" s="58">
        <f t="shared" si="242"/>
        <v>42.942912982323563</v>
      </c>
      <c r="D1995" s="83">
        <f t="shared" si="247"/>
        <v>181.68129591951438</v>
      </c>
      <c r="E1995">
        <f t="shared" si="243"/>
        <v>10.86670932126777</v>
      </c>
      <c r="G1995">
        <v>1945</v>
      </c>
      <c r="H1995" s="13">
        <f t="shared" si="248"/>
        <v>5.1608656820917531E-2</v>
      </c>
      <c r="I1995">
        <f t="shared" si="249"/>
        <v>142.68143242676931</v>
      </c>
      <c r="J1995" t="e">
        <f t="shared" si="244"/>
        <v>#NUM!</v>
      </c>
      <c r="K1995" s="27" t="e">
        <f t="shared" si="245"/>
        <v>#NUM!</v>
      </c>
    </row>
    <row r="1996" spans="1:11">
      <c r="A1996" s="26">
        <v>1946</v>
      </c>
      <c r="B1996" s="82">
        <f t="shared" si="246"/>
        <v>3.2921237647087764E-4</v>
      </c>
      <c r="C1996" s="58">
        <f t="shared" si="242"/>
        <v>42.943242194700034</v>
      </c>
      <c r="D1996" s="83">
        <f t="shared" si="247"/>
        <v>181.68190595775332</v>
      </c>
      <c r="E1996">
        <f t="shared" si="243"/>
        <v>10.866782294908583</v>
      </c>
      <c r="G1996">
        <v>1946</v>
      </c>
      <c r="H1996" s="13">
        <f t="shared" si="248"/>
        <v>5.1608656820917531E-2</v>
      </c>
      <c r="I1996">
        <f t="shared" si="249"/>
        <v>142.73304108359022</v>
      </c>
      <c r="J1996" t="e">
        <f t="shared" si="244"/>
        <v>#NUM!</v>
      </c>
      <c r="K1996" s="27" t="e">
        <f t="shared" si="245"/>
        <v>#NUM!</v>
      </c>
    </row>
    <row r="1997" spans="1:11">
      <c r="A1997" s="26">
        <v>1947</v>
      </c>
      <c r="B1997" s="82">
        <f t="shared" si="246"/>
        <v>3.2921237647087764E-4</v>
      </c>
      <c r="C1997" s="58">
        <f t="shared" si="242"/>
        <v>42.943571407076504</v>
      </c>
      <c r="D1997" s="83">
        <f t="shared" si="247"/>
        <v>181.68251597107184</v>
      </c>
      <c r="E1997">
        <f t="shared" si="243"/>
        <v>10.866855265813475</v>
      </c>
      <c r="G1997">
        <v>1947</v>
      </c>
      <c r="H1997" s="13">
        <f t="shared" si="248"/>
        <v>5.1608656820917531E-2</v>
      </c>
      <c r="I1997">
        <f t="shared" si="249"/>
        <v>142.78464974041114</v>
      </c>
      <c r="J1997" t="e">
        <f t="shared" si="244"/>
        <v>#NUM!</v>
      </c>
      <c r="K1997" s="27" t="e">
        <f t="shared" si="245"/>
        <v>#NUM!</v>
      </c>
    </row>
    <row r="1998" spans="1:11">
      <c r="A1998" s="26">
        <v>1948</v>
      </c>
      <c r="B1998" s="82">
        <f t="shared" si="246"/>
        <v>3.2921237647087764E-4</v>
      </c>
      <c r="C1998" s="58">
        <f t="shared" si="242"/>
        <v>42.943900619452975</v>
      </c>
      <c r="D1998" s="83">
        <f t="shared" si="247"/>
        <v>181.68312595947236</v>
      </c>
      <c r="E1998">
        <f t="shared" si="243"/>
        <v>10.866928233982691</v>
      </c>
      <c r="G1998">
        <v>1948</v>
      </c>
      <c r="H1998" s="13">
        <f t="shared" si="248"/>
        <v>5.1608656820917531E-2</v>
      </c>
      <c r="I1998">
        <f t="shared" si="249"/>
        <v>142.83625839723206</v>
      </c>
      <c r="J1998" t="e">
        <f t="shared" si="244"/>
        <v>#NUM!</v>
      </c>
      <c r="K1998" s="27" t="e">
        <f t="shared" si="245"/>
        <v>#NUM!</v>
      </c>
    </row>
    <row r="1999" spans="1:11">
      <c r="A1999" s="26">
        <v>1949</v>
      </c>
      <c r="B1999" s="82">
        <f t="shared" si="246"/>
        <v>3.2921237647087764E-4</v>
      </c>
      <c r="C1999" s="58">
        <f t="shared" si="242"/>
        <v>42.944229831829446</v>
      </c>
      <c r="D1999" s="83">
        <f t="shared" si="247"/>
        <v>181.68373592295725</v>
      </c>
      <c r="E1999">
        <f t="shared" si="243"/>
        <v>10.867001199416491</v>
      </c>
      <c r="G1999">
        <v>1949</v>
      </c>
      <c r="H1999" s="13">
        <f t="shared" si="248"/>
        <v>5.1608656820917531E-2</v>
      </c>
      <c r="I1999">
        <f t="shared" si="249"/>
        <v>142.88786705405298</v>
      </c>
      <c r="J1999" t="e">
        <f t="shared" si="244"/>
        <v>#NUM!</v>
      </c>
      <c r="K1999" s="27" t="e">
        <f t="shared" si="245"/>
        <v>#NUM!</v>
      </c>
    </row>
    <row r="2000" spans="1:11">
      <c r="A2000" s="26">
        <v>1950</v>
      </c>
      <c r="B2000" s="82">
        <f t="shared" si="246"/>
        <v>3.2921237647087764E-4</v>
      </c>
      <c r="C2000" s="58">
        <f t="shared" ref="C2000:C2049" si="250">($C$37-$C$36)/2000+C1999</f>
        <v>42.944559044205917</v>
      </c>
      <c r="D2000" s="83">
        <f t="shared" si="247"/>
        <v>181.68434586152887</v>
      </c>
      <c r="E2000">
        <f t="shared" si="243"/>
        <v>10.867074162115129</v>
      </c>
      <c r="G2000">
        <v>1950</v>
      </c>
      <c r="H2000" s="13">
        <f t="shared" si="248"/>
        <v>5.1608656820917531E-2</v>
      </c>
      <c r="I2000">
        <f t="shared" si="249"/>
        <v>142.93947571087389</v>
      </c>
      <c r="J2000" t="e">
        <f t="shared" si="244"/>
        <v>#NUM!</v>
      </c>
      <c r="K2000" s="27" t="e">
        <f t="shared" si="245"/>
        <v>#NUM!</v>
      </c>
    </row>
    <row r="2001" spans="1:11">
      <c r="A2001" s="26">
        <v>1951</v>
      </c>
      <c r="B2001" s="82">
        <f t="shared" si="246"/>
        <v>3.2921237647087764E-4</v>
      </c>
      <c r="C2001" s="58">
        <f t="shared" si="250"/>
        <v>42.944888256582388</v>
      </c>
      <c r="D2001" s="83">
        <f t="shared" si="247"/>
        <v>181.68495577518956</v>
      </c>
      <c r="E2001">
        <f t="shared" si="243"/>
        <v>10.867147122078849</v>
      </c>
      <c r="G2001">
        <v>1951</v>
      </c>
      <c r="H2001" s="13">
        <f t="shared" si="248"/>
        <v>5.1608656820917531E-2</v>
      </c>
      <c r="I2001">
        <f t="shared" si="249"/>
        <v>142.99108436769481</v>
      </c>
      <c r="J2001" t="e">
        <f t="shared" si="244"/>
        <v>#NUM!</v>
      </c>
      <c r="K2001" s="27" t="e">
        <f t="shared" si="245"/>
        <v>#NUM!</v>
      </c>
    </row>
    <row r="2002" spans="1:11">
      <c r="A2002" s="26">
        <v>1952</v>
      </c>
      <c r="B2002" s="82">
        <f t="shared" si="246"/>
        <v>3.2921237647087764E-4</v>
      </c>
      <c r="C2002" s="58">
        <f t="shared" si="250"/>
        <v>42.945217468958859</v>
      </c>
      <c r="D2002" s="83">
        <f t="shared" si="247"/>
        <v>181.68556566394173</v>
      </c>
      <c r="E2002">
        <f t="shared" si="243"/>
        <v>10.867220079307913</v>
      </c>
      <c r="G2002">
        <v>1952</v>
      </c>
      <c r="H2002" s="13">
        <f t="shared" si="248"/>
        <v>5.1608656820917531E-2</v>
      </c>
      <c r="I2002">
        <f t="shared" si="249"/>
        <v>143.04269302451573</v>
      </c>
      <c r="J2002" t="e">
        <f t="shared" si="244"/>
        <v>#NUM!</v>
      </c>
      <c r="K2002" s="27" t="e">
        <f t="shared" si="245"/>
        <v>#NUM!</v>
      </c>
    </row>
    <row r="2003" spans="1:11">
      <c r="A2003" s="26">
        <v>1953</v>
      </c>
      <c r="B2003" s="82">
        <f t="shared" si="246"/>
        <v>3.2921237647087764E-4</v>
      </c>
      <c r="C2003" s="58">
        <f t="shared" si="250"/>
        <v>42.94554668133533</v>
      </c>
      <c r="D2003" s="83">
        <f t="shared" si="247"/>
        <v>181.6861755277877</v>
      </c>
      <c r="E2003">
        <f t="shared" si="243"/>
        <v>10.867293033802568</v>
      </c>
      <c r="G2003">
        <v>1953</v>
      </c>
      <c r="H2003" s="13">
        <f t="shared" si="248"/>
        <v>5.1608656820917531E-2</v>
      </c>
      <c r="I2003">
        <f t="shared" si="249"/>
        <v>143.09430168133665</v>
      </c>
      <c r="J2003" t="e">
        <f t="shared" si="244"/>
        <v>#NUM!</v>
      </c>
      <c r="K2003" s="27" t="e">
        <f t="shared" si="245"/>
        <v>#NUM!</v>
      </c>
    </row>
    <row r="2004" spans="1:11">
      <c r="A2004" s="26">
        <v>1954</v>
      </c>
      <c r="B2004" s="82">
        <f t="shared" si="246"/>
        <v>3.2921237647087764E-4</v>
      </c>
      <c r="C2004" s="58">
        <f t="shared" si="250"/>
        <v>42.945875893711801</v>
      </c>
      <c r="D2004" s="83">
        <f t="shared" si="247"/>
        <v>181.68678536672985</v>
      </c>
      <c r="E2004">
        <f t="shared" si="243"/>
        <v>10.867365985563069</v>
      </c>
      <c r="G2004">
        <v>1954</v>
      </c>
      <c r="H2004" s="13">
        <f t="shared" si="248"/>
        <v>5.1608656820917531E-2</v>
      </c>
      <c r="I2004">
        <f t="shared" si="249"/>
        <v>143.14591033815756</v>
      </c>
      <c r="J2004" t="e">
        <f t="shared" si="244"/>
        <v>#NUM!</v>
      </c>
      <c r="K2004" s="27" t="e">
        <f t="shared" si="245"/>
        <v>#NUM!</v>
      </c>
    </row>
    <row r="2005" spans="1:11">
      <c r="A2005" s="26">
        <v>1955</v>
      </c>
      <c r="B2005" s="82">
        <f t="shared" si="246"/>
        <v>3.2921237647087764E-4</v>
      </c>
      <c r="C2005" s="58">
        <f t="shared" si="250"/>
        <v>42.946205106088271</v>
      </c>
      <c r="D2005" s="83">
        <f t="shared" si="247"/>
        <v>181.68739518077052</v>
      </c>
      <c r="E2005">
        <f t="shared" si="243"/>
        <v>10.867438934589664</v>
      </c>
      <c r="G2005">
        <v>1955</v>
      </c>
      <c r="H2005" s="13">
        <f t="shared" si="248"/>
        <v>5.1608656820917531E-2</v>
      </c>
      <c r="I2005">
        <f t="shared" si="249"/>
        <v>143.19751899497848</v>
      </c>
      <c r="J2005" t="e">
        <f t="shared" si="244"/>
        <v>#NUM!</v>
      </c>
      <c r="K2005" s="27" t="e">
        <f t="shared" si="245"/>
        <v>#NUM!</v>
      </c>
    </row>
    <row r="2006" spans="1:11">
      <c r="A2006" s="26">
        <v>1956</v>
      </c>
      <c r="B2006" s="82">
        <f t="shared" si="246"/>
        <v>3.2921237647087764E-4</v>
      </c>
      <c r="C2006" s="58">
        <f t="shared" si="250"/>
        <v>42.946534318464742</v>
      </c>
      <c r="D2006" s="83">
        <f t="shared" si="247"/>
        <v>181.6880049699121</v>
      </c>
      <c r="E2006">
        <f t="shared" si="243"/>
        <v>10.867511880882612</v>
      </c>
      <c r="G2006">
        <v>1956</v>
      </c>
      <c r="H2006" s="13">
        <f t="shared" si="248"/>
        <v>5.1608656820917531E-2</v>
      </c>
      <c r="I2006">
        <f t="shared" si="249"/>
        <v>143.2491276517994</v>
      </c>
      <c r="J2006" t="e">
        <f t="shared" si="244"/>
        <v>#NUM!</v>
      </c>
      <c r="K2006" s="27" t="e">
        <f t="shared" si="245"/>
        <v>#NUM!</v>
      </c>
    </row>
    <row r="2007" spans="1:11">
      <c r="A2007" s="26">
        <v>1957</v>
      </c>
      <c r="B2007" s="82">
        <f t="shared" si="246"/>
        <v>3.2921237647087764E-4</v>
      </c>
      <c r="C2007" s="58">
        <f t="shared" si="250"/>
        <v>42.946863530841213</v>
      </c>
      <c r="D2007" s="83">
        <f t="shared" si="247"/>
        <v>181.68861473415694</v>
      </c>
      <c r="E2007">
        <f t="shared" si="243"/>
        <v>10.867584824442163</v>
      </c>
      <c r="G2007">
        <v>1957</v>
      </c>
      <c r="H2007" s="13">
        <f t="shared" si="248"/>
        <v>5.1608656820917531E-2</v>
      </c>
      <c r="I2007">
        <f t="shared" si="249"/>
        <v>143.30073630862032</v>
      </c>
      <c r="J2007" t="e">
        <f t="shared" si="244"/>
        <v>#NUM!</v>
      </c>
      <c r="K2007" s="27" t="e">
        <f t="shared" si="245"/>
        <v>#NUM!</v>
      </c>
    </row>
    <row r="2008" spans="1:11">
      <c r="A2008" s="26">
        <v>1958</v>
      </c>
      <c r="B2008" s="82">
        <f t="shared" si="246"/>
        <v>3.2921237647087764E-4</v>
      </c>
      <c r="C2008" s="58">
        <f t="shared" si="250"/>
        <v>42.947192743217684</v>
      </c>
      <c r="D2008" s="83">
        <f t="shared" si="247"/>
        <v>181.68922447350741</v>
      </c>
      <c r="E2008">
        <f t="shared" si="243"/>
        <v>10.86765776526857</v>
      </c>
      <c r="G2008">
        <v>1958</v>
      </c>
      <c r="H2008" s="13">
        <f t="shared" si="248"/>
        <v>5.1608656820917531E-2</v>
      </c>
      <c r="I2008">
        <f t="shared" si="249"/>
        <v>143.35234496544123</v>
      </c>
      <c r="J2008" t="e">
        <f t="shared" si="244"/>
        <v>#NUM!</v>
      </c>
      <c r="K2008" s="27" t="e">
        <f t="shared" si="245"/>
        <v>#NUM!</v>
      </c>
    </row>
    <row r="2009" spans="1:11">
      <c r="A2009" s="26">
        <v>1959</v>
      </c>
      <c r="B2009" s="82">
        <f t="shared" si="246"/>
        <v>3.2921237647087764E-4</v>
      </c>
      <c r="C2009" s="58">
        <f t="shared" si="250"/>
        <v>42.947521955594155</v>
      </c>
      <c r="D2009" s="83">
        <f t="shared" si="247"/>
        <v>181.68983418796589</v>
      </c>
      <c r="E2009">
        <f t="shared" si="243"/>
        <v>10.867730703362085</v>
      </c>
      <c r="G2009">
        <v>1959</v>
      </c>
      <c r="H2009" s="13">
        <f t="shared" si="248"/>
        <v>5.1608656820917531E-2</v>
      </c>
      <c r="I2009">
        <f t="shared" si="249"/>
        <v>143.40395362226215</v>
      </c>
      <c r="J2009" t="e">
        <f t="shared" si="244"/>
        <v>#NUM!</v>
      </c>
      <c r="K2009" s="27" t="e">
        <f t="shared" si="245"/>
        <v>#NUM!</v>
      </c>
    </row>
    <row r="2010" spans="1:11">
      <c r="A2010" s="26">
        <v>1960</v>
      </c>
      <c r="B2010" s="82">
        <f t="shared" si="246"/>
        <v>3.2921237647087764E-4</v>
      </c>
      <c r="C2010" s="58">
        <f t="shared" si="250"/>
        <v>42.947851167970626</v>
      </c>
      <c r="D2010" s="83">
        <f t="shared" si="247"/>
        <v>181.69044387753468</v>
      </c>
      <c r="E2010">
        <f t="shared" si="243"/>
        <v>10.867803638722956</v>
      </c>
      <c r="G2010">
        <v>1960</v>
      </c>
      <c r="H2010" s="13">
        <f t="shared" si="248"/>
        <v>5.1608656820917531E-2</v>
      </c>
      <c r="I2010">
        <f t="shared" si="249"/>
        <v>143.45556227908307</v>
      </c>
      <c r="J2010" t="e">
        <f t="shared" si="244"/>
        <v>#NUM!</v>
      </c>
      <c r="K2010" s="27" t="e">
        <f t="shared" si="245"/>
        <v>#NUM!</v>
      </c>
    </row>
    <row r="2011" spans="1:11">
      <c r="A2011" s="26">
        <v>1961</v>
      </c>
      <c r="B2011" s="82">
        <f t="shared" si="246"/>
        <v>3.2921237647087764E-4</v>
      </c>
      <c r="C2011" s="58">
        <f t="shared" si="250"/>
        <v>42.948180380347097</v>
      </c>
      <c r="D2011" s="83">
        <f t="shared" si="247"/>
        <v>181.69105354221617</v>
      </c>
      <c r="E2011">
        <f t="shared" si="243"/>
        <v>10.867876571351445</v>
      </c>
      <c r="G2011">
        <v>1961</v>
      </c>
      <c r="H2011" s="13">
        <f t="shared" si="248"/>
        <v>5.1608656820917531E-2</v>
      </c>
      <c r="I2011">
        <f t="shared" si="249"/>
        <v>143.50717093590399</v>
      </c>
      <c r="J2011" t="e">
        <f t="shared" si="244"/>
        <v>#NUM!</v>
      </c>
      <c r="K2011" s="27" t="e">
        <f t="shared" si="245"/>
        <v>#NUM!</v>
      </c>
    </row>
    <row r="2012" spans="1:11">
      <c r="A2012" s="26">
        <v>1962</v>
      </c>
      <c r="B2012" s="82">
        <f t="shared" si="246"/>
        <v>3.2921237647087764E-4</v>
      </c>
      <c r="C2012" s="58">
        <f t="shared" si="250"/>
        <v>42.948509592723568</v>
      </c>
      <c r="D2012" s="83">
        <f t="shared" si="247"/>
        <v>181.69166318201275</v>
      </c>
      <c r="E2012">
        <f t="shared" si="243"/>
        <v>10.867949501247795</v>
      </c>
      <c r="G2012">
        <v>1962</v>
      </c>
      <c r="H2012" s="13">
        <f t="shared" si="248"/>
        <v>5.1608656820917531E-2</v>
      </c>
      <c r="I2012">
        <f t="shared" si="249"/>
        <v>143.5587795927249</v>
      </c>
      <c r="J2012" t="e">
        <f t="shared" si="244"/>
        <v>#NUM!</v>
      </c>
      <c r="K2012" s="27" t="e">
        <f t="shared" si="245"/>
        <v>#NUM!</v>
      </c>
    </row>
    <row r="2013" spans="1:11">
      <c r="A2013" s="26">
        <v>1963</v>
      </c>
      <c r="B2013" s="82">
        <f t="shared" si="246"/>
        <v>3.2921237647087764E-4</v>
      </c>
      <c r="C2013" s="58">
        <f t="shared" si="250"/>
        <v>42.948838805100038</v>
      </c>
      <c r="D2013" s="83">
        <f t="shared" si="247"/>
        <v>181.69227279692672</v>
      </c>
      <c r="E2013">
        <f t="shared" si="243"/>
        <v>10.86802242841226</v>
      </c>
      <c r="G2013">
        <v>1963</v>
      </c>
      <c r="H2013" s="13">
        <f t="shared" si="248"/>
        <v>5.1608656820917531E-2</v>
      </c>
      <c r="I2013">
        <f t="shared" si="249"/>
        <v>143.61038824954582</v>
      </c>
      <c r="J2013" t="e">
        <f t="shared" si="244"/>
        <v>#NUM!</v>
      </c>
      <c r="K2013" s="27" t="e">
        <f t="shared" si="245"/>
        <v>#NUM!</v>
      </c>
    </row>
    <row r="2014" spans="1:11">
      <c r="A2014" s="26">
        <v>1964</v>
      </c>
      <c r="B2014" s="82">
        <f t="shared" si="246"/>
        <v>3.2921237647087764E-4</v>
      </c>
      <c r="C2014" s="58">
        <f t="shared" si="250"/>
        <v>42.949168017476509</v>
      </c>
      <c r="D2014" s="83">
        <f t="shared" si="247"/>
        <v>181.69288238696049</v>
      </c>
      <c r="E2014">
        <f t="shared" si="243"/>
        <v>10.868095352845097</v>
      </c>
      <c r="G2014">
        <v>1964</v>
      </c>
      <c r="H2014" s="13">
        <f t="shared" si="248"/>
        <v>5.1608656820917531E-2</v>
      </c>
      <c r="I2014">
        <f t="shared" si="249"/>
        <v>143.66199690636674</v>
      </c>
      <c r="J2014" t="e">
        <f t="shared" si="244"/>
        <v>#NUM!</v>
      </c>
      <c r="K2014" s="27" t="e">
        <f t="shared" si="245"/>
        <v>#NUM!</v>
      </c>
    </row>
    <row r="2015" spans="1:11">
      <c r="A2015" s="26">
        <v>1965</v>
      </c>
      <c r="B2015" s="82">
        <f t="shared" si="246"/>
        <v>3.2921237647087764E-4</v>
      </c>
      <c r="C2015" s="58">
        <f t="shared" si="250"/>
        <v>42.94949722985298</v>
      </c>
      <c r="D2015" s="83">
        <f t="shared" si="247"/>
        <v>181.6934919521164</v>
      </c>
      <c r="E2015">
        <f t="shared" si="243"/>
        <v>10.868168274546555</v>
      </c>
      <c r="G2015">
        <v>1965</v>
      </c>
      <c r="H2015" s="13">
        <f t="shared" si="248"/>
        <v>5.1608656820917531E-2</v>
      </c>
      <c r="I2015">
        <f t="shared" si="249"/>
        <v>143.71360556318766</v>
      </c>
      <c r="J2015" t="e">
        <f t="shared" si="244"/>
        <v>#NUM!</v>
      </c>
      <c r="K2015" s="27" t="e">
        <f t="shared" si="245"/>
        <v>#NUM!</v>
      </c>
    </row>
    <row r="2016" spans="1:11">
      <c r="A2016" s="26">
        <v>1966</v>
      </c>
      <c r="B2016" s="82">
        <f t="shared" si="246"/>
        <v>3.2921237647087764E-4</v>
      </c>
      <c r="C2016" s="58">
        <f t="shared" si="250"/>
        <v>42.949826442229451</v>
      </c>
      <c r="D2016" s="83">
        <f t="shared" si="247"/>
        <v>181.69410149239681</v>
      </c>
      <c r="E2016">
        <f t="shared" si="243"/>
        <v>10.868241193516887</v>
      </c>
      <c r="G2016">
        <v>1966</v>
      </c>
      <c r="H2016" s="13">
        <f t="shared" si="248"/>
        <v>5.1608656820917531E-2</v>
      </c>
      <c r="I2016">
        <f t="shared" si="249"/>
        <v>143.76521422000857</v>
      </c>
      <c r="J2016" t="e">
        <f t="shared" si="244"/>
        <v>#NUM!</v>
      </c>
      <c r="K2016" s="27" t="e">
        <f t="shared" si="245"/>
        <v>#NUM!</v>
      </c>
    </row>
    <row r="2017" spans="1:11">
      <c r="A2017" s="26">
        <v>1967</v>
      </c>
      <c r="B2017" s="82">
        <f t="shared" si="246"/>
        <v>3.2921237647087764E-4</v>
      </c>
      <c r="C2017" s="58">
        <f t="shared" si="250"/>
        <v>42.950155654605922</v>
      </c>
      <c r="D2017" s="83">
        <f t="shared" si="247"/>
        <v>181.69471100780407</v>
      </c>
      <c r="E2017">
        <f t="shared" si="243"/>
        <v>10.868314109756342</v>
      </c>
      <c r="G2017">
        <v>1967</v>
      </c>
      <c r="H2017" s="13">
        <f t="shared" si="248"/>
        <v>5.1608656820917531E-2</v>
      </c>
      <c r="I2017">
        <f t="shared" si="249"/>
        <v>143.81682287682949</v>
      </c>
      <c r="J2017" t="e">
        <f t="shared" si="244"/>
        <v>#NUM!</v>
      </c>
      <c r="K2017" s="27" t="e">
        <f t="shared" si="245"/>
        <v>#NUM!</v>
      </c>
    </row>
    <row r="2018" spans="1:11">
      <c r="A2018" s="26">
        <v>1968</v>
      </c>
      <c r="B2018" s="82">
        <f t="shared" si="246"/>
        <v>3.2921237647087764E-4</v>
      </c>
      <c r="C2018" s="58">
        <f t="shared" si="250"/>
        <v>42.950484866982393</v>
      </c>
      <c r="D2018" s="83">
        <f t="shared" si="247"/>
        <v>181.69532049834055</v>
      </c>
      <c r="E2018">
        <f t="shared" si="243"/>
        <v>10.868387023265177</v>
      </c>
      <c r="G2018">
        <v>1968</v>
      </c>
      <c r="H2018" s="13">
        <f t="shared" si="248"/>
        <v>5.1608656820917531E-2</v>
      </c>
      <c r="I2018">
        <f t="shared" si="249"/>
        <v>143.86843153365041</v>
      </c>
      <c r="J2018" t="e">
        <f t="shared" si="244"/>
        <v>#NUM!</v>
      </c>
      <c r="K2018" s="27" t="e">
        <f t="shared" si="245"/>
        <v>#NUM!</v>
      </c>
    </row>
    <row r="2019" spans="1:11">
      <c r="A2019" s="26">
        <v>1969</v>
      </c>
      <c r="B2019" s="82">
        <f t="shared" si="246"/>
        <v>3.2921237647087764E-4</v>
      </c>
      <c r="C2019" s="58">
        <f t="shared" si="250"/>
        <v>42.950814079358864</v>
      </c>
      <c r="D2019" s="83">
        <f t="shared" si="247"/>
        <v>181.69592996400857</v>
      </c>
      <c r="E2019">
        <f t="shared" si="243"/>
        <v>10.868459934043637</v>
      </c>
      <c r="G2019">
        <v>1969</v>
      </c>
      <c r="H2019" s="13">
        <f t="shared" si="248"/>
        <v>5.1608656820917531E-2</v>
      </c>
      <c r="I2019">
        <f t="shared" si="249"/>
        <v>143.92004019047133</v>
      </c>
      <c r="J2019" t="e">
        <f t="shared" si="244"/>
        <v>#NUM!</v>
      </c>
      <c r="K2019" s="27" t="e">
        <f t="shared" si="245"/>
        <v>#NUM!</v>
      </c>
    </row>
    <row r="2020" spans="1:11">
      <c r="A2020" s="26">
        <v>1970</v>
      </c>
      <c r="B2020" s="82">
        <f t="shared" si="246"/>
        <v>3.2921237647087764E-4</v>
      </c>
      <c r="C2020" s="58">
        <f t="shared" si="250"/>
        <v>42.951143291735335</v>
      </c>
      <c r="D2020" s="83">
        <f t="shared" si="247"/>
        <v>181.69653940481055</v>
      </c>
      <c r="E2020">
        <f t="shared" si="243"/>
        <v>10.868532842091982</v>
      </c>
      <c r="G2020">
        <v>1970</v>
      </c>
      <c r="H2020" s="13">
        <f t="shared" si="248"/>
        <v>5.1608656820917531E-2</v>
      </c>
      <c r="I2020">
        <f t="shared" si="249"/>
        <v>143.97164884729224</v>
      </c>
      <c r="J2020" t="e">
        <f t="shared" si="244"/>
        <v>#NUM!</v>
      </c>
      <c r="K2020" s="27" t="e">
        <f t="shared" si="245"/>
        <v>#NUM!</v>
      </c>
    </row>
    <row r="2021" spans="1:11">
      <c r="A2021" s="26">
        <v>1971</v>
      </c>
      <c r="B2021" s="82">
        <f t="shared" si="246"/>
        <v>3.2921237647087764E-4</v>
      </c>
      <c r="C2021" s="58">
        <f t="shared" si="250"/>
        <v>42.951472504111806</v>
      </c>
      <c r="D2021" s="83">
        <f t="shared" si="247"/>
        <v>181.69714882074879</v>
      </c>
      <c r="E2021">
        <f t="shared" si="243"/>
        <v>10.868605747410458</v>
      </c>
      <c r="G2021">
        <v>1971</v>
      </c>
      <c r="H2021" s="13">
        <f t="shared" si="248"/>
        <v>5.1608656820917531E-2</v>
      </c>
      <c r="I2021">
        <f t="shared" si="249"/>
        <v>144.02325750411316</v>
      </c>
      <c r="J2021" t="e">
        <f t="shared" si="244"/>
        <v>#NUM!</v>
      </c>
      <c r="K2021" s="27" t="e">
        <f t="shared" si="245"/>
        <v>#NUM!</v>
      </c>
    </row>
    <row r="2022" spans="1:11">
      <c r="A2022" s="26">
        <v>1972</v>
      </c>
      <c r="B2022" s="82">
        <f t="shared" si="246"/>
        <v>3.2921237647087764E-4</v>
      </c>
      <c r="C2022" s="58">
        <f t="shared" si="250"/>
        <v>42.951801716488276</v>
      </c>
      <c r="D2022" s="83">
        <f t="shared" si="247"/>
        <v>181.69775821182569</v>
      </c>
      <c r="E2022">
        <f t="shared" si="243"/>
        <v>10.868678649999319</v>
      </c>
      <c r="G2022">
        <v>1972</v>
      </c>
      <c r="H2022" s="13">
        <f t="shared" si="248"/>
        <v>5.1608656820917531E-2</v>
      </c>
      <c r="I2022">
        <f t="shared" si="249"/>
        <v>144.07486616093408</v>
      </c>
      <c r="J2022" t="e">
        <f t="shared" si="244"/>
        <v>#NUM!</v>
      </c>
      <c r="K2022" s="27" t="e">
        <f t="shared" si="245"/>
        <v>#NUM!</v>
      </c>
    </row>
    <row r="2023" spans="1:11">
      <c r="A2023" s="26">
        <v>1973</v>
      </c>
      <c r="B2023" s="82">
        <f t="shared" si="246"/>
        <v>3.2921237647087764E-4</v>
      </c>
      <c r="C2023" s="58">
        <f t="shared" si="250"/>
        <v>42.952130928864747</v>
      </c>
      <c r="D2023" s="83">
        <f t="shared" si="247"/>
        <v>181.69836757804356</v>
      </c>
      <c r="E2023">
        <f t="shared" si="243"/>
        <v>10.868751549858819</v>
      </c>
      <c r="G2023">
        <v>1973</v>
      </c>
      <c r="H2023" s="13">
        <f t="shared" si="248"/>
        <v>5.1608656820917531E-2</v>
      </c>
      <c r="I2023">
        <f t="shared" si="249"/>
        <v>144.126474817755</v>
      </c>
      <c r="J2023" t="e">
        <f t="shared" si="244"/>
        <v>#NUM!</v>
      </c>
      <c r="K2023" s="27" t="e">
        <f t="shared" si="245"/>
        <v>#NUM!</v>
      </c>
    </row>
    <row r="2024" spans="1:11">
      <c r="A2024" s="26">
        <v>1974</v>
      </c>
      <c r="B2024" s="82">
        <f t="shared" si="246"/>
        <v>3.2921237647087764E-4</v>
      </c>
      <c r="C2024" s="58">
        <f t="shared" si="250"/>
        <v>42.952460141241218</v>
      </c>
      <c r="D2024" s="83">
        <f t="shared" si="247"/>
        <v>181.69897691940477</v>
      </c>
      <c r="E2024">
        <f t="shared" si="243"/>
        <v>10.868824446989208</v>
      </c>
      <c r="G2024">
        <v>1974</v>
      </c>
      <c r="H2024" s="13">
        <f t="shared" si="248"/>
        <v>5.1608656820917531E-2</v>
      </c>
      <c r="I2024">
        <f t="shared" si="249"/>
        <v>144.17808347457591</v>
      </c>
      <c r="J2024" t="e">
        <f t="shared" si="244"/>
        <v>#NUM!</v>
      </c>
      <c r="K2024" s="27" t="e">
        <f t="shared" si="245"/>
        <v>#NUM!</v>
      </c>
    </row>
    <row r="2025" spans="1:11">
      <c r="A2025" s="26">
        <v>1975</v>
      </c>
      <c r="B2025" s="82">
        <f t="shared" si="246"/>
        <v>3.2921237647087764E-4</v>
      </c>
      <c r="C2025" s="58">
        <f t="shared" si="250"/>
        <v>42.952789353617689</v>
      </c>
      <c r="D2025" s="83">
        <f t="shared" si="247"/>
        <v>181.69958623591171</v>
      </c>
      <c r="E2025">
        <f t="shared" si="243"/>
        <v>10.868897341390735</v>
      </c>
      <c r="G2025">
        <v>1975</v>
      </c>
      <c r="H2025" s="13">
        <f t="shared" si="248"/>
        <v>5.1608656820917531E-2</v>
      </c>
      <c r="I2025">
        <f t="shared" si="249"/>
        <v>144.22969213139683</v>
      </c>
      <c r="J2025" t="e">
        <f t="shared" si="244"/>
        <v>#NUM!</v>
      </c>
      <c r="K2025" s="27" t="e">
        <f t="shared" si="245"/>
        <v>#NUM!</v>
      </c>
    </row>
    <row r="2026" spans="1:11">
      <c r="A2026" s="26">
        <v>1976</v>
      </c>
      <c r="B2026" s="82">
        <f t="shared" si="246"/>
        <v>3.2921237647087764E-4</v>
      </c>
      <c r="C2026" s="58">
        <f t="shared" si="250"/>
        <v>42.95311856599416</v>
      </c>
      <c r="D2026" s="83">
        <f t="shared" si="247"/>
        <v>181.70019552756668</v>
      </c>
      <c r="E2026">
        <f t="shared" si="243"/>
        <v>10.868970233063655</v>
      </c>
      <c r="G2026">
        <v>1976</v>
      </c>
      <c r="H2026" s="13">
        <f t="shared" si="248"/>
        <v>5.1608656820917531E-2</v>
      </c>
      <c r="I2026">
        <f t="shared" si="249"/>
        <v>144.28130078821775</v>
      </c>
      <c r="J2026" t="e">
        <f t="shared" si="244"/>
        <v>#NUM!</v>
      </c>
      <c r="K2026" s="27" t="e">
        <f t="shared" si="245"/>
        <v>#NUM!</v>
      </c>
    </row>
    <row r="2027" spans="1:11">
      <c r="A2027" s="26">
        <v>1977</v>
      </c>
      <c r="B2027" s="82">
        <f t="shared" si="246"/>
        <v>3.2921237647087764E-4</v>
      </c>
      <c r="C2027" s="58">
        <f t="shared" si="250"/>
        <v>42.953447778370631</v>
      </c>
      <c r="D2027" s="83">
        <f t="shared" si="247"/>
        <v>181.70080479437206</v>
      </c>
      <c r="E2027">
        <f t="shared" si="243"/>
        <v>10.86904312200822</v>
      </c>
      <c r="G2027">
        <v>1977</v>
      </c>
      <c r="H2027" s="13">
        <f t="shared" si="248"/>
        <v>5.1608656820917531E-2</v>
      </c>
      <c r="I2027">
        <f t="shared" si="249"/>
        <v>144.33290944503867</v>
      </c>
      <c r="J2027" t="e">
        <f t="shared" si="244"/>
        <v>#NUM!</v>
      </c>
      <c r="K2027" s="27" t="e">
        <f t="shared" si="245"/>
        <v>#NUM!</v>
      </c>
    </row>
    <row r="2028" spans="1:11">
      <c r="A2028" s="26">
        <v>1978</v>
      </c>
      <c r="B2028" s="82">
        <f t="shared" si="246"/>
        <v>3.2921237647087764E-4</v>
      </c>
      <c r="C2028" s="58">
        <f t="shared" si="250"/>
        <v>42.953776990747102</v>
      </c>
      <c r="D2028" s="83">
        <f t="shared" si="247"/>
        <v>181.70141403633022</v>
      </c>
      <c r="E2028">
        <f t="shared" si="243"/>
        <v>10.869116008224678</v>
      </c>
      <c r="G2028">
        <v>1978</v>
      </c>
      <c r="H2028" s="13">
        <f t="shared" si="248"/>
        <v>5.1608656820917531E-2</v>
      </c>
      <c r="I2028">
        <f t="shared" si="249"/>
        <v>144.38451810185958</v>
      </c>
      <c r="J2028" t="e">
        <f t="shared" si="244"/>
        <v>#NUM!</v>
      </c>
      <c r="K2028" s="27" t="e">
        <f t="shared" si="245"/>
        <v>#NUM!</v>
      </c>
    </row>
    <row r="2029" spans="1:11">
      <c r="A2029" s="26">
        <v>1979</v>
      </c>
      <c r="B2029" s="82">
        <f t="shared" si="246"/>
        <v>3.2921237647087764E-4</v>
      </c>
      <c r="C2029" s="58">
        <f t="shared" si="250"/>
        <v>42.954106203123573</v>
      </c>
      <c r="D2029" s="83">
        <f t="shared" si="247"/>
        <v>181.70202325344349</v>
      </c>
      <c r="E2029">
        <f t="shared" si="243"/>
        <v>10.86918889171328</v>
      </c>
      <c r="G2029">
        <v>1979</v>
      </c>
      <c r="H2029" s="13">
        <f t="shared" si="248"/>
        <v>5.1608656820917531E-2</v>
      </c>
      <c r="I2029">
        <f t="shared" si="249"/>
        <v>144.4361267586805</v>
      </c>
      <c r="J2029" t="e">
        <f t="shared" si="244"/>
        <v>#NUM!</v>
      </c>
      <c r="K2029" s="27" t="e">
        <f t="shared" si="245"/>
        <v>#NUM!</v>
      </c>
    </row>
    <row r="2030" spans="1:11">
      <c r="A2030" s="26">
        <v>1980</v>
      </c>
      <c r="B2030" s="82">
        <f t="shared" si="246"/>
        <v>3.2921237647087764E-4</v>
      </c>
      <c r="C2030" s="58">
        <f t="shared" si="250"/>
        <v>42.954435415500043</v>
      </c>
      <c r="D2030" s="83">
        <f t="shared" si="247"/>
        <v>181.70263244571422</v>
      </c>
      <c r="E2030">
        <f t="shared" si="243"/>
        <v>10.869261772474287</v>
      </c>
      <c r="G2030">
        <v>1980</v>
      </c>
      <c r="H2030" s="13">
        <f t="shared" si="248"/>
        <v>5.1608656820917531E-2</v>
      </c>
      <c r="I2030">
        <f t="shared" si="249"/>
        <v>144.48773541550142</v>
      </c>
      <c r="J2030" t="e">
        <f t="shared" si="244"/>
        <v>#NUM!</v>
      </c>
      <c r="K2030" s="27" t="e">
        <f t="shared" si="245"/>
        <v>#NUM!</v>
      </c>
    </row>
    <row r="2031" spans="1:11">
      <c r="A2031" s="26">
        <v>1981</v>
      </c>
      <c r="B2031" s="82">
        <f t="shared" si="246"/>
        <v>3.2921237647087764E-4</v>
      </c>
      <c r="C2031" s="58">
        <f t="shared" si="250"/>
        <v>42.954764627876514</v>
      </c>
      <c r="D2031" s="83">
        <f t="shared" si="247"/>
        <v>181.70324161314477</v>
      </c>
      <c r="E2031">
        <f t="shared" si="243"/>
        <v>10.869334650507939</v>
      </c>
      <c r="G2031">
        <v>1981</v>
      </c>
      <c r="H2031" s="13">
        <f t="shared" si="248"/>
        <v>5.1608656820917531E-2</v>
      </c>
      <c r="I2031">
        <f t="shared" si="249"/>
        <v>144.53934407232234</v>
      </c>
      <c r="J2031" t="e">
        <f t="shared" si="244"/>
        <v>#NUM!</v>
      </c>
      <c r="K2031" s="27" t="e">
        <f t="shared" si="245"/>
        <v>#NUM!</v>
      </c>
    </row>
    <row r="2032" spans="1:11">
      <c r="A2032" s="26">
        <v>1982</v>
      </c>
      <c r="B2032" s="82">
        <f t="shared" si="246"/>
        <v>3.2921237647087764E-4</v>
      </c>
      <c r="C2032" s="58">
        <f t="shared" si="250"/>
        <v>42.955093840252985</v>
      </c>
      <c r="D2032" s="83">
        <f t="shared" si="247"/>
        <v>181.70385075573751</v>
      </c>
      <c r="E2032">
        <f t="shared" si="243"/>
        <v>10.869407525814497</v>
      </c>
      <c r="G2032">
        <v>1982</v>
      </c>
      <c r="H2032" s="13">
        <f t="shared" si="248"/>
        <v>5.1608656820917531E-2</v>
      </c>
      <c r="I2032">
        <f t="shared" si="249"/>
        <v>144.59095272914325</v>
      </c>
      <c r="J2032" t="e">
        <f t="shared" si="244"/>
        <v>#NUM!</v>
      </c>
      <c r="K2032" s="27" t="e">
        <f t="shared" si="245"/>
        <v>#NUM!</v>
      </c>
    </row>
    <row r="2033" spans="1:11">
      <c r="A2033" s="26">
        <v>1983</v>
      </c>
      <c r="B2033" s="82">
        <f t="shared" si="246"/>
        <v>3.2921237647087764E-4</v>
      </c>
      <c r="C2033" s="58">
        <f t="shared" si="250"/>
        <v>42.955423052629456</v>
      </c>
      <c r="D2033" s="83">
        <f t="shared" si="247"/>
        <v>181.70445987349473</v>
      </c>
      <c r="E2033">
        <f t="shared" si="243"/>
        <v>10.869480398394202</v>
      </c>
      <c r="G2033">
        <v>1983</v>
      </c>
      <c r="H2033" s="13">
        <f t="shared" si="248"/>
        <v>5.1608656820917531E-2</v>
      </c>
      <c r="I2033">
        <f t="shared" si="249"/>
        <v>144.64256138596417</v>
      </c>
      <c r="J2033" t="e">
        <f t="shared" si="244"/>
        <v>#NUM!</v>
      </c>
      <c r="K2033" s="27" t="e">
        <f t="shared" si="245"/>
        <v>#NUM!</v>
      </c>
    </row>
    <row r="2034" spans="1:11">
      <c r="A2034" s="26">
        <v>1984</v>
      </c>
      <c r="B2034" s="82">
        <f t="shared" si="246"/>
        <v>3.2921237647087764E-4</v>
      </c>
      <c r="C2034" s="58">
        <f t="shared" si="250"/>
        <v>42.955752265005927</v>
      </c>
      <c r="D2034" s="83">
        <f t="shared" si="247"/>
        <v>181.70506896641885</v>
      </c>
      <c r="E2034">
        <f t="shared" si="243"/>
        <v>10.869553268247314</v>
      </c>
      <c r="G2034">
        <v>1984</v>
      </c>
      <c r="H2034" s="13">
        <f t="shared" si="248"/>
        <v>5.1608656820917531E-2</v>
      </c>
      <c r="I2034">
        <f t="shared" si="249"/>
        <v>144.69417004278509</v>
      </c>
      <c r="J2034" t="e">
        <f t="shared" si="244"/>
        <v>#NUM!</v>
      </c>
      <c r="K2034" s="27" t="e">
        <f t="shared" si="245"/>
        <v>#NUM!</v>
      </c>
    </row>
    <row r="2035" spans="1:11">
      <c r="A2035" s="26">
        <v>1985</v>
      </c>
      <c r="B2035" s="82">
        <f t="shared" si="246"/>
        <v>3.2921237647087764E-4</v>
      </c>
      <c r="C2035" s="58">
        <f t="shared" si="250"/>
        <v>42.956081477382398</v>
      </c>
      <c r="D2035" s="83">
        <f t="shared" si="247"/>
        <v>181.7056780345122</v>
      </c>
      <c r="E2035">
        <f t="shared" ref="E2035:E2049" si="251">((D2035^2)+(D2035*D2036)+(D2036^2))*B2036/3</f>
        <v>10.869626135374082</v>
      </c>
      <c r="G2035">
        <v>1985</v>
      </c>
      <c r="H2035" s="13">
        <f t="shared" si="248"/>
        <v>5.1608656820917531E-2</v>
      </c>
      <c r="I2035">
        <f t="shared" si="249"/>
        <v>144.74577869960601</v>
      </c>
      <c r="J2035" t="e">
        <f t="shared" ref="J2035:J2049" si="252">IF($G$28&lt;$C$14,0,((($C$11^2)-((I2035-$C$13)^2))^0.5)+$C$16)</f>
        <v>#NUM!</v>
      </c>
      <c r="K2035" s="27" t="e">
        <f t="shared" ref="K2035:K2048" si="253">((J2035^2)+(J2035*J2036)+(J2036^2))*H2036/3</f>
        <v>#NUM!</v>
      </c>
    </row>
    <row r="2036" spans="1:11">
      <c r="A2036" s="26">
        <v>1986</v>
      </c>
      <c r="B2036" s="82">
        <f t="shared" ref="B2036:B2049" si="254">C2036-C2035</f>
        <v>3.2921237647087764E-4</v>
      </c>
      <c r="C2036" s="58">
        <f t="shared" si="250"/>
        <v>42.956410689758869</v>
      </c>
      <c r="D2036" s="83">
        <f t="shared" ref="D2036:D2049" si="255">IF($G$28&lt;$C$14,0,((($C$11^2)-((C2036-$C$13)^2))^0.5)+$C$16)</f>
        <v>181.70628707777712</v>
      </c>
      <c r="E2036">
        <f t="shared" si="251"/>
        <v>10.869698999774755</v>
      </c>
      <c r="G2036">
        <v>1986</v>
      </c>
      <c r="H2036" s="13">
        <f t="shared" ref="H2036:H2049" si="256">I2036-I2035</f>
        <v>5.1608656820917531E-2</v>
      </c>
      <c r="I2036">
        <f t="shared" ref="I2036:I2049" si="257">($G$27-$C$14)/2000+I2035</f>
        <v>144.79738735642692</v>
      </c>
      <c r="J2036" t="e">
        <f t="shared" si="252"/>
        <v>#NUM!</v>
      </c>
      <c r="K2036" s="27" t="e">
        <f t="shared" si="253"/>
        <v>#NUM!</v>
      </c>
    </row>
    <row r="2037" spans="1:11">
      <c r="A2037" s="26">
        <v>1987</v>
      </c>
      <c r="B2037" s="82">
        <f t="shared" si="254"/>
        <v>3.2921237647087764E-4</v>
      </c>
      <c r="C2037" s="58">
        <f t="shared" si="250"/>
        <v>42.95673990213534</v>
      </c>
      <c r="D2037" s="83">
        <f t="shared" si="255"/>
        <v>181.70689609621596</v>
      </c>
      <c r="E2037">
        <f t="shared" si="251"/>
        <v>10.869771861449587</v>
      </c>
      <c r="G2037">
        <v>1987</v>
      </c>
      <c r="H2037" s="13">
        <f t="shared" si="256"/>
        <v>5.1608656820917531E-2</v>
      </c>
      <c r="I2037">
        <f t="shared" si="257"/>
        <v>144.84899601324784</v>
      </c>
      <c r="J2037" t="e">
        <f t="shared" si="252"/>
        <v>#NUM!</v>
      </c>
      <c r="K2037" s="27" t="e">
        <f t="shared" si="253"/>
        <v>#NUM!</v>
      </c>
    </row>
    <row r="2038" spans="1:11">
      <c r="A2038" s="26">
        <v>1988</v>
      </c>
      <c r="B2038" s="82">
        <f t="shared" si="254"/>
        <v>3.2921237647087764E-4</v>
      </c>
      <c r="C2038" s="58">
        <f t="shared" si="250"/>
        <v>42.95706911451181</v>
      </c>
      <c r="D2038" s="83">
        <f t="shared" si="255"/>
        <v>181.70750508983107</v>
      </c>
      <c r="E2038">
        <f t="shared" si="251"/>
        <v>10.869844720398829</v>
      </c>
      <c r="G2038">
        <v>1988</v>
      </c>
      <c r="H2038" s="13">
        <f t="shared" si="256"/>
        <v>5.1608656820917531E-2</v>
      </c>
      <c r="I2038">
        <f t="shared" si="257"/>
        <v>144.90060467006876</v>
      </c>
      <c r="J2038" t="e">
        <f t="shared" si="252"/>
        <v>#NUM!</v>
      </c>
      <c r="K2038" s="27" t="e">
        <f t="shared" si="253"/>
        <v>#NUM!</v>
      </c>
    </row>
    <row r="2039" spans="1:11">
      <c r="A2039" s="26">
        <v>1989</v>
      </c>
      <c r="B2039" s="82">
        <f t="shared" si="254"/>
        <v>3.2921237647087764E-4</v>
      </c>
      <c r="C2039" s="58">
        <f t="shared" si="250"/>
        <v>42.957398326888281</v>
      </c>
      <c r="D2039" s="83">
        <f t="shared" si="255"/>
        <v>181.7081140586248</v>
      </c>
      <c r="E2039">
        <f t="shared" si="251"/>
        <v>10.869917576622727</v>
      </c>
      <c r="G2039">
        <v>1989</v>
      </c>
      <c r="H2039" s="13">
        <f t="shared" si="256"/>
        <v>5.1608656820917531E-2</v>
      </c>
      <c r="I2039">
        <f t="shared" si="257"/>
        <v>144.95221332688968</v>
      </c>
      <c r="J2039" t="e">
        <f t="shared" si="252"/>
        <v>#NUM!</v>
      </c>
      <c r="K2039" s="27" t="e">
        <f t="shared" si="253"/>
        <v>#NUM!</v>
      </c>
    </row>
    <row r="2040" spans="1:11">
      <c r="A2040" s="26">
        <v>1990</v>
      </c>
      <c r="B2040" s="82">
        <f t="shared" si="254"/>
        <v>3.2921237647087764E-4</v>
      </c>
      <c r="C2040" s="58">
        <f t="shared" si="250"/>
        <v>42.957727539264752</v>
      </c>
      <c r="D2040" s="83">
        <f t="shared" si="255"/>
        <v>181.7087230025995</v>
      </c>
      <c r="E2040">
        <f t="shared" si="251"/>
        <v>10.869990430121542</v>
      </c>
      <c r="G2040">
        <v>1990</v>
      </c>
      <c r="H2040" s="13">
        <f t="shared" si="256"/>
        <v>5.1608656820917531E-2</v>
      </c>
      <c r="I2040">
        <f t="shared" si="257"/>
        <v>145.00382198371059</v>
      </c>
      <c r="J2040" t="e">
        <f t="shared" si="252"/>
        <v>#NUM!</v>
      </c>
      <c r="K2040" s="27" t="e">
        <f t="shared" si="253"/>
        <v>#NUM!</v>
      </c>
    </row>
    <row r="2041" spans="1:11">
      <c r="A2041" s="26">
        <v>1991</v>
      </c>
      <c r="B2041" s="82">
        <f t="shared" si="254"/>
        <v>3.2921237647087764E-4</v>
      </c>
      <c r="C2041" s="58">
        <f t="shared" si="250"/>
        <v>42.958056751641223</v>
      </c>
      <c r="D2041" s="83">
        <f t="shared" si="255"/>
        <v>181.70933192175752</v>
      </c>
      <c r="E2041">
        <f t="shared" si="251"/>
        <v>10.870063280895513</v>
      </c>
      <c r="G2041">
        <v>1991</v>
      </c>
      <c r="H2041" s="13">
        <f t="shared" si="256"/>
        <v>5.1608656820917531E-2</v>
      </c>
      <c r="I2041">
        <f t="shared" si="257"/>
        <v>145.05543064053151</v>
      </c>
      <c r="J2041" t="e">
        <f t="shared" si="252"/>
        <v>#NUM!</v>
      </c>
      <c r="K2041" s="27" t="e">
        <f t="shared" si="253"/>
        <v>#NUM!</v>
      </c>
    </row>
    <row r="2042" spans="1:11">
      <c r="A2042" s="26">
        <v>1992</v>
      </c>
      <c r="B2042" s="82">
        <f t="shared" si="254"/>
        <v>3.2921237647087764E-4</v>
      </c>
      <c r="C2042" s="58">
        <f t="shared" si="250"/>
        <v>42.958385964017694</v>
      </c>
      <c r="D2042" s="83">
        <f t="shared" si="255"/>
        <v>181.70994081610121</v>
      </c>
      <c r="E2042">
        <f t="shared" si="251"/>
        <v>10.870136128944901</v>
      </c>
      <c r="G2042">
        <v>1992</v>
      </c>
      <c r="H2042" s="13">
        <f t="shared" si="256"/>
        <v>5.1608656820917531E-2</v>
      </c>
      <c r="I2042">
        <f t="shared" si="257"/>
        <v>145.10703929735243</v>
      </c>
      <c r="J2042" t="e">
        <f t="shared" si="252"/>
        <v>#NUM!</v>
      </c>
      <c r="K2042" s="27" t="e">
        <f t="shared" si="253"/>
        <v>#NUM!</v>
      </c>
    </row>
    <row r="2043" spans="1:11">
      <c r="A2043" s="26">
        <v>1993</v>
      </c>
      <c r="B2043" s="82">
        <f t="shared" si="254"/>
        <v>3.2921237647087764E-4</v>
      </c>
      <c r="C2043" s="58">
        <f t="shared" si="250"/>
        <v>42.958715176394165</v>
      </c>
      <c r="D2043" s="83">
        <f t="shared" si="255"/>
        <v>181.71054968563291</v>
      </c>
      <c r="E2043">
        <f t="shared" si="251"/>
        <v>10.870208974269952</v>
      </c>
      <c r="G2043">
        <v>1993</v>
      </c>
      <c r="H2043" s="13">
        <f t="shared" si="256"/>
        <v>5.1608656820917531E-2</v>
      </c>
      <c r="I2043">
        <f t="shared" si="257"/>
        <v>145.15864795417335</v>
      </c>
      <c r="J2043" t="e">
        <f t="shared" si="252"/>
        <v>#NUM!</v>
      </c>
      <c r="K2043" s="27" t="e">
        <f t="shared" si="253"/>
        <v>#NUM!</v>
      </c>
    </row>
    <row r="2044" spans="1:11">
      <c r="A2044" s="26">
        <v>1994</v>
      </c>
      <c r="B2044" s="82">
        <f t="shared" si="254"/>
        <v>3.2921237647087764E-4</v>
      </c>
      <c r="C2044" s="58">
        <f t="shared" si="250"/>
        <v>42.959044388770636</v>
      </c>
      <c r="D2044" s="83">
        <f t="shared" si="255"/>
        <v>181.71115853035496</v>
      </c>
      <c r="E2044">
        <f t="shared" si="251"/>
        <v>10.87028181687092</v>
      </c>
      <c r="G2044">
        <v>1994</v>
      </c>
      <c r="H2044" s="13">
        <f t="shared" si="256"/>
        <v>5.1608656820917531E-2</v>
      </c>
      <c r="I2044">
        <f t="shared" si="257"/>
        <v>145.21025661099426</v>
      </c>
      <c r="J2044" t="e">
        <f t="shared" si="252"/>
        <v>#NUM!</v>
      </c>
      <c r="K2044" s="27" t="e">
        <f t="shared" si="253"/>
        <v>#NUM!</v>
      </c>
    </row>
    <row r="2045" spans="1:11">
      <c r="A2045" s="26">
        <v>1995</v>
      </c>
      <c r="B2045" s="82">
        <f t="shared" si="254"/>
        <v>3.2921237647087764E-4</v>
      </c>
      <c r="C2045" s="58">
        <f t="shared" si="250"/>
        <v>42.959373601147107</v>
      </c>
      <c r="D2045" s="83">
        <f t="shared" si="255"/>
        <v>181.71176735026972</v>
      </c>
      <c r="E2045">
        <f t="shared" si="251"/>
        <v>10.870354656748054</v>
      </c>
      <c r="G2045">
        <v>1995</v>
      </c>
      <c r="H2045" s="13">
        <f t="shared" si="256"/>
        <v>5.1608656820917531E-2</v>
      </c>
      <c r="I2045">
        <f t="shared" si="257"/>
        <v>145.26186526781518</v>
      </c>
      <c r="J2045" t="e">
        <f t="shared" si="252"/>
        <v>#NUM!</v>
      </c>
      <c r="K2045" s="27" t="e">
        <f t="shared" si="253"/>
        <v>#NUM!</v>
      </c>
    </row>
    <row r="2046" spans="1:11">
      <c r="A2046" s="26">
        <v>1996</v>
      </c>
      <c r="B2046" s="82">
        <f t="shared" si="254"/>
        <v>3.2921237647087764E-4</v>
      </c>
      <c r="C2046" s="58">
        <f t="shared" si="250"/>
        <v>42.959702813523577</v>
      </c>
      <c r="D2046" s="83">
        <f t="shared" si="255"/>
        <v>181.71237614537955</v>
      </c>
      <c r="E2046">
        <f t="shared" si="251"/>
        <v>10.870427493901602</v>
      </c>
      <c r="G2046">
        <v>1996</v>
      </c>
      <c r="H2046" s="13">
        <f t="shared" si="256"/>
        <v>5.1608656820917531E-2</v>
      </c>
      <c r="I2046">
        <f t="shared" si="257"/>
        <v>145.3134739246361</v>
      </c>
      <c r="J2046" t="e">
        <f t="shared" si="252"/>
        <v>#NUM!</v>
      </c>
      <c r="K2046" s="27" t="e">
        <f t="shared" si="253"/>
        <v>#NUM!</v>
      </c>
    </row>
    <row r="2047" spans="1:11">
      <c r="A2047" s="26">
        <v>1997</v>
      </c>
      <c r="B2047" s="82">
        <f t="shared" si="254"/>
        <v>3.2921237647087764E-4</v>
      </c>
      <c r="C2047" s="58">
        <f t="shared" si="250"/>
        <v>42.960032025900048</v>
      </c>
      <c r="D2047" s="83">
        <f t="shared" si="255"/>
        <v>181.71298491568675</v>
      </c>
      <c r="E2047">
        <f t="shared" si="251"/>
        <v>10.870500328331817</v>
      </c>
      <c r="G2047">
        <v>1997</v>
      </c>
      <c r="H2047" s="13">
        <f t="shared" si="256"/>
        <v>5.1608656820917531E-2</v>
      </c>
      <c r="I2047">
        <f t="shared" si="257"/>
        <v>145.36508258145702</v>
      </c>
      <c r="J2047" t="e">
        <f t="shared" si="252"/>
        <v>#NUM!</v>
      </c>
      <c r="K2047" s="27" t="e">
        <f t="shared" si="253"/>
        <v>#NUM!</v>
      </c>
    </row>
    <row r="2048" spans="1:11">
      <c r="A2048" s="26">
        <v>1998</v>
      </c>
      <c r="B2048" s="82">
        <f t="shared" si="254"/>
        <v>3.2921237647087764E-4</v>
      </c>
      <c r="C2048" s="58">
        <f t="shared" si="250"/>
        <v>42.960361238276519</v>
      </c>
      <c r="D2048" s="83">
        <f t="shared" si="255"/>
        <v>181.71359366119373</v>
      </c>
      <c r="E2048">
        <f t="shared" si="251"/>
        <v>10.870573160038957</v>
      </c>
      <c r="G2048">
        <v>1998</v>
      </c>
      <c r="H2048" s="13">
        <f t="shared" si="256"/>
        <v>5.1608656820917531E-2</v>
      </c>
      <c r="I2048">
        <f t="shared" si="257"/>
        <v>145.41669123827793</v>
      </c>
      <c r="J2048" t="e">
        <f t="shared" si="252"/>
        <v>#NUM!</v>
      </c>
      <c r="K2048" s="27" t="e">
        <f t="shared" si="253"/>
        <v>#NUM!</v>
      </c>
    </row>
    <row r="2049" spans="1:11" ht="16" thickBot="1">
      <c r="A2049" s="28">
        <v>1999</v>
      </c>
      <c r="B2049" s="80">
        <f t="shared" si="254"/>
        <v>3.2921237647087764E-4</v>
      </c>
      <c r="C2049" s="60">
        <f t="shared" si="250"/>
        <v>42.96069045065299</v>
      </c>
      <c r="D2049" s="81">
        <f t="shared" si="255"/>
        <v>181.71420238190277</v>
      </c>
      <c r="E2049" s="59">
        <f t="shared" si="251"/>
        <v>0</v>
      </c>
      <c r="F2049" s="59"/>
      <c r="G2049" s="59">
        <v>1999</v>
      </c>
      <c r="H2049" s="13">
        <f t="shared" si="256"/>
        <v>5.1608656820917531E-2</v>
      </c>
      <c r="I2049" s="59">
        <f t="shared" si="257"/>
        <v>145.46829989509885</v>
      </c>
      <c r="J2049" s="59" t="e">
        <f t="shared" si="252"/>
        <v>#NUM!</v>
      </c>
      <c r="K2049" s="29"/>
    </row>
  </sheetData>
  <mergeCells count="11">
    <mergeCell ref="M2:R2"/>
    <mergeCell ref="A3:F3"/>
    <mergeCell ref="A7:F7"/>
    <mergeCell ref="A18:F18"/>
    <mergeCell ref="A24:C24"/>
    <mergeCell ref="E24:G24"/>
    <mergeCell ref="B29:C29"/>
    <mergeCell ref="F29:G29"/>
    <mergeCell ref="A48:E48"/>
    <mergeCell ref="G48:K48"/>
    <mergeCell ref="A47:K47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06dbb2e4a844f07ade2e2ec6666b7dd xmlns="bcefeded-d1be-47e7-ac51-55f70281957c">
      <Terms xmlns="http://schemas.microsoft.com/office/infopath/2007/PartnerControls"/>
    </i06dbb2e4a844f07ade2e2ec6666b7dd>
    <TaxCatchAll xmlns="bcefeded-d1be-47e7-ac51-55f70281957c" xsi:nil="true"/>
    <lcf76f155ced4ddcb4097134ff3c332f xmlns="965c24eb-ee91-41b4-a797-d1ed8e8d739d">
      <Terms xmlns="http://schemas.microsoft.com/office/infopath/2007/PartnerControls"/>
    </lcf76f155ced4ddcb4097134ff3c332f>
    <_Flow_SignoffStatus xmlns="965c24eb-ee91-41b4-a797-d1ed8e8d739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492A6C7D396D44381D56722E977F096" ma:contentTypeVersion="20" ma:contentTypeDescription="Skapa ett nytt dokument." ma:contentTypeScope="" ma:versionID="b111d1a8cd35abf86832c8eafc63f710">
  <xsd:schema xmlns:xsd="http://www.w3.org/2001/XMLSchema" xmlns:xs="http://www.w3.org/2001/XMLSchema" xmlns:p="http://schemas.microsoft.com/office/2006/metadata/properties" xmlns:ns2="965c24eb-ee91-41b4-a797-d1ed8e8d739d" xmlns:ns3="bcefeded-d1be-47e7-ac51-55f70281957c" targetNamespace="http://schemas.microsoft.com/office/2006/metadata/properties" ma:root="true" ma:fieldsID="6a6ae6052244a0191cef252423671856" ns2:_="" ns3:_="">
    <xsd:import namespace="965c24eb-ee91-41b4-a797-d1ed8e8d739d"/>
    <xsd:import namespace="bcefeded-d1be-47e7-ac51-55f702819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_Flow_SignoffStatus" minOccurs="0"/>
                <xsd:element ref="ns2:MediaLengthInSeconds" minOccurs="0"/>
                <xsd:element ref="ns3:i06dbb2e4a844f07ade2e2ec6666b7dd" minOccurs="0"/>
                <xsd:element ref="ns3:TaxCatchAll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c24eb-ee91-41b4-a797-d1ed8e8d73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Bildmarkeringar" ma:readOnly="false" ma:fieldId="{5cf76f15-5ced-4ddc-b409-7134ff3c332f}" ma:taxonomyMulti="true" ma:sspId="4611a817-2c84-4c9e-b3b9-c07edf664b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efeded-d1be-47e7-ac51-55f70281957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i06dbb2e4a844f07ade2e2ec6666b7dd" ma:index="23" nillable="true" ma:taxonomy="true" ma:internalName="i06dbb2e4a844f07ade2e2ec6666b7dd" ma:taxonomyFieldName="Process" ma:displayName="Process" ma:default="" ma:fieldId="{206dbb2e-4a84-4f07-ade2-e2ec6666b7dd}" ma:sspId="4611a817-2c84-4c9e-b3b9-c07edf664b29" ma:termSetId="466878f5-798a-4fc0-a203-2550fc52875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4" nillable="true" ma:displayName="Taxonomy Catch All Column" ma:hidden="true" ma:list="{062ce0da-b8c9-4c46-a12b-e9fbf6880ca0}" ma:internalName="TaxCatchAll" ma:showField="CatchAllData" ma:web="bcefeded-d1be-47e7-ac51-55f702819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6BBB80-A575-4B51-82A8-07CA5EC5F168}">
  <ds:schemaRefs>
    <ds:schemaRef ds:uri="http://purl.org/dc/dcmitype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965c24eb-ee91-41b4-a797-d1ed8e8d739d"/>
    <ds:schemaRef ds:uri="bcefeded-d1be-47e7-ac51-55f70281957c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AE39BE0-9644-4C49-A3BD-5ED9F8DFFF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E8D4DB-12E3-42E8-BEC4-322B1E09CB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5c24eb-ee91-41b4-a797-d1ed8e8d739d"/>
    <ds:schemaRef ds:uri="bcefeded-d1be-47e7-ac51-55f7028195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15</vt:i4>
      </vt:variant>
    </vt:vector>
  </HeadingPairs>
  <TitlesOfParts>
    <vt:vector size="15" baseType="lpstr">
      <vt:lpstr>Input</vt:lpstr>
      <vt:lpstr>Main Mixing Purpose List</vt:lpstr>
      <vt:lpstr>SS Material List</vt:lpstr>
      <vt:lpstr>O-rings List</vt:lpstr>
      <vt:lpstr>IP-Class List</vt:lpstr>
      <vt:lpstr>Vessel Dish Type List</vt:lpstr>
      <vt:lpstr>Min Vol</vt:lpstr>
      <vt:lpstr>Output</vt:lpstr>
      <vt:lpstr>ZG</vt:lpstr>
      <vt:lpstr>ZGP</vt:lpstr>
      <vt:lpstr>HP</vt:lpstr>
      <vt:lpstr>HS</vt:lpstr>
      <vt:lpstr>ZF</vt:lpstr>
      <vt:lpstr>Vessel dimension - DIN 28011</vt:lpstr>
      <vt:lpstr>Min Vol ZG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 Abrahamsson</dc:creator>
  <cp:lastModifiedBy>Yeu-Kang Hua</cp:lastModifiedBy>
  <dcterms:created xsi:type="dcterms:W3CDTF">2015-06-05T18:19:34Z</dcterms:created>
  <dcterms:modified xsi:type="dcterms:W3CDTF">2023-12-20T08:38:43Z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0x010100E492A6C7D396D44381D56722E977F096</vt:lpwstr>
  </property>
  <property fmtid="{D5CDD505-2E9C-101B-9397-08002B2CF9AE}" pid="3" name="MediaServiceImageTags">
    <vt:lpwstr/>
  </property>
  <property fmtid="{D5CDD505-2E9C-101B-9397-08002B2CF9AE}" pid="4" name="Process">
    <vt:lpwstr/>
  </property>
</Properties>
</file>